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26" i="1" l="1"/>
  <c r="T626" i="1"/>
  <c r="R626" i="1"/>
  <c r="S626" i="1" s="1"/>
  <c r="P626" i="1"/>
  <c r="Q626" i="1" s="1"/>
  <c r="N626" i="1"/>
  <c r="O626" i="1" s="1"/>
  <c r="L626" i="1"/>
  <c r="M626" i="1" s="1"/>
  <c r="J626" i="1"/>
  <c r="K626" i="1" s="1"/>
  <c r="G626" i="1"/>
  <c r="T625" i="1"/>
  <c r="U625" i="1" s="1"/>
  <c r="R625" i="1"/>
  <c r="S625" i="1" s="1"/>
  <c r="P625" i="1"/>
  <c r="Q625" i="1" s="1"/>
  <c r="N625" i="1"/>
  <c r="O625" i="1" s="1"/>
  <c r="L625" i="1"/>
  <c r="M625" i="1" s="1"/>
  <c r="J625" i="1"/>
  <c r="K625" i="1" s="1"/>
  <c r="G625" i="1"/>
  <c r="F283" i="1"/>
  <c r="F289" i="1"/>
  <c r="J289" i="1" s="1"/>
  <c r="K289" i="1" s="1"/>
  <c r="F274" i="1"/>
  <c r="F267" i="1"/>
  <c r="F615" i="1"/>
  <c r="F596" i="1"/>
  <c r="F554" i="1"/>
  <c r="F358" i="1"/>
  <c r="F249" i="1"/>
  <c r="F530" i="1"/>
  <c r="F547" i="1"/>
  <c r="F522" i="1"/>
  <c r="F524" i="1"/>
  <c r="F528" i="1"/>
  <c r="F527" i="1"/>
  <c r="F388" i="1"/>
  <c r="F348" i="1"/>
  <c r="F376" i="1"/>
  <c r="F14" i="1"/>
  <c r="G451" i="1"/>
  <c r="H451" i="1"/>
  <c r="I451" i="1" s="1"/>
  <c r="J451" i="1"/>
  <c r="K451" i="1" s="1"/>
  <c r="L451" i="1"/>
  <c r="M451" i="1" s="1"/>
  <c r="N451" i="1"/>
  <c r="O451" i="1" s="1"/>
  <c r="P451" i="1"/>
  <c r="Q451" i="1" s="1"/>
  <c r="R451" i="1"/>
  <c r="S451" i="1" s="1"/>
  <c r="T451" i="1"/>
  <c r="U451" i="1" s="1"/>
  <c r="V451" i="1"/>
  <c r="W451" i="1" s="1"/>
  <c r="F633" i="1"/>
  <c r="F401" i="1"/>
  <c r="F339" i="1"/>
  <c r="F340" i="1"/>
  <c r="F341" i="1"/>
  <c r="F338" i="1"/>
  <c r="F343" i="1"/>
  <c r="F371" i="1"/>
  <c r="F361" i="1"/>
  <c r="F349" i="1"/>
  <c r="F363" i="1"/>
  <c r="F352" i="1"/>
  <c r="F271" i="1"/>
  <c r="F345" i="1"/>
  <c r="F233" i="1"/>
  <c r="F231" i="1"/>
  <c r="F196" i="1"/>
  <c r="F153" i="1"/>
  <c r="L289" i="1" l="1"/>
  <c r="M289" i="1" s="1"/>
  <c r="N289" i="1"/>
  <c r="O289" i="1" s="1"/>
  <c r="P289" i="1"/>
  <c r="Q289" i="1" s="1"/>
  <c r="R289" i="1"/>
  <c r="S289" i="1" s="1"/>
  <c r="T289" i="1"/>
  <c r="U289" i="1" s="1"/>
  <c r="V289" i="1"/>
  <c r="W289" i="1" s="1"/>
  <c r="G124" i="1" l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P388" i="1" l="1"/>
  <c r="Q388" i="1" s="1"/>
  <c r="N388" i="1"/>
  <c r="O388" i="1" s="1"/>
  <c r="L388" i="1"/>
  <c r="M388" i="1" s="1"/>
  <c r="V388" i="1"/>
  <c r="W388" i="1" s="1"/>
  <c r="R388" i="1" l="1"/>
  <c r="S388" i="1" s="1"/>
  <c r="G388" i="1"/>
  <c r="H388" i="1"/>
  <c r="I388" i="1" s="1"/>
  <c r="T388" i="1"/>
  <c r="U388" i="1" s="1"/>
  <c r="J388" i="1"/>
  <c r="K388" i="1" s="1"/>
  <c r="F427" i="1"/>
  <c r="F370" i="1"/>
  <c r="F296" i="1"/>
  <c r="F101" i="1"/>
  <c r="F100" i="1"/>
  <c r="F623" i="1"/>
  <c r="F619" i="1"/>
  <c r="F595" i="1"/>
  <c r="F555" i="1"/>
  <c r="F549" i="1"/>
  <c r="F546" i="1"/>
  <c r="F545" i="1"/>
  <c r="F544" i="1"/>
  <c r="F543" i="1"/>
  <c r="F541" i="1"/>
  <c r="F521" i="1"/>
  <c r="F518" i="1"/>
  <c r="F498" i="1"/>
  <c r="F493" i="1"/>
  <c r="F490" i="1"/>
  <c r="F489" i="1"/>
  <c r="F486" i="1"/>
  <c r="F511" i="1" l="1"/>
  <c r="F510" i="1"/>
  <c r="F400" i="1"/>
  <c r="V400" i="1" s="1"/>
  <c r="F393" i="1"/>
  <c r="F389" i="1"/>
  <c r="F381" i="1"/>
  <c r="F380" i="1"/>
  <c r="F392" i="1"/>
  <c r="F378" i="1"/>
  <c r="F377" i="1"/>
  <c r="F373" i="1"/>
  <c r="F369" i="1"/>
  <c r="F302" i="1"/>
  <c r="F301" i="1"/>
  <c r="F300" i="1"/>
  <c r="F298" i="1"/>
  <c r="F305" i="1"/>
  <c r="F307" i="1"/>
  <c r="F309" i="1"/>
  <c r="F325" i="1"/>
  <c r="F304" i="1"/>
  <c r="F303" i="1"/>
  <c r="F311" i="1"/>
  <c r="F314" i="1"/>
  <c r="F320" i="1"/>
  <c r="F326" i="1"/>
  <c r="F357" i="1"/>
  <c r="F360" i="1"/>
  <c r="F365" i="1"/>
  <c r="F366" i="1"/>
  <c r="F328" i="1"/>
  <c r="F331" i="1"/>
  <c r="F334" i="1"/>
  <c r="F336" i="1"/>
  <c r="F355" i="1"/>
  <c r="F354" i="1"/>
  <c r="F353" i="1"/>
  <c r="F324" i="1"/>
  <c r="F322" i="1"/>
  <c r="F321" i="1"/>
  <c r="F299" i="1"/>
  <c r="F294" i="1"/>
  <c r="F203" i="1"/>
  <c r="F266" i="1" l="1"/>
  <c r="F288" i="1"/>
  <c r="F275" i="1"/>
  <c r="T233" i="1" l="1"/>
  <c r="U233" i="1" s="1"/>
  <c r="F232" i="1"/>
  <c r="N232" i="1" s="1"/>
  <c r="O232" i="1" s="1"/>
  <c r="R231" i="1"/>
  <c r="S231" i="1" s="1"/>
  <c r="F229" i="1"/>
  <c r="P229" i="1" s="1"/>
  <c r="Q229" i="1" s="1"/>
  <c r="F225" i="1"/>
  <c r="V225" i="1" s="1"/>
  <c r="W225" i="1" s="1"/>
  <c r="F242" i="1"/>
  <c r="P242" i="1" s="1"/>
  <c r="Q242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23" i="1"/>
  <c r="L223" i="1"/>
  <c r="N223" i="1"/>
  <c r="P223" i="1"/>
  <c r="R223" i="1"/>
  <c r="T223" i="1"/>
  <c r="V223" i="1"/>
  <c r="V268" i="1"/>
  <c r="W268" i="1" s="1"/>
  <c r="T268" i="1"/>
  <c r="U268" i="1" s="1"/>
  <c r="R268" i="1"/>
  <c r="S268" i="1" s="1"/>
  <c r="P268" i="1"/>
  <c r="Q268" i="1" s="1"/>
  <c r="N268" i="1"/>
  <c r="O268" i="1" s="1"/>
  <c r="L268" i="1"/>
  <c r="M268" i="1" s="1"/>
  <c r="G268" i="1"/>
  <c r="F221" i="1"/>
  <c r="J221" i="1" s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J229" i="1" l="1"/>
  <c r="K229" i="1" s="1"/>
  <c r="L229" i="1"/>
  <c r="M229" i="1" s="1"/>
  <c r="T229" i="1"/>
  <c r="U229" i="1" s="1"/>
  <c r="V229" i="1"/>
  <c r="W229" i="1" s="1"/>
  <c r="R229" i="1"/>
  <c r="S229" i="1" s="1"/>
  <c r="H231" i="1"/>
  <c r="I231" i="1" s="1"/>
  <c r="J231" i="1"/>
  <c r="K231" i="1" s="1"/>
  <c r="H225" i="1"/>
  <c r="I225" i="1" s="1"/>
  <c r="H229" i="1"/>
  <c r="I229" i="1" s="1"/>
  <c r="N225" i="1"/>
  <c r="O225" i="1" s="1"/>
  <c r="L232" i="1"/>
  <c r="M232" i="1" s="1"/>
  <c r="P232" i="1"/>
  <c r="Q232" i="1" s="1"/>
  <c r="T232" i="1"/>
  <c r="U232" i="1" s="1"/>
  <c r="R232" i="1"/>
  <c r="S232" i="1" s="1"/>
  <c r="V232" i="1"/>
  <c r="W232" i="1" s="1"/>
  <c r="L242" i="1"/>
  <c r="M242" i="1" s="1"/>
  <c r="H232" i="1"/>
  <c r="I232" i="1" s="1"/>
  <c r="J232" i="1"/>
  <c r="K232" i="1" s="1"/>
  <c r="L221" i="1"/>
  <c r="M221" i="1" s="1"/>
  <c r="N221" i="1"/>
  <c r="O221" i="1" s="1"/>
  <c r="P221" i="1"/>
  <c r="Q221" i="1" s="1"/>
  <c r="R221" i="1"/>
  <c r="S221" i="1" s="1"/>
  <c r="T221" i="1"/>
  <c r="U221" i="1" s="1"/>
  <c r="V221" i="1"/>
  <c r="W221" i="1" s="1"/>
  <c r="R242" i="1"/>
  <c r="S242" i="1" s="1"/>
  <c r="N242" i="1"/>
  <c r="O242" i="1" s="1"/>
  <c r="H233" i="1"/>
  <c r="I233" i="1" s="1"/>
  <c r="V233" i="1"/>
  <c r="W233" i="1" s="1"/>
  <c r="J233" i="1"/>
  <c r="K233" i="1" s="1"/>
  <c r="L233" i="1"/>
  <c r="M233" i="1" s="1"/>
  <c r="P233" i="1"/>
  <c r="Q233" i="1" s="1"/>
  <c r="N233" i="1"/>
  <c r="O233" i="1" s="1"/>
  <c r="R233" i="1"/>
  <c r="S233" i="1" s="1"/>
  <c r="N231" i="1"/>
  <c r="O231" i="1" s="1"/>
  <c r="P231" i="1"/>
  <c r="Q231" i="1" s="1"/>
  <c r="L231" i="1"/>
  <c r="M231" i="1" s="1"/>
  <c r="V231" i="1"/>
  <c r="W231" i="1" s="1"/>
  <c r="T231" i="1"/>
  <c r="U231" i="1" s="1"/>
  <c r="N229" i="1"/>
  <c r="O229" i="1" s="1"/>
  <c r="J225" i="1"/>
  <c r="K225" i="1" s="1"/>
  <c r="L225" i="1"/>
  <c r="M225" i="1" s="1"/>
  <c r="T225" i="1"/>
  <c r="U225" i="1" s="1"/>
  <c r="P225" i="1"/>
  <c r="Q225" i="1" s="1"/>
  <c r="R225" i="1"/>
  <c r="S225" i="1" s="1"/>
  <c r="V242" i="1"/>
  <c r="W242" i="1" s="1"/>
  <c r="J242" i="1"/>
  <c r="K242" i="1" s="1"/>
  <c r="T242" i="1"/>
  <c r="U242" i="1" s="1"/>
  <c r="H242" i="1"/>
  <c r="I242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56" i="1" l="1"/>
  <c r="F28" i="1"/>
  <c r="F184" i="1"/>
  <c r="N184" i="1" s="1"/>
  <c r="O184" i="1" s="1"/>
  <c r="F183" i="1"/>
  <c r="F258" i="1"/>
  <c r="J258" i="1" s="1"/>
  <c r="K258" i="1" s="1"/>
  <c r="F550" i="1"/>
  <c r="V550" i="1" s="1"/>
  <c r="W550" i="1" s="1"/>
  <c r="F247" i="1"/>
  <c r="F165" i="1"/>
  <c r="F243" i="1"/>
  <c r="F434" i="1"/>
  <c r="F435" i="1"/>
  <c r="F164" i="1"/>
  <c r="F241" i="1"/>
  <c r="F374" i="1"/>
  <c r="F234" i="1"/>
  <c r="F257" i="1"/>
  <c r="F248" i="1"/>
  <c r="F383" i="1"/>
  <c r="F368" i="1"/>
  <c r="F394" i="1"/>
  <c r="F246" i="1"/>
  <c r="F250" i="1"/>
  <c r="F245" i="1"/>
  <c r="F244" i="1"/>
  <c r="F367" i="1"/>
  <c r="F364" i="1"/>
  <c r="F632" i="1"/>
  <c r="N247" i="1" l="1"/>
  <c r="O247" i="1" s="1"/>
  <c r="P247" i="1"/>
  <c r="Q247" i="1" s="1"/>
  <c r="R247" i="1"/>
  <c r="S247" i="1" s="1"/>
  <c r="H247" i="1"/>
  <c r="I247" i="1" s="1"/>
  <c r="T247" i="1"/>
  <c r="U247" i="1" s="1"/>
  <c r="L247" i="1"/>
  <c r="M247" i="1" s="1"/>
  <c r="J247" i="1"/>
  <c r="K247" i="1" s="1"/>
  <c r="V247" i="1"/>
  <c r="W247" i="1" s="1"/>
  <c r="R246" i="1"/>
  <c r="S246" i="1" s="1"/>
  <c r="H246" i="1"/>
  <c r="I246" i="1" s="1"/>
  <c r="T246" i="1"/>
  <c r="U246" i="1" s="1"/>
  <c r="J246" i="1"/>
  <c r="K246" i="1" s="1"/>
  <c r="V246" i="1"/>
  <c r="W246" i="1" s="1"/>
  <c r="L246" i="1"/>
  <c r="M246" i="1" s="1"/>
  <c r="P246" i="1"/>
  <c r="Q246" i="1" s="1"/>
  <c r="N246" i="1"/>
  <c r="O246" i="1" s="1"/>
  <c r="R243" i="1"/>
  <c r="S243" i="1" s="1"/>
  <c r="P243" i="1"/>
  <c r="Q243" i="1" s="1"/>
  <c r="H243" i="1"/>
  <c r="I243" i="1" s="1"/>
  <c r="T243" i="1"/>
  <c r="U243" i="1" s="1"/>
  <c r="J243" i="1"/>
  <c r="K243" i="1" s="1"/>
  <c r="V243" i="1"/>
  <c r="W243" i="1" s="1"/>
  <c r="L243" i="1"/>
  <c r="M243" i="1" s="1"/>
  <c r="N243" i="1"/>
  <c r="O243" i="1" s="1"/>
  <c r="J248" i="1"/>
  <c r="K248" i="1" s="1"/>
  <c r="V248" i="1"/>
  <c r="W248" i="1" s="1"/>
  <c r="L248" i="1"/>
  <c r="M248" i="1" s="1"/>
  <c r="N248" i="1"/>
  <c r="O248" i="1" s="1"/>
  <c r="H248" i="1"/>
  <c r="I248" i="1" s="1"/>
  <c r="P248" i="1"/>
  <c r="Q248" i="1" s="1"/>
  <c r="T248" i="1"/>
  <c r="U248" i="1" s="1"/>
  <c r="R248" i="1"/>
  <c r="S248" i="1" s="1"/>
  <c r="R249" i="1"/>
  <c r="S249" i="1" s="1"/>
  <c r="H249" i="1"/>
  <c r="I249" i="1" s="1"/>
  <c r="T249" i="1"/>
  <c r="U249" i="1" s="1"/>
  <c r="J249" i="1"/>
  <c r="K249" i="1" s="1"/>
  <c r="V249" i="1"/>
  <c r="W249" i="1" s="1"/>
  <c r="L249" i="1"/>
  <c r="M249" i="1" s="1"/>
  <c r="N249" i="1"/>
  <c r="O249" i="1" s="1"/>
  <c r="P249" i="1"/>
  <c r="Q249" i="1" s="1"/>
  <c r="H234" i="1"/>
  <c r="I234" i="1" s="1"/>
  <c r="V234" i="1"/>
  <c r="W234" i="1" s="1"/>
  <c r="T234" i="1"/>
  <c r="U234" i="1" s="1"/>
  <c r="R234" i="1"/>
  <c r="S234" i="1" s="1"/>
  <c r="P234" i="1"/>
  <c r="Q234" i="1" s="1"/>
  <c r="N234" i="1"/>
  <c r="O234" i="1" s="1"/>
  <c r="J234" i="1"/>
  <c r="K234" i="1" s="1"/>
  <c r="L234" i="1"/>
  <c r="M234" i="1" s="1"/>
  <c r="N244" i="1"/>
  <c r="O244" i="1" s="1"/>
  <c r="P244" i="1"/>
  <c r="Q244" i="1" s="1"/>
  <c r="R244" i="1"/>
  <c r="S244" i="1" s="1"/>
  <c r="L244" i="1"/>
  <c r="M244" i="1" s="1"/>
  <c r="H244" i="1"/>
  <c r="I244" i="1" s="1"/>
  <c r="T244" i="1"/>
  <c r="U244" i="1" s="1"/>
  <c r="J244" i="1"/>
  <c r="K244" i="1" s="1"/>
  <c r="V244" i="1"/>
  <c r="W244" i="1" s="1"/>
  <c r="N250" i="1"/>
  <c r="O250" i="1" s="1"/>
  <c r="P250" i="1"/>
  <c r="Q250" i="1" s="1"/>
  <c r="R250" i="1"/>
  <c r="S250" i="1" s="1"/>
  <c r="H250" i="1"/>
  <c r="I250" i="1" s="1"/>
  <c r="T250" i="1"/>
  <c r="U250" i="1" s="1"/>
  <c r="L250" i="1"/>
  <c r="M250" i="1" s="1"/>
  <c r="J250" i="1"/>
  <c r="K250" i="1" s="1"/>
  <c r="V250" i="1"/>
  <c r="W250" i="1" s="1"/>
  <c r="J245" i="1"/>
  <c r="K245" i="1" s="1"/>
  <c r="V245" i="1"/>
  <c r="W245" i="1" s="1"/>
  <c r="H245" i="1"/>
  <c r="I245" i="1" s="1"/>
  <c r="L245" i="1"/>
  <c r="M245" i="1" s="1"/>
  <c r="N245" i="1"/>
  <c r="O245" i="1" s="1"/>
  <c r="P245" i="1"/>
  <c r="Q245" i="1" s="1"/>
  <c r="R245" i="1"/>
  <c r="S245" i="1" s="1"/>
  <c r="T245" i="1"/>
  <c r="U245" i="1" s="1"/>
  <c r="N241" i="1"/>
  <c r="O241" i="1" s="1"/>
  <c r="P241" i="1"/>
  <c r="Q241" i="1" s="1"/>
  <c r="L241" i="1"/>
  <c r="M241" i="1" s="1"/>
  <c r="R241" i="1"/>
  <c r="S241" i="1" s="1"/>
  <c r="H241" i="1"/>
  <c r="I241" i="1" s="1"/>
  <c r="T241" i="1"/>
  <c r="U241" i="1" s="1"/>
  <c r="J241" i="1"/>
  <c r="K241" i="1" s="1"/>
  <c r="V241" i="1"/>
  <c r="W241" i="1" s="1"/>
  <c r="P184" i="1"/>
  <c r="Q184" i="1" s="1"/>
  <c r="R184" i="1"/>
  <c r="S184" i="1" s="1"/>
  <c r="T184" i="1"/>
  <c r="U184" i="1" s="1"/>
  <c r="V184" i="1"/>
  <c r="W184" i="1" s="1"/>
  <c r="G184" i="1"/>
  <c r="L184" i="1"/>
  <c r="M184" i="1" s="1"/>
  <c r="L258" i="1"/>
  <c r="M258" i="1" s="1"/>
  <c r="P258" i="1"/>
  <c r="Q258" i="1" s="1"/>
  <c r="R258" i="1"/>
  <c r="S258" i="1" s="1"/>
  <c r="H258" i="1"/>
  <c r="I258" i="1" s="1"/>
  <c r="N258" i="1"/>
  <c r="O258" i="1" s="1"/>
  <c r="G258" i="1"/>
  <c r="T258" i="1"/>
  <c r="U258" i="1" s="1"/>
  <c r="V258" i="1"/>
  <c r="W258" i="1" s="1"/>
  <c r="G550" i="1"/>
  <c r="T550" i="1"/>
  <c r="U550" i="1" s="1"/>
  <c r="L550" i="1"/>
  <c r="M550" i="1" s="1"/>
  <c r="N550" i="1"/>
  <c r="O550" i="1" s="1"/>
  <c r="P550" i="1"/>
  <c r="Q550" i="1" s="1"/>
  <c r="R550" i="1"/>
  <c r="S550" i="1" s="1"/>
  <c r="H550" i="1"/>
  <c r="I550" i="1" s="1"/>
  <c r="J550" i="1"/>
  <c r="K550" i="1" s="1"/>
  <c r="F251" i="1" l="1"/>
  <c r="J251" i="1" l="1"/>
  <c r="K251" i="1" s="1"/>
  <c r="V251" i="1"/>
  <c r="W251" i="1" s="1"/>
  <c r="T251" i="1"/>
  <c r="U251" i="1" s="1"/>
  <c r="L251" i="1"/>
  <c r="M251" i="1" s="1"/>
  <c r="N251" i="1"/>
  <c r="O251" i="1" s="1"/>
  <c r="P251" i="1"/>
  <c r="Q251" i="1" s="1"/>
  <c r="R251" i="1"/>
  <c r="S251" i="1" s="1"/>
  <c r="H251" i="1"/>
  <c r="I251" i="1" s="1"/>
  <c r="J410" i="1"/>
  <c r="K410" i="1" s="1"/>
  <c r="L410" i="1"/>
  <c r="P410" i="1"/>
  <c r="R410" i="1"/>
  <c r="T410" i="1"/>
  <c r="V410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J139" i="1"/>
  <c r="V139" i="1"/>
  <c r="T139" i="1"/>
  <c r="R139" i="1"/>
  <c r="P139" i="1"/>
  <c r="N139" i="1"/>
  <c r="L139" i="1"/>
  <c r="N205" i="1"/>
  <c r="O205" i="1" s="1"/>
  <c r="L205" i="1"/>
  <c r="M205" i="1" s="1"/>
  <c r="J205" i="1"/>
  <c r="K205" i="1" s="1"/>
  <c r="V457" i="1"/>
  <c r="N457" i="1"/>
  <c r="H457" i="1"/>
  <c r="F616" i="1"/>
  <c r="F600" i="1"/>
  <c r="F538" i="1"/>
  <c r="F532" i="1" l="1"/>
  <c r="F531" i="1"/>
  <c r="J522" i="1"/>
  <c r="K522" i="1" s="1"/>
  <c r="N521" i="1"/>
  <c r="O521" i="1" s="1"/>
  <c r="H523" i="1"/>
  <c r="I523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20" i="1"/>
  <c r="U520" i="1" s="1"/>
  <c r="V520" i="1"/>
  <c r="W520" i="1" s="1"/>
  <c r="J523" i="1"/>
  <c r="K523" i="1" s="1"/>
  <c r="L523" i="1"/>
  <c r="M523" i="1" s="1"/>
  <c r="N523" i="1"/>
  <c r="O523" i="1" s="1"/>
  <c r="P523" i="1"/>
  <c r="Q523" i="1" s="1"/>
  <c r="R523" i="1"/>
  <c r="S523" i="1" s="1"/>
  <c r="T523" i="1"/>
  <c r="U523" i="1" s="1"/>
  <c r="V523" i="1"/>
  <c r="W523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J536" i="1"/>
  <c r="K536" i="1" s="1"/>
  <c r="L536" i="1"/>
  <c r="M536" i="1" s="1"/>
  <c r="N536" i="1"/>
  <c r="O536" i="1" s="1"/>
  <c r="P536" i="1"/>
  <c r="Q536" i="1" s="1"/>
  <c r="R536" i="1"/>
  <c r="S536" i="1" s="1"/>
  <c r="T536" i="1"/>
  <c r="U536" i="1" s="1"/>
  <c r="V536" i="1"/>
  <c r="W536" i="1" s="1"/>
  <c r="F505" i="1"/>
  <c r="F504" i="1"/>
  <c r="F503" i="1"/>
  <c r="F502" i="1"/>
  <c r="F501" i="1"/>
  <c r="F500" i="1"/>
  <c r="F492" i="1"/>
  <c r="F491" i="1"/>
  <c r="F483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482" i="1"/>
  <c r="V482" i="1" s="1"/>
  <c r="F481" i="1"/>
  <c r="N481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J438" i="1"/>
  <c r="K438" i="1" s="1"/>
  <c r="H438" i="1"/>
  <c r="I438" i="1" s="1"/>
  <c r="V436" i="1"/>
  <c r="W436" i="1" s="1"/>
  <c r="T436" i="1"/>
  <c r="U436" i="1" s="1"/>
  <c r="R436" i="1"/>
  <c r="S436" i="1" s="1"/>
  <c r="P436" i="1"/>
  <c r="Q436" i="1" s="1"/>
  <c r="N436" i="1"/>
  <c r="O436" i="1" s="1"/>
  <c r="L436" i="1"/>
  <c r="M436" i="1" s="1"/>
  <c r="J436" i="1"/>
  <c r="K436" i="1" s="1"/>
  <c r="H436" i="1"/>
  <c r="I436" i="1" s="1"/>
  <c r="N329" i="1"/>
  <c r="O329" i="1" s="1"/>
  <c r="L329" i="1"/>
  <c r="M329" i="1" s="1"/>
  <c r="J329" i="1"/>
  <c r="K329" i="1" s="1"/>
  <c r="H329" i="1"/>
  <c r="I329" i="1" s="1"/>
  <c r="F539" i="1"/>
  <c r="V539" i="1" s="1"/>
  <c r="W539" i="1" s="1"/>
  <c r="F540" i="1"/>
  <c r="J540" i="1" s="1"/>
  <c r="K540" i="1" s="1"/>
  <c r="V176" i="1"/>
  <c r="T176" i="1"/>
  <c r="R176" i="1"/>
  <c r="P176" i="1"/>
  <c r="N176" i="1"/>
  <c r="L176" i="1"/>
  <c r="L180" i="1"/>
  <c r="M180" i="1" s="1"/>
  <c r="L179" i="1"/>
  <c r="M179" i="1" s="1"/>
  <c r="L178" i="1"/>
  <c r="M178" i="1" s="1"/>
  <c r="L177" i="1"/>
  <c r="L181" i="1"/>
  <c r="M181" i="1" s="1"/>
  <c r="N177" i="1"/>
  <c r="V182" i="1"/>
  <c r="T182" i="1"/>
  <c r="R182" i="1"/>
  <c r="P182" i="1"/>
  <c r="N182" i="1"/>
  <c r="L182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N180" i="1"/>
  <c r="O180" i="1" s="1"/>
  <c r="P180" i="1"/>
  <c r="Q180" i="1" s="1"/>
  <c r="R180" i="1"/>
  <c r="S180" i="1" s="1"/>
  <c r="T180" i="1"/>
  <c r="U180" i="1" s="1"/>
  <c r="V180" i="1"/>
  <c r="N181" i="1"/>
  <c r="O181" i="1" s="1"/>
  <c r="P181" i="1"/>
  <c r="Q181" i="1" s="1"/>
  <c r="R181" i="1"/>
  <c r="S181" i="1" s="1"/>
  <c r="T181" i="1"/>
  <c r="U181" i="1" s="1"/>
  <c r="V181" i="1"/>
  <c r="V177" i="1"/>
  <c r="R177" i="1"/>
  <c r="T177" i="1"/>
  <c r="P177" i="1"/>
  <c r="N522" i="1" l="1"/>
  <c r="O522" i="1" s="1"/>
  <c r="R540" i="1"/>
  <c r="S540" i="1" s="1"/>
  <c r="P481" i="1"/>
  <c r="V540" i="1"/>
  <c r="W540" i="1" s="1"/>
  <c r="L540" i="1"/>
  <c r="M540" i="1" s="1"/>
  <c r="J482" i="1"/>
  <c r="N482" i="1"/>
  <c r="T521" i="1"/>
  <c r="U521" i="1" s="1"/>
  <c r="P482" i="1"/>
  <c r="T540" i="1"/>
  <c r="U540" i="1" s="1"/>
  <c r="R521" i="1"/>
  <c r="S521" i="1" s="1"/>
  <c r="R481" i="1"/>
  <c r="V481" i="1"/>
  <c r="L482" i="1"/>
  <c r="R482" i="1"/>
  <c r="L521" i="1"/>
  <c r="M521" i="1" s="1"/>
  <c r="T482" i="1"/>
  <c r="P540" i="1"/>
  <c r="Q540" i="1" s="1"/>
  <c r="V522" i="1"/>
  <c r="W522" i="1" s="1"/>
  <c r="J521" i="1"/>
  <c r="K521" i="1" s="1"/>
  <c r="T481" i="1"/>
  <c r="T522" i="1"/>
  <c r="U522" i="1" s="1"/>
  <c r="L522" i="1"/>
  <c r="M522" i="1" s="1"/>
  <c r="R522" i="1"/>
  <c r="S522" i="1" s="1"/>
  <c r="H522" i="1"/>
  <c r="I522" i="1" s="1"/>
  <c r="P522" i="1"/>
  <c r="Q522" i="1" s="1"/>
  <c r="H521" i="1"/>
  <c r="I521" i="1" s="1"/>
  <c r="H482" i="1"/>
  <c r="V521" i="1"/>
  <c r="W521" i="1" s="1"/>
  <c r="T539" i="1"/>
  <c r="U539" i="1" s="1"/>
  <c r="R539" i="1"/>
  <c r="S539" i="1" s="1"/>
  <c r="P539" i="1"/>
  <c r="Q539" i="1" s="1"/>
  <c r="P521" i="1"/>
  <c r="Q521" i="1" s="1"/>
  <c r="N540" i="1"/>
  <c r="O540" i="1" s="1"/>
  <c r="N539" i="1"/>
  <c r="O539" i="1" s="1"/>
  <c r="H540" i="1"/>
  <c r="I540" i="1" s="1"/>
  <c r="H539" i="1"/>
  <c r="I539" i="1" s="1"/>
  <c r="L539" i="1"/>
  <c r="M539" i="1" s="1"/>
  <c r="J539" i="1"/>
  <c r="K539" i="1" s="1"/>
  <c r="H221" i="1"/>
  <c r="J481" i="1"/>
  <c r="L481" i="1"/>
  <c r="H481" i="1"/>
  <c r="G539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227" i="1" l="1"/>
  <c r="T227" i="1" l="1"/>
  <c r="U227" i="1" s="1"/>
  <c r="R227" i="1"/>
  <c r="S227" i="1" s="1"/>
  <c r="P227" i="1"/>
  <c r="Q227" i="1" s="1"/>
  <c r="N227" i="1"/>
  <c r="O227" i="1" s="1"/>
  <c r="L227" i="1"/>
  <c r="M227" i="1" s="1"/>
  <c r="V227" i="1"/>
  <c r="W227" i="1" s="1"/>
  <c r="J227" i="1"/>
  <c r="K227" i="1" s="1"/>
  <c r="H227" i="1"/>
  <c r="I227" i="1" s="1"/>
  <c r="G231" i="1"/>
  <c r="G227" i="1"/>
  <c r="G378" i="1"/>
  <c r="J378" i="1" l="1"/>
  <c r="K378" i="1" s="1"/>
  <c r="R378" i="1"/>
  <c r="S378" i="1" s="1"/>
  <c r="L378" i="1"/>
  <c r="M378" i="1" s="1"/>
  <c r="T378" i="1"/>
  <c r="U378" i="1" s="1"/>
  <c r="N378" i="1"/>
  <c r="O378" i="1" s="1"/>
  <c r="V378" i="1"/>
  <c r="W378" i="1" s="1"/>
  <c r="H378" i="1"/>
  <c r="I378" i="1" s="1"/>
  <c r="P378" i="1"/>
  <c r="Q378" i="1" s="1"/>
  <c r="L214" i="1"/>
  <c r="N213" i="1"/>
  <c r="O213" i="1" s="1"/>
  <c r="L213" i="1"/>
  <c r="M213" i="1" s="1"/>
  <c r="J213" i="1"/>
  <c r="K213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202" i="1"/>
  <c r="W202" i="1" s="1"/>
  <c r="T202" i="1"/>
  <c r="U202" i="1" s="1"/>
  <c r="V201" i="1"/>
  <c r="W201" i="1" s="1"/>
  <c r="T201" i="1"/>
  <c r="U201" i="1" s="1"/>
  <c r="V200" i="1"/>
  <c r="W200" i="1" s="1"/>
  <c r="T200" i="1"/>
  <c r="U200" i="1" s="1"/>
  <c r="R200" i="1"/>
  <c r="S200" i="1" s="1"/>
  <c r="P200" i="1"/>
  <c r="Q200" i="1" s="1"/>
  <c r="N200" i="1"/>
  <c r="O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W223" i="1"/>
  <c r="U223" i="1"/>
  <c r="S223" i="1"/>
  <c r="Q223" i="1"/>
  <c r="O223" i="1"/>
  <c r="M223" i="1"/>
  <c r="K223" i="1"/>
  <c r="H223" i="1"/>
  <c r="I223" i="1" s="1"/>
  <c r="W182" i="1" l="1"/>
  <c r="U182" i="1"/>
  <c r="S182" i="1"/>
  <c r="Q182" i="1"/>
  <c r="O182" i="1"/>
  <c r="M182" i="1"/>
  <c r="W181" i="1"/>
  <c r="W180" i="1"/>
  <c r="W179" i="1"/>
  <c r="W178" i="1"/>
  <c r="T147" i="1" l="1"/>
  <c r="V147" i="1"/>
  <c r="R147" i="1"/>
  <c r="V110" i="1"/>
  <c r="W110" i="1" s="1"/>
  <c r="T110" i="1"/>
  <c r="U110" i="1" s="1"/>
  <c r="R110" i="1"/>
  <c r="S110" i="1" s="1"/>
  <c r="P110" i="1"/>
  <c r="Q110" i="1" s="1"/>
  <c r="N110" i="1"/>
  <c r="O110" i="1" s="1"/>
  <c r="V109" i="1"/>
  <c r="T109" i="1"/>
  <c r="R109" i="1"/>
  <c r="P109" i="1"/>
  <c r="N109" i="1"/>
  <c r="L94" i="1"/>
  <c r="J94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59" i="1"/>
  <c r="T259" i="1"/>
  <c r="R259" i="1"/>
  <c r="P259" i="1"/>
  <c r="N259" i="1"/>
  <c r="L259" i="1"/>
  <c r="J259" i="1"/>
  <c r="V264" i="1" l="1"/>
  <c r="W264" i="1" s="1"/>
  <c r="T264" i="1"/>
  <c r="U264" i="1" s="1"/>
  <c r="R264" i="1"/>
  <c r="S264" i="1" s="1"/>
  <c r="P264" i="1"/>
  <c r="Q264" i="1" s="1"/>
  <c r="N264" i="1"/>
  <c r="O264" i="1" s="1"/>
  <c r="V263" i="1"/>
  <c r="W263" i="1" s="1"/>
  <c r="T263" i="1"/>
  <c r="U263" i="1" s="1"/>
  <c r="R263" i="1"/>
  <c r="S263" i="1" s="1"/>
  <c r="P263" i="1"/>
  <c r="Q263" i="1" s="1"/>
  <c r="N263" i="1"/>
  <c r="O263" i="1" s="1"/>
  <c r="V262" i="1"/>
  <c r="W262" i="1" s="1"/>
  <c r="T262" i="1"/>
  <c r="U262" i="1" s="1"/>
  <c r="R262" i="1"/>
  <c r="S262" i="1" s="1"/>
  <c r="P262" i="1"/>
  <c r="Q262" i="1" s="1"/>
  <c r="N262" i="1"/>
  <c r="O262" i="1" s="1"/>
  <c r="V261" i="1"/>
  <c r="W261" i="1" s="1"/>
  <c r="T261" i="1"/>
  <c r="U261" i="1" s="1"/>
  <c r="R261" i="1"/>
  <c r="S261" i="1" s="1"/>
  <c r="P261" i="1"/>
  <c r="Q261" i="1" s="1"/>
  <c r="N261" i="1"/>
  <c r="O261" i="1" s="1"/>
  <c r="R260" i="1"/>
  <c r="T260" i="1"/>
  <c r="V260" i="1"/>
  <c r="P260" i="1"/>
  <c r="N260" i="1"/>
  <c r="V445" i="1"/>
  <c r="W445" i="1" s="1"/>
  <c r="V444" i="1"/>
  <c r="W444" i="1" s="1"/>
  <c r="V443" i="1"/>
  <c r="W443" i="1" s="1"/>
  <c r="V442" i="1"/>
  <c r="W442" i="1" s="1"/>
  <c r="V441" i="1"/>
  <c r="W441" i="1" s="1"/>
  <c r="V440" i="1"/>
  <c r="W440" i="1" s="1"/>
  <c r="J455" i="1"/>
  <c r="J456" i="1"/>
  <c r="J453" i="1"/>
  <c r="J452" i="1"/>
  <c r="H453" i="1"/>
  <c r="H452" i="1"/>
  <c r="H455" i="1"/>
  <c r="H456" i="1"/>
  <c r="V456" i="1"/>
  <c r="W456" i="1" s="1"/>
  <c r="V455" i="1"/>
  <c r="W455" i="1" s="1"/>
  <c r="V452" i="1"/>
  <c r="V453" i="1"/>
  <c r="T452" i="1"/>
  <c r="U452" i="1" s="1"/>
  <c r="R452" i="1"/>
  <c r="S452" i="1" s="1"/>
  <c r="P452" i="1"/>
  <c r="Q452" i="1" s="1"/>
  <c r="N452" i="1"/>
  <c r="O452" i="1" s="1"/>
  <c r="L452" i="1"/>
  <c r="M452" i="1" s="1"/>
  <c r="T453" i="1"/>
  <c r="U453" i="1" s="1"/>
  <c r="R453" i="1"/>
  <c r="S453" i="1" s="1"/>
  <c r="P453" i="1"/>
  <c r="Q453" i="1" s="1"/>
  <c r="N453" i="1"/>
  <c r="O453" i="1" s="1"/>
  <c r="L453" i="1"/>
  <c r="M453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R441" i="1"/>
  <c r="S441" i="1" s="1"/>
  <c r="R442" i="1"/>
  <c r="S442" i="1" s="1"/>
  <c r="R443" i="1"/>
  <c r="S443" i="1" s="1"/>
  <c r="R444" i="1"/>
  <c r="S444" i="1" s="1"/>
  <c r="R445" i="1"/>
  <c r="S445" i="1" s="1"/>
  <c r="R440" i="1"/>
  <c r="P445" i="1"/>
  <c r="P444" i="1"/>
  <c r="P443" i="1"/>
  <c r="P442" i="1"/>
  <c r="P441" i="1"/>
  <c r="P440" i="1"/>
  <c r="N441" i="1"/>
  <c r="O441" i="1" s="1"/>
  <c r="N442" i="1"/>
  <c r="O442" i="1" s="1"/>
  <c r="N443" i="1"/>
  <c r="O443" i="1" s="1"/>
  <c r="N444" i="1"/>
  <c r="O444" i="1" s="1"/>
  <c r="N440" i="1"/>
  <c r="O440" i="1" s="1"/>
  <c r="N445" i="1"/>
  <c r="L445" i="1"/>
  <c r="L444" i="1"/>
  <c r="L443" i="1"/>
  <c r="L442" i="1"/>
  <c r="L441" i="1"/>
  <c r="L440" i="1"/>
  <c r="T445" i="1"/>
  <c r="T444" i="1"/>
  <c r="T443" i="1"/>
  <c r="T442" i="1"/>
  <c r="T441" i="1"/>
  <c r="T440" i="1"/>
  <c r="L372" i="1"/>
  <c r="M372" i="1" s="1"/>
  <c r="N372" i="1"/>
  <c r="O372" i="1" s="1"/>
  <c r="P372" i="1"/>
  <c r="Q372" i="1" s="1"/>
  <c r="R372" i="1"/>
  <c r="S372" i="1" s="1"/>
  <c r="T372" i="1"/>
  <c r="U372" i="1" s="1"/>
  <c r="V372" i="1"/>
  <c r="W372" i="1" s="1"/>
  <c r="L344" i="1"/>
  <c r="M344" i="1" s="1"/>
  <c r="N344" i="1"/>
  <c r="O344" i="1" s="1"/>
  <c r="P344" i="1"/>
  <c r="Q344" i="1" s="1"/>
  <c r="R344" i="1"/>
  <c r="S344" i="1" s="1"/>
  <c r="T344" i="1"/>
  <c r="U344" i="1" s="1"/>
  <c r="V344" i="1"/>
  <c r="W344" i="1" s="1"/>
  <c r="L351" i="1"/>
  <c r="M351" i="1" s="1"/>
  <c r="N351" i="1"/>
  <c r="O351" i="1" s="1"/>
  <c r="P351" i="1"/>
  <c r="Q351" i="1" s="1"/>
  <c r="R351" i="1"/>
  <c r="S351" i="1" s="1"/>
  <c r="T351" i="1"/>
  <c r="U351" i="1" s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V269" i="1"/>
  <c r="W269" i="1" s="1"/>
  <c r="T269" i="1"/>
  <c r="U269" i="1" s="1"/>
  <c r="R269" i="1"/>
  <c r="S269" i="1" s="1"/>
  <c r="P269" i="1"/>
  <c r="Q269" i="1" s="1"/>
  <c r="N269" i="1"/>
  <c r="O269" i="1" s="1"/>
  <c r="L269" i="1"/>
  <c r="M269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J273" i="1"/>
  <c r="K273" i="1" s="1"/>
  <c r="H273" i="1"/>
  <c r="I273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93" i="1"/>
  <c r="V292" i="1"/>
  <c r="T293" i="1"/>
  <c r="T292" i="1"/>
  <c r="R293" i="1"/>
  <c r="R292" i="1"/>
  <c r="P293" i="1"/>
  <c r="P292" i="1"/>
  <c r="N292" i="1"/>
  <c r="N293" i="1"/>
  <c r="L292" i="1"/>
  <c r="L293" i="1"/>
  <c r="J293" i="1"/>
  <c r="H292" i="1"/>
  <c r="H293" i="1"/>
  <c r="J292" i="1"/>
  <c r="J297" i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R266" i="1" l="1"/>
  <c r="S266" i="1" s="1"/>
  <c r="P266" i="1"/>
  <c r="Q266" i="1" s="1"/>
  <c r="T266" i="1"/>
  <c r="U266" i="1" s="1"/>
  <c r="N266" i="1"/>
  <c r="O266" i="1" s="1"/>
  <c r="L266" i="1"/>
  <c r="M266" i="1" s="1"/>
  <c r="J266" i="1"/>
  <c r="K266" i="1" s="1"/>
  <c r="H266" i="1"/>
  <c r="I266" i="1" s="1"/>
  <c r="V266" i="1"/>
  <c r="W266" i="1" s="1"/>
  <c r="G266" i="1"/>
  <c r="V28" i="1" l="1"/>
  <c r="T28" i="1"/>
  <c r="R28" i="1"/>
  <c r="N28" i="1"/>
  <c r="P28" i="1"/>
  <c r="L28" i="1"/>
  <c r="N345" i="1"/>
  <c r="O345" i="1" s="1"/>
  <c r="P345" i="1"/>
  <c r="Q345" i="1" s="1"/>
  <c r="R345" i="1"/>
  <c r="S345" i="1" s="1"/>
  <c r="T345" i="1"/>
  <c r="U345" i="1" s="1"/>
  <c r="J345" i="1"/>
  <c r="K345" i="1" s="1"/>
  <c r="V345" i="1"/>
  <c r="W345" i="1" s="1"/>
  <c r="L345" i="1"/>
  <c r="M345" i="1" s="1"/>
  <c r="G345" i="1"/>
  <c r="W410" i="1"/>
  <c r="U410" i="1"/>
  <c r="S410" i="1"/>
  <c r="Q410" i="1"/>
  <c r="N410" i="1"/>
  <c r="O410" i="1" s="1"/>
  <c r="M410" i="1"/>
  <c r="N413" i="1"/>
  <c r="L413" i="1"/>
  <c r="J413" i="1"/>
  <c r="R413" i="1"/>
  <c r="T413" i="1"/>
  <c r="V413" i="1"/>
  <c r="P413" i="1"/>
  <c r="V411" i="1"/>
  <c r="W411" i="1" s="1"/>
  <c r="T411" i="1"/>
  <c r="U411" i="1" s="1"/>
  <c r="R411" i="1"/>
  <c r="S411" i="1" s="1"/>
  <c r="P411" i="1"/>
  <c r="Q411" i="1" s="1"/>
  <c r="N411" i="1"/>
  <c r="O411" i="1" s="1"/>
  <c r="L411" i="1"/>
  <c r="M411" i="1" s="1"/>
  <c r="J411" i="1"/>
  <c r="K411" i="1" s="1"/>
  <c r="G411" i="1"/>
  <c r="G412" i="1"/>
  <c r="G410" i="1"/>
  <c r="R400" i="1" l="1"/>
  <c r="S400" i="1" s="1"/>
  <c r="P400" i="1"/>
  <c r="Q400" i="1" s="1"/>
  <c r="L400" i="1"/>
  <c r="M400" i="1" s="1"/>
  <c r="J400" i="1"/>
  <c r="K400" i="1" s="1"/>
  <c r="W400" i="1"/>
  <c r="H400" i="1"/>
  <c r="T400" i="1"/>
  <c r="U400" i="1" s="1"/>
  <c r="N400" i="1"/>
  <c r="O400" i="1" s="1"/>
  <c r="G400" i="1"/>
  <c r="I400" i="1"/>
  <c r="F416" i="1"/>
  <c r="F415" i="1"/>
  <c r="P415" i="1" l="1"/>
  <c r="Q415" i="1" s="1"/>
  <c r="N415" i="1"/>
  <c r="O415" i="1" s="1"/>
  <c r="L415" i="1"/>
  <c r="J415" i="1"/>
  <c r="K415" i="1" s="1"/>
  <c r="H415" i="1"/>
  <c r="R415" i="1"/>
  <c r="S415" i="1" s="1"/>
  <c r="P416" i="1"/>
  <c r="Q416" i="1" s="1"/>
  <c r="N416" i="1"/>
  <c r="O416" i="1" s="1"/>
  <c r="L416" i="1"/>
  <c r="M416" i="1" s="1"/>
  <c r="V416" i="1"/>
  <c r="W416" i="1" s="1"/>
  <c r="T416" i="1"/>
  <c r="U416" i="1" s="1"/>
  <c r="J416" i="1"/>
  <c r="K416" i="1" s="1"/>
  <c r="H416" i="1"/>
  <c r="I416" i="1" s="1"/>
  <c r="R416" i="1"/>
  <c r="S416" i="1" s="1"/>
  <c r="G415" i="1"/>
  <c r="M415" i="1"/>
  <c r="V415" i="1"/>
  <c r="W415" i="1" s="1"/>
  <c r="T415" i="1"/>
  <c r="U415" i="1" s="1"/>
  <c r="I415" i="1"/>
  <c r="L343" i="1" l="1"/>
  <c r="M343" i="1" s="1"/>
  <c r="N343" i="1"/>
  <c r="O343" i="1" s="1"/>
  <c r="P343" i="1"/>
  <c r="Q343" i="1" s="1"/>
  <c r="R343" i="1"/>
  <c r="S343" i="1" s="1"/>
  <c r="T343" i="1"/>
  <c r="U343" i="1" s="1"/>
  <c r="V343" i="1"/>
  <c r="W343" i="1" s="1"/>
  <c r="R340" i="1"/>
  <c r="S340" i="1" s="1"/>
  <c r="P340" i="1"/>
  <c r="Q340" i="1" s="1"/>
  <c r="N340" i="1"/>
  <c r="O340" i="1" s="1"/>
  <c r="L340" i="1"/>
  <c r="M340" i="1" s="1"/>
  <c r="V340" i="1"/>
  <c r="W340" i="1" s="1"/>
  <c r="T340" i="1"/>
  <c r="U340" i="1" s="1"/>
  <c r="P339" i="1"/>
  <c r="Q339" i="1" s="1"/>
  <c r="N339" i="1"/>
  <c r="O339" i="1" s="1"/>
  <c r="V339" i="1"/>
  <c r="W339" i="1" s="1"/>
  <c r="T339" i="1"/>
  <c r="U339" i="1" s="1"/>
  <c r="R339" i="1"/>
  <c r="S339" i="1" s="1"/>
  <c r="G338" i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L294" i="1"/>
  <c r="M294" i="1" s="1"/>
  <c r="J294" i="1"/>
  <c r="K294" i="1" s="1"/>
  <c r="P294" i="1"/>
  <c r="Q294" i="1" s="1"/>
  <c r="V294" i="1"/>
  <c r="W294" i="1" s="1"/>
  <c r="H294" i="1"/>
  <c r="I294" i="1" s="1"/>
  <c r="T294" i="1"/>
  <c r="U294" i="1" s="1"/>
  <c r="N294" i="1"/>
  <c r="O294" i="1" s="1"/>
  <c r="R294" i="1"/>
  <c r="S294" i="1" s="1"/>
  <c r="G343" i="1"/>
  <c r="G340" i="1"/>
  <c r="G294" i="1"/>
  <c r="W10" i="1" l="1"/>
  <c r="U10" i="1"/>
  <c r="S10" i="1"/>
  <c r="Q10" i="1"/>
  <c r="O10" i="1"/>
  <c r="F335" i="1" l="1"/>
  <c r="F422" i="1"/>
  <c r="F419" i="1"/>
  <c r="F417" i="1"/>
  <c r="F439" i="1"/>
  <c r="F128" i="1"/>
  <c r="W431" i="1"/>
  <c r="U431" i="1"/>
  <c r="S431" i="1"/>
  <c r="Q431" i="1"/>
  <c r="O431" i="1"/>
  <c r="W432" i="1"/>
  <c r="U432" i="1"/>
  <c r="S432" i="1"/>
  <c r="Q432" i="1"/>
  <c r="O432" i="1"/>
  <c r="W430" i="1"/>
  <c r="U430" i="1"/>
  <c r="S430" i="1"/>
  <c r="Q430" i="1"/>
  <c r="O430" i="1"/>
  <c r="T417" i="1" l="1"/>
  <c r="U417" i="1" s="1"/>
  <c r="V417" i="1"/>
  <c r="W417" i="1" s="1"/>
  <c r="R417" i="1"/>
  <c r="S417" i="1" s="1"/>
  <c r="P417" i="1"/>
  <c r="Q417" i="1" s="1"/>
  <c r="H417" i="1"/>
  <c r="I417" i="1" s="1"/>
  <c r="N417" i="1"/>
  <c r="O417" i="1" s="1"/>
  <c r="L417" i="1"/>
  <c r="M417" i="1" s="1"/>
  <c r="J417" i="1"/>
  <c r="K417" i="1" s="1"/>
  <c r="J419" i="1"/>
  <c r="K419" i="1" s="1"/>
  <c r="L419" i="1"/>
  <c r="M419" i="1" s="1"/>
  <c r="H419" i="1"/>
  <c r="I419" i="1" s="1"/>
  <c r="P419" i="1"/>
  <c r="Q419" i="1" s="1"/>
  <c r="N419" i="1"/>
  <c r="O419" i="1" s="1"/>
  <c r="T419" i="1"/>
  <c r="U419" i="1" s="1"/>
  <c r="V419" i="1"/>
  <c r="W419" i="1" s="1"/>
  <c r="R419" i="1"/>
  <c r="S419" i="1" s="1"/>
  <c r="V439" i="1"/>
  <c r="W439" i="1" s="1"/>
  <c r="J439" i="1"/>
  <c r="K439" i="1" s="1"/>
  <c r="T439" i="1"/>
  <c r="U439" i="1" s="1"/>
  <c r="L439" i="1"/>
  <c r="M439" i="1" s="1"/>
  <c r="H439" i="1"/>
  <c r="I439" i="1" s="1"/>
  <c r="R439" i="1"/>
  <c r="S439" i="1" s="1"/>
  <c r="P439" i="1"/>
  <c r="Q439" i="1" s="1"/>
  <c r="N439" i="1"/>
  <c r="O439" i="1" s="1"/>
  <c r="V422" i="1"/>
  <c r="W422" i="1" s="1"/>
  <c r="J422" i="1"/>
  <c r="K422" i="1" s="1"/>
  <c r="T422" i="1"/>
  <c r="U422" i="1" s="1"/>
  <c r="R422" i="1"/>
  <c r="S422" i="1" s="1"/>
  <c r="L422" i="1"/>
  <c r="M422" i="1" s="1"/>
  <c r="P422" i="1"/>
  <c r="Q422" i="1" s="1"/>
  <c r="H422" i="1"/>
  <c r="I422" i="1" s="1"/>
  <c r="N422" i="1"/>
  <c r="O422" i="1" s="1"/>
  <c r="L128" i="1"/>
  <c r="M128" i="1" s="1"/>
  <c r="N128" i="1"/>
  <c r="O128" i="1" s="1"/>
  <c r="J128" i="1"/>
  <c r="K128" i="1" s="1"/>
  <c r="P128" i="1"/>
  <c r="Q128" i="1" s="1"/>
  <c r="V128" i="1"/>
  <c r="W128" i="1" s="1"/>
  <c r="T128" i="1"/>
  <c r="U128" i="1" s="1"/>
  <c r="R128" i="1"/>
  <c r="S128" i="1" s="1"/>
  <c r="R335" i="1"/>
  <c r="S335" i="1" s="1"/>
  <c r="P335" i="1"/>
  <c r="Q335" i="1" s="1"/>
  <c r="N335" i="1"/>
  <c r="O335" i="1" s="1"/>
  <c r="L335" i="1"/>
  <c r="M335" i="1" s="1"/>
  <c r="V335" i="1"/>
  <c r="W335" i="1" s="1"/>
  <c r="T335" i="1"/>
  <c r="U335" i="1" s="1"/>
  <c r="G335" i="1"/>
  <c r="G245" i="1"/>
  <c r="G422" i="1"/>
  <c r="G419" i="1"/>
  <c r="G128" i="1"/>
  <c r="G439" i="1"/>
  <c r="N299" i="1" l="1"/>
  <c r="O299" i="1" s="1"/>
  <c r="L299" i="1"/>
  <c r="M299" i="1" s="1"/>
  <c r="T299" i="1"/>
  <c r="U299" i="1" s="1"/>
  <c r="V299" i="1"/>
  <c r="W299" i="1" s="1"/>
  <c r="P299" i="1"/>
  <c r="Q299" i="1" s="1"/>
  <c r="R299" i="1"/>
  <c r="S299" i="1" s="1"/>
  <c r="T353" i="1" l="1"/>
  <c r="U353" i="1" s="1"/>
  <c r="V353" i="1"/>
  <c r="W353" i="1" s="1"/>
  <c r="L353" i="1"/>
  <c r="M353" i="1" s="1"/>
  <c r="N353" i="1"/>
  <c r="O353" i="1" s="1"/>
  <c r="P353" i="1"/>
  <c r="Q353" i="1" s="1"/>
  <c r="R353" i="1"/>
  <c r="S353" i="1" s="1"/>
  <c r="F195" i="1"/>
  <c r="P195" i="1" l="1"/>
  <c r="Q195" i="1" s="1"/>
  <c r="N195" i="1"/>
  <c r="O195" i="1" s="1"/>
  <c r="L195" i="1"/>
  <c r="M195" i="1" s="1"/>
  <c r="V195" i="1"/>
  <c r="W195" i="1" s="1"/>
  <c r="T195" i="1"/>
  <c r="U195" i="1" s="1"/>
  <c r="R195" i="1"/>
  <c r="S195" i="1" s="1"/>
  <c r="J195" i="1"/>
  <c r="K195" i="1" s="1"/>
  <c r="G339" i="1"/>
  <c r="G195" i="1"/>
  <c r="F621" i="1" l="1"/>
  <c r="V283" i="1" l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G283" i="1"/>
  <c r="L144" i="1"/>
  <c r="M144" i="1" s="1"/>
  <c r="J144" i="1"/>
  <c r="K144" i="1" s="1"/>
  <c r="V144" i="1"/>
  <c r="W144" i="1" s="1"/>
  <c r="T144" i="1"/>
  <c r="U144" i="1" s="1"/>
  <c r="R144" i="1"/>
  <c r="S144" i="1" s="1"/>
  <c r="P144" i="1"/>
  <c r="Q144" i="1" s="1"/>
  <c r="N144" i="1"/>
  <c r="O144" i="1" s="1"/>
  <c r="V140" i="1"/>
  <c r="T140" i="1"/>
  <c r="R140" i="1"/>
  <c r="P140" i="1"/>
  <c r="N140" i="1"/>
  <c r="L140" i="1"/>
  <c r="J140" i="1"/>
  <c r="J147" i="1" l="1"/>
  <c r="L147" i="1"/>
  <c r="N147" i="1"/>
  <c r="P147" i="1"/>
  <c r="F198" i="1" l="1"/>
  <c r="L198" i="1" l="1"/>
  <c r="M198" i="1" s="1"/>
  <c r="J198" i="1"/>
  <c r="K198" i="1" s="1"/>
  <c r="P198" i="1"/>
  <c r="Q198" i="1" s="1"/>
  <c r="H198" i="1"/>
  <c r="I198" i="1" s="1"/>
  <c r="N198" i="1"/>
  <c r="O198" i="1" s="1"/>
  <c r="G198" i="1"/>
  <c r="W293" i="1"/>
  <c r="U293" i="1"/>
  <c r="S293" i="1"/>
  <c r="Q293" i="1"/>
  <c r="O293" i="1"/>
  <c r="M293" i="1"/>
  <c r="K293" i="1"/>
  <c r="I293" i="1"/>
  <c r="W292" i="1"/>
  <c r="U292" i="1"/>
  <c r="S292" i="1"/>
  <c r="Q292" i="1"/>
  <c r="O292" i="1"/>
  <c r="M292" i="1"/>
  <c r="K292" i="1"/>
  <c r="I292" i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0" i="1"/>
  <c r="T405" i="1"/>
  <c r="R405" i="1"/>
  <c r="P405" i="1"/>
  <c r="N405" i="1"/>
  <c r="L405" i="1"/>
  <c r="F384" i="1"/>
  <c r="F295" i="1"/>
  <c r="F284" i="1"/>
  <c r="V271" i="1" l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H271" i="1"/>
  <c r="I271" i="1" s="1"/>
  <c r="L267" i="1"/>
  <c r="M267" i="1" s="1"/>
  <c r="J267" i="1"/>
  <c r="K267" i="1" s="1"/>
  <c r="H267" i="1"/>
  <c r="I267" i="1" s="1"/>
  <c r="V267" i="1"/>
  <c r="W267" i="1" s="1"/>
  <c r="T267" i="1"/>
  <c r="U267" i="1" s="1"/>
  <c r="N267" i="1"/>
  <c r="O267" i="1" s="1"/>
  <c r="R267" i="1"/>
  <c r="S267" i="1" s="1"/>
  <c r="P267" i="1"/>
  <c r="Q267" i="1" s="1"/>
  <c r="V295" i="1"/>
  <c r="J295" i="1"/>
  <c r="T295" i="1"/>
  <c r="R295" i="1"/>
  <c r="P295" i="1"/>
  <c r="N295" i="1"/>
  <c r="H295" i="1"/>
  <c r="L295" i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J384" i="1"/>
  <c r="K384" i="1" s="1"/>
  <c r="H384" i="1"/>
  <c r="I384" i="1" s="1"/>
  <c r="V284" i="1"/>
  <c r="W284" i="1" s="1"/>
  <c r="T284" i="1"/>
  <c r="U284" i="1" s="1"/>
  <c r="R284" i="1"/>
  <c r="S284" i="1" s="1"/>
  <c r="P284" i="1"/>
  <c r="Q284" i="1" s="1"/>
  <c r="H284" i="1"/>
  <c r="I284" i="1" s="1"/>
  <c r="N284" i="1"/>
  <c r="O284" i="1" s="1"/>
  <c r="L284" i="1"/>
  <c r="M284" i="1" s="1"/>
  <c r="J284" i="1"/>
  <c r="K284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J275" i="1"/>
  <c r="K275" i="1" s="1"/>
  <c r="H275" i="1"/>
  <c r="I275" i="1" s="1"/>
  <c r="G284" i="1"/>
  <c r="G241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0" i="1" l="1"/>
  <c r="G247" i="1"/>
  <c r="T409" i="1" l="1"/>
  <c r="U409" i="1" s="1"/>
  <c r="R409" i="1"/>
  <c r="S409" i="1" s="1"/>
  <c r="P409" i="1"/>
  <c r="Q409" i="1" s="1"/>
  <c r="N409" i="1"/>
  <c r="O409" i="1" s="1"/>
  <c r="L409" i="1"/>
  <c r="M409" i="1" s="1"/>
  <c r="T408" i="1"/>
  <c r="U408" i="1" s="1"/>
  <c r="R408" i="1"/>
  <c r="S408" i="1" s="1"/>
  <c r="P408" i="1"/>
  <c r="Q408" i="1" s="1"/>
  <c r="N408" i="1"/>
  <c r="O408" i="1" s="1"/>
  <c r="L408" i="1"/>
  <c r="M408" i="1" s="1"/>
  <c r="T407" i="1"/>
  <c r="U407" i="1" s="1"/>
  <c r="R407" i="1"/>
  <c r="S407" i="1" s="1"/>
  <c r="P407" i="1"/>
  <c r="Q407" i="1" s="1"/>
  <c r="N407" i="1"/>
  <c r="O407" i="1" s="1"/>
  <c r="L407" i="1"/>
  <c r="M407" i="1" s="1"/>
  <c r="T406" i="1"/>
  <c r="R406" i="1"/>
  <c r="P406" i="1"/>
  <c r="N406" i="1"/>
  <c r="L406" i="1"/>
  <c r="J405" i="1"/>
  <c r="T404" i="1"/>
  <c r="P404" i="1"/>
  <c r="R404" i="1"/>
  <c r="N404" i="1"/>
  <c r="L404" i="1"/>
  <c r="F542" i="1" l="1"/>
  <c r="F533" i="1"/>
  <c r="F323" i="1"/>
  <c r="T527" i="1" l="1"/>
  <c r="U527" i="1" s="1"/>
  <c r="H527" i="1"/>
  <c r="I527" i="1" s="1"/>
  <c r="J527" i="1"/>
  <c r="K527" i="1" s="1"/>
  <c r="V527" i="1"/>
  <c r="W527" i="1" s="1"/>
  <c r="L527" i="1"/>
  <c r="M527" i="1" s="1"/>
  <c r="N527" i="1"/>
  <c r="O527" i="1" s="1"/>
  <c r="P527" i="1"/>
  <c r="Q527" i="1" s="1"/>
  <c r="R527" i="1"/>
  <c r="S527" i="1" s="1"/>
  <c r="T541" i="1"/>
  <c r="U541" i="1" s="1"/>
  <c r="J541" i="1"/>
  <c r="K541" i="1" s="1"/>
  <c r="V541" i="1"/>
  <c r="W541" i="1" s="1"/>
  <c r="L541" i="1"/>
  <c r="M541" i="1" s="1"/>
  <c r="P541" i="1"/>
  <c r="Q541" i="1" s="1"/>
  <c r="H541" i="1"/>
  <c r="I541" i="1" s="1"/>
  <c r="N541" i="1"/>
  <c r="O541" i="1" s="1"/>
  <c r="R541" i="1"/>
  <c r="S541" i="1" s="1"/>
  <c r="H524" i="1"/>
  <c r="I524" i="1" s="1"/>
  <c r="J524" i="1"/>
  <c r="K524" i="1" s="1"/>
  <c r="V524" i="1"/>
  <c r="W524" i="1" s="1"/>
  <c r="L524" i="1"/>
  <c r="M524" i="1" s="1"/>
  <c r="P524" i="1"/>
  <c r="Q524" i="1" s="1"/>
  <c r="R524" i="1"/>
  <c r="S524" i="1" s="1"/>
  <c r="N524" i="1"/>
  <c r="O524" i="1" s="1"/>
  <c r="T524" i="1"/>
  <c r="U524" i="1" s="1"/>
  <c r="R542" i="1"/>
  <c r="S542" i="1" s="1"/>
  <c r="T542" i="1"/>
  <c r="U542" i="1" s="1"/>
  <c r="J542" i="1"/>
  <c r="K542" i="1" s="1"/>
  <c r="L542" i="1"/>
  <c r="M542" i="1" s="1"/>
  <c r="N542" i="1"/>
  <c r="O542" i="1" s="1"/>
  <c r="H542" i="1"/>
  <c r="I542" i="1" s="1"/>
  <c r="V542" i="1"/>
  <c r="W542" i="1" s="1"/>
  <c r="P542" i="1"/>
  <c r="Q542" i="1" s="1"/>
  <c r="P533" i="1"/>
  <c r="Q533" i="1" s="1"/>
  <c r="R533" i="1"/>
  <c r="S533" i="1" s="1"/>
  <c r="T533" i="1"/>
  <c r="U533" i="1" s="1"/>
  <c r="V533" i="1"/>
  <c r="W533" i="1" s="1"/>
  <c r="J533" i="1"/>
  <c r="K533" i="1" s="1"/>
  <c r="H533" i="1"/>
  <c r="I533" i="1" s="1"/>
  <c r="L533" i="1"/>
  <c r="M533" i="1" s="1"/>
  <c r="N533" i="1"/>
  <c r="O533" i="1" s="1"/>
  <c r="P543" i="1"/>
  <c r="Q543" i="1" s="1"/>
  <c r="T543" i="1"/>
  <c r="U543" i="1" s="1"/>
  <c r="R543" i="1"/>
  <c r="S543" i="1" s="1"/>
  <c r="J543" i="1"/>
  <c r="K543" i="1" s="1"/>
  <c r="V543" i="1"/>
  <c r="W543" i="1" s="1"/>
  <c r="L543" i="1"/>
  <c r="M543" i="1" s="1"/>
  <c r="H543" i="1"/>
  <c r="I543" i="1" s="1"/>
  <c r="N543" i="1"/>
  <c r="O543" i="1" s="1"/>
  <c r="R528" i="1"/>
  <c r="S528" i="1" s="1"/>
  <c r="T528" i="1"/>
  <c r="U528" i="1" s="1"/>
  <c r="V528" i="1"/>
  <c r="W528" i="1" s="1"/>
  <c r="J528" i="1"/>
  <c r="K528" i="1" s="1"/>
  <c r="L528" i="1"/>
  <c r="M528" i="1" s="1"/>
  <c r="N528" i="1"/>
  <c r="O528" i="1" s="1"/>
  <c r="P528" i="1"/>
  <c r="Q528" i="1" s="1"/>
  <c r="H528" i="1"/>
  <c r="I528" i="1" s="1"/>
  <c r="T547" i="1"/>
  <c r="U547" i="1" s="1"/>
  <c r="J547" i="1"/>
  <c r="K547" i="1" s="1"/>
  <c r="V547" i="1"/>
  <c r="W547" i="1" s="1"/>
  <c r="H547" i="1"/>
  <c r="I547" i="1" s="1"/>
  <c r="L547" i="1"/>
  <c r="M547" i="1" s="1"/>
  <c r="N547" i="1"/>
  <c r="O547" i="1" s="1"/>
  <c r="P547" i="1"/>
  <c r="Q547" i="1" s="1"/>
  <c r="R547" i="1"/>
  <c r="S547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R153" i="1"/>
  <c r="S153" i="1" s="1"/>
  <c r="P153" i="1"/>
  <c r="Q153" i="1" s="1"/>
  <c r="T153" i="1"/>
  <c r="U153" i="1" s="1"/>
  <c r="N153" i="1"/>
  <c r="O153" i="1" s="1"/>
  <c r="L153" i="1"/>
  <c r="M153" i="1" s="1"/>
  <c r="V153" i="1"/>
  <c r="W153" i="1" s="1"/>
  <c r="R203" i="1"/>
  <c r="S203" i="1" s="1"/>
  <c r="P203" i="1"/>
  <c r="Q203" i="1" s="1"/>
  <c r="L203" i="1"/>
  <c r="M203" i="1" s="1"/>
  <c r="J203" i="1"/>
  <c r="K203" i="1" s="1"/>
  <c r="V203" i="1"/>
  <c r="W203" i="1" s="1"/>
  <c r="T203" i="1"/>
  <c r="U203" i="1" s="1"/>
  <c r="N203" i="1"/>
  <c r="O203" i="1" s="1"/>
  <c r="H203" i="1"/>
  <c r="I203" i="1" s="1"/>
  <c r="P323" i="1"/>
  <c r="Q323" i="1" s="1"/>
  <c r="R323" i="1"/>
  <c r="S323" i="1" s="1"/>
  <c r="T323" i="1"/>
  <c r="U323" i="1" s="1"/>
  <c r="V323" i="1"/>
  <c r="W323" i="1" s="1"/>
  <c r="L323" i="1"/>
  <c r="M323" i="1" s="1"/>
  <c r="N323" i="1"/>
  <c r="O323" i="1" s="1"/>
  <c r="L355" i="1"/>
  <c r="M355" i="1" s="1"/>
  <c r="N355" i="1"/>
  <c r="O355" i="1" s="1"/>
  <c r="P355" i="1"/>
  <c r="Q355" i="1" s="1"/>
  <c r="R355" i="1"/>
  <c r="S355" i="1" s="1"/>
  <c r="T355" i="1"/>
  <c r="U355" i="1" s="1"/>
  <c r="V355" i="1"/>
  <c r="W355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36" i="1" l="1"/>
  <c r="L457" i="1"/>
  <c r="J457" i="1"/>
  <c r="G279" i="1"/>
  <c r="G278" i="1"/>
  <c r="G61" i="1" l="1"/>
  <c r="F332" i="1" l="1"/>
  <c r="V332" i="1" l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V380" i="1" l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J380" i="1"/>
  <c r="K380" i="1" s="1"/>
  <c r="H380" i="1"/>
  <c r="I380" i="1" s="1"/>
  <c r="J538" i="1" l="1"/>
  <c r="K538" i="1" s="1"/>
  <c r="H538" i="1"/>
  <c r="I538" i="1" s="1"/>
  <c r="L538" i="1"/>
  <c r="M538" i="1" s="1"/>
  <c r="N538" i="1"/>
  <c r="O538" i="1" s="1"/>
  <c r="P538" i="1"/>
  <c r="Q538" i="1" s="1"/>
  <c r="R538" i="1"/>
  <c r="S538" i="1" s="1"/>
  <c r="V538" i="1"/>
  <c r="W538" i="1" s="1"/>
  <c r="T538" i="1"/>
  <c r="U538" i="1" s="1"/>
  <c r="G538" i="1"/>
  <c r="L14" i="1" l="1"/>
  <c r="H14" i="1"/>
  <c r="J14" i="1"/>
  <c r="T14" i="1"/>
  <c r="R14" i="1"/>
  <c r="P14" i="1"/>
  <c r="N14" i="1"/>
  <c r="F386" i="1"/>
  <c r="V386" i="1" l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J386" i="1"/>
  <c r="K386" i="1" s="1"/>
  <c r="H386" i="1"/>
  <c r="I386" i="1" s="1"/>
  <c r="J434" i="1" l="1"/>
  <c r="K434" i="1" s="1"/>
  <c r="H434" i="1"/>
  <c r="I434" i="1" s="1"/>
  <c r="R434" i="1"/>
  <c r="S434" i="1" s="1"/>
  <c r="P434" i="1"/>
  <c r="Q434" i="1" s="1"/>
  <c r="N434" i="1"/>
  <c r="O434" i="1" s="1"/>
  <c r="L434" i="1"/>
  <c r="M434" i="1" s="1"/>
  <c r="V434" i="1"/>
  <c r="W434" i="1" s="1"/>
  <c r="T434" i="1"/>
  <c r="U434" i="1" s="1"/>
  <c r="N435" i="1"/>
  <c r="O435" i="1" s="1"/>
  <c r="L435" i="1"/>
  <c r="M435" i="1" s="1"/>
  <c r="J435" i="1"/>
  <c r="K435" i="1" s="1"/>
  <c r="H435" i="1"/>
  <c r="I435" i="1" s="1"/>
  <c r="P435" i="1"/>
  <c r="Q435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L368" i="1" l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F390" i="1"/>
  <c r="F391" i="1"/>
  <c r="R390" i="1" l="1"/>
  <c r="S390" i="1" s="1"/>
  <c r="P390" i="1"/>
  <c r="Q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91" i="1"/>
  <c r="K391" i="1" s="1"/>
  <c r="H391" i="1"/>
  <c r="I391" i="1" s="1"/>
  <c r="G391" i="1"/>
  <c r="H629" i="1" l="1"/>
  <c r="I629" i="1" s="1"/>
  <c r="H630" i="1"/>
  <c r="I630" i="1" s="1"/>
  <c r="T630" i="1" l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G630" i="1"/>
  <c r="F519" i="1" l="1"/>
  <c r="T519" i="1" l="1"/>
  <c r="U519" i="1" s="1"/>
  <c r="V519" i="1"/>
  <c r="W519" i="1" s="1"/>
  <c r="J519" i="1"/>
  <c r="K519" i="1" s="1"/>
  <c r="L519" i="1"/>
  <c r="M519" i="1" s="1"/>
  <c r="N519" i="1"/>
  <c r="O519" i="1" s="1"/>
  <c r="P519" i="1"/>
  <c r="Q519" i="1" s="1"/>
  <c r="R519" i="1"/>
  <c r="S519" i="1" s="1"/>
  <c r="G519" i="1"/>
  <c r="N173" i="1"/>
  <c r="O173" i="1" s="1"/>
  <c r="P173" i="1"/>
  <c r="Q173" i="1" s="1"/>
  <c r="R173" i="1"/>
  <c r="S173" i="1" s="1"/>
  <c r="T173" i="1"/>
  <c r="U173" i="1" s="1"/>
  <c r="V173" i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V172" i="1"/>
  <c r="T172" i="1"/>
  <c r="R172" i="1"/>
  <c r="P172" i="1"/>
  <c r="N172" i="1"/>
  <c r="F592" i="1" l="1"/>
  <c r="V592" i="1" l="1"/>
  <c r="W592" i="1" s="1"/>
  <c r="L592" i="1" l="1"/>
  <c r="M592" i="1" s="1"/>
  <c r="N592" i="1"/>
  <c r="O592" i="1" s="1"/>
  <c r="G592" i="1"/>
  <c r="P592" i="1"/>
  <c r="Q592" i="1" s="1"/>
  <c r="R592" i="1"/>
  <c r="S592" i="1" s="1"/>
  <c r="H592" i="1"/>
  <c r="I592" i="1" s="1"/>
  <c r="T592" i="1"/>
  <c r="U592" i="1" s="1"/>
  <c r="J592" i="1"/>
  <c r="K592" i="1" s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F526" i="1" l="1"/>
  <c r="G526" i="1" l="1"/>
  <c r="J526" i="1"/>
  <c r="K526" i="1" s="1"/>
  <c r="V526" i="1"/>
  <c r="W526" i="1" s="1"/>
  <c r="L526" i="1"/>
  <c r="M526" i="1" s="1"/>
  <c r="N526" i="1"/>
  <c r="O526" i="1" s="1"/>
  <c r="H526" i="1"/>
  <c r="I526" i="1" s="1"/>
  <c r="P526" i="1"/>
  <c r="Q526" i="1" s="1"/>
  <c r="R526" i="1"/>
  <c r="S526" i="1" s="1"/>
  <c r="T526" i="1"/>
  <c r="U526" i="1" s="1"/>
  <c r="F548" i="1"/>
  <c r="F219" i="1"/>
  <c r="F437" i="1"/>
  <c r="R548" i="1" l="1"/>
  <c r="S548" i="1" s="1"/>
  <c r="J548" i="1"/>
  <c r="K548" i="1" s="1"/>
  <c r="T548" i="1"/>
  <c r="U548" i="1" s="1"/>
  <c r="N548" i="1"/>
  <c r="O548" i="1" s="1"/>
  <c r="H548" i="1"/>
  <c r="I548" i="1" s="1"/>
  <c r="L548" i="1"/>
  <c r="M548" i="1" s="1"/>
  <c r="V548" i="1"/>
  <c r="W548" i="1" s="1"/>
  <c r="P548" i="1"/>
  <c r="Q548" i="1" s="1"/>
  <c r="P549" i="1"/>
  <c r="Q549" i="1" s="1"/>
  <c r="R549" i="1"/>
  <c r="S549" i="1" s="1"/>
  <c r="J549" i="1"/>
  <c r="K549" i="1" s="1"/>
  <c r="V549" i="1"/>
  <c r="W549" i="1" s="1"/>
  <c r="L549" i="1"/>
  <c r="M549" i="1" s="1"/>
  <c r="H549" i="1"/>
  <c r="I549" i="1" s="1"/>
  <c r="N549" i="1"/>
  <c r="O549" i="1" s="1"/>
  <c r="T549" i="1"/>
  <c r="U549" i="1" s="1"/>
  <c r="T437" i="1"/>
  <c r="U437" i="1" s="1"/>
  <c r="R437" i="1"/>
  <c r="S437" i="1" s="1"/>
  <c r="P437" i="1"/>
  <c r="Q437" i="1" s="1"/>
  <c r="H437" i="1"/>
  <c r="I437" i="1" s="1"/>
  <c r="N437" i="1"/>
  <c r="O437" i="1" s="1"/>
  <c r="L437" i="1"/>
  <c r="M437" i="1" s="1"/>
  <c r="J437" i="1"/>
  <c r="K437" i="1" s="1"/>
  <c r="V437" i="1"/>
  <c r="W437" i="1" s="1"/>
  <c r="P427" i="1"/>
  <c r="Q427" i="1" s="1"/>
  <c r="L427" i="1"/>
  <c r="M427" i="1" s="1"/>
  <c r="J427" i="1"/>
  <c r="K427" i="1" s="1"/>
  <c r="V427" i="1"/>
  <c r="W427" i="1" s="1"/>
  <c r="T427" i="1"/>
  <c r="U427" i="1" s="1"/>
  <c r="R427" i="1"/>
  <c r="S427" i="1" s="1"/>
  <c r="N427" i="1"/>
  <c r="O427" i="1" s="1"/>
  <c r="R219" i="1"/>
  <c r="S219" i="1" s="1"/>
  <c r="P219" i="1"/>
  <c r="Q219" i="1" s="1"/>
  <c r="L219" i="1"/>
  <c r="M219" i="1" s="1"/>
  <c r="J219" i="1"/>
  <c r="K219" i="1" s="1"/>
  <c r="T219" i="1"/>
  <c r="U219" i="1" s="1"/>
  <c r="V219" i="1"/>
  <c r="W219" i="1" s="1"/>
  <c r="N219" i="1"/>
  <c r="O219" i="1" s="1"/>
  <c r="G549" i="1"/>
  <c r="G548" i="1"/>
  <c r="P532" i="1" l="1"/>
  <c r="Q532" i="1" s="1"/>
  <c r="R532" i="1"/>
  <c r="S532" i="1" s="1"/>
  <c r="T532" i="1"/>
  <c r="U532" i="1" s="1"/>
  <c r="V532" i="1"/>
  <c r="W532" i="1" s="1"/>
  <c r="H532" i="1"/>
  <c r="I532" i="1" s="1"/>
  <c r="J532" i="1"/>
  <c r="K532" i="1" s="1"/>
  <c r="L532" i="1"/>
  <c r="M532" i="1" s="1"/>
  <c r="N532" i="1"/>
  <c r="O532" i="1" s="1"/>
  <c r="V618" i="1"/>
  <c r="W618" i="1" s="1"/>
  <c r="T618" i="1"/>
  <c r="U618" i="1" s="1"/>
  <c r="R618" i="1"/>
  <c r="S618" i="1" s="1"/>
  <c r="P618" i="1"/>
  <c r="Q618" i="1" s="1"/>
  <c r="N618" i="1"/>
  <c r="O618" i="1" s="1"/>
  <c r="L618" i="1"/>
  <c r="M618" i="1" s="1"/>
  <c r="J618" i="1"/>
  <c r="K618" i="1" s="1"/>
  <c r="H618" i="1"/>
  <c r="I618" i="1" s="1"/>
  <c r="V617" i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H617" i="1"/>
  <c r="I617" i="1" s="1"/>
  <c r="F552" i="1" l="1"/>
  <c r="G552" i="1" l="1"/>
  <c r="H552" i="1"/>
  <c r="I552" i="1" s="1"/>
  <c r="L552" i="1"/>
  <c r="M552" i="1" s="1"/>
  <c r="N552" i="1"/>
  <c r="O552" i="1" s="1"/>
  <c r="R552" i="1"/>
  <c r="S552" i="1" s="1"/>
  <c r="T552" i="1"/>
  <c r="U552" i="1" s="1"/>
  <c r="P552" i="1"/>
  <c r="Q552" i="1" s="1"/>
  <c r="J552" i="1"/>
  <c r="K552" i="1" s="1"/>
  <c r="V552" i="1"/>
  <c r="W552" i="1" s="1"/>
  <c r="G547" i="1"/>
  <c r="V600" i="1"/>
  <c r="V616" i="1"/>
  <c r="W616" i="1" s="1"/>
  <c r="P600" i="1" l="1"/>
  <c r="Q600" i="1" s="1"/>
  <c r="H600" i="1"/>
  <c r="I600" i="1" s="1"/>
  <c r="R600" i="1"/>
  <c r="S600" i="1" s="1"/>
  <c r="J600" i="1"/>
  <c r="K600" i="1" s="1"/>
  <c r="T600" i="1"/>
  <c r="U600" i="1" s="1"/>
  <c r="N600" i="1"/>
  <c r="O600" i="1" s="1"/>
  <c r="L600" i="1"/>
  <c r="M600" i="1" s="1"/>
  <c r="G600" i="1"/>
  <c r="W600" i="1"/>
  <c r="L616" i="1"/>
  <c r="M616" i="1" s="1"/>
  <c r="P616" i="1"/>
  <c r="Q616" i="1" s="1"/>
  <c r="T616" i="1"/>
  <c r="U616" i="1" s="1"/>
  <c r="G616" i="1"/>
  <c r="J616" i="1"/>
  <c r="K616" i="1" s="1"/>
  <c r="N616" i="1"/>
  <c r="O616" i="1" s="1"/>
  <c r="R616" i="1"/>
  <c r="S616" i="1" s="1"/>
  <c r="V615" i="1" l="1"/>
  <c r="W615" i="1" s="1"/>
  <c r="R615" i="1"/>
  <c r="S615" i="1" s="1"/>
  <c r="N615" i="1"/>
  <c r="O615" i="1" s="1"/>
  <c r="J615" i="1"/>
  <c r="K615" i="1" s="1"/>
  <c r="G615" i="1"/>
  <c r="L615" i="1" l="1"/>
  <c r="M615" i="1" s="1"/>
  <c r="P615" i="1"/>
  <c r="Q615" i="1" s="1"/>
  <c r="T615" i="1"/>
  <c r="U615" i="1" s="1"/>
  <c r="V567" i="1" l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H595" i="1"/>
  <c r="I595" i="1" s="1"/>
  <c r="F620" i="1"/>
  <c r="F551" i="1"/>
  <c r="L545" i="1" l="1"/>
  <c r="M545" i="1" s="1"/>
  <c r="P545" i="1"/>
  <c r="Q545" i="1" s="1"/>
  <c r="H545" i="1"/>
  <c r="I545" i="1" s="1"/>
  <c r="N545" i="1"/>
  <c r="O545" i="1" s="1"/>
  <c r="R545" i="1"/>
  <c r="S545" i="1" s="1"/>
  <c r="T545" i="1"/>
  <c r="U545" i="1" s="1"/>
  <c r="J545" i="1"/>
  <c r="K545" i="1" s="1"/>
  <c r="V545" i="1"/>
  <c r="W545" i="1" s="1"/>
  <c r="H544" i="1"/>
  <c r="I544" i="1" s="1"/>
  <c r="N544" i="1"/>
  <c r="O544" i="1" s="1"/>
  <c r="P544" i="1"/>
  <c r="Q544" i="1" s="1"/>
  <c r="T544" i="1"/>
  <c r="U544" i="1" s="1"/>
  <c r="J544" i="1"/>
  <c r="K544" i="1" s="1"/>
  <c r="V544" i="1"/>
  <c r="W544" i="1" s="1"/>
  <c r="R544" i="1"/>
  <c r="S544" i="1" s="1"/>
  <c r="L544" i="1"/>
  <c r="M544" i="1" s="1"/>
  <c r="N551" i="1"/>
  <c r="O551" i="1" s="1"/>
  <c r="P551" i="1"/>
  <c r="Q551" i="1" s="1"/>
  <c r="R551" i="1"/>
  <c r="S551" i="1" s="1"/>
  <c r="T551" i="1"/>
  <c r="U551" i="1" s="1"/>
  <c r="V551" i="1"/>
  <c r="W551" i="1" s="1"/>
  <c r="J551" i="1"/>
  <c r="K551" i="1" s="1"/>
  <c r="H551" i="1"/>
  <c r="I551" i="1" s="1"/>
  <c r="L551" i="1"/>
  <c r="M551" i="1" s="1"/>
  <c r="P596" i="1"/>
  <c r="Q596" i="1" s="1"/>
  <c r="H596" i="1"/>
  <c r="I596" i="1" s="1"/>
  <c r="R595" i="1"/>
  <c r="S595" i="1" s="1"/>
  <c r="J595" i="1"/>
  <c r="K595" i="1" s="1"/>
  <c r="P595" i="1"/>
  <c r="Q595" i="1" s="1"/>
  <c r="T595" i="1"/>
  <c r="U595" i="1" s="1"/>
  <c r="V595" i="1"/>
  <c r="W595" i="1" s="1"/>
  <c r="L595" i="1"/>
  <c r="M595" i="1" s="1"/>
  <c r="N595" i="1"/>
  <c r="O595" i="1" s="1"/>
  <c r="R596" i="1"/>
  <c r="S596" i="1" s="1"/>
  <c r="V596" i="1"/>
  <c r="W596" i="1" s="1"/>
  <c r="T596" i="1"/>
  <c r="U596" i="1" s="1"/>
  <c r="J596" i="1"/>
  <c r="K596" i="1" s="1"/>
  <c r="L596" i="1"/>
  <c r="M596" i="1" s="1"/>
  <c r="N596" i="1"/>
  <c r="O596" i="1" s="1"/>
  <c r="G596" i="1"/>
  <c r="G595" i="1"/>
  <c r="F494" i="1"/>
  <c r="F485" i="1"/>
  <c r="F48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387" i="1"/>
  <c r="F342" i="1"/>
  <c r="H289" i="1"/>
  <c r="F272" i="1"/>
  <c r="F230" i="1"/>
  <c r="F228" i="1"/>
  <c r="F212" i="1"/>
  <c r="V212" i="1" s="1"/>
  <c r="F194" i="1"/>
  <c r="F187" i="1"/>
  <c r="V228" i="1" l="1"/>
  <c r="W228" i="1" s="1"/>
  <c r="T228" i="1"/>
  <c r="U228" i="1" s="1"/>
  <c r="R228" i="1"/>
  <c r="S228" i="1" s="1"/>
  <c r="P228" i="1"/>
  <c r="Q228" i="1" s="1"/>
  <c r="H228" i="1"/>
  <c r="I228" i="1" s="1"/>
  <c r="N228" i="1"/>
  <c r="O228" i="1" s="1"/>
  <c r="L228" i="1"/>
  <c r="M228" i="1" s="1"/>
  <c r="J228" i="1"/>
  <c r="K228" i="1" s="1"/>
  <c r="R230" i="1"/>
  <c r="S230" i="1" s="1"/>
  <c r="P230" i="1"/>
  <c r="Q230" i="1" s="1"/>
  <c r="N230" i="1"/>
  <c r="O230" i="1" s="1"/>
  <c r="L230" i="1"/>
  <c r="M230" i="1" s="1"/>
  <c r="J230" i="1"/>
  <c r="K230" i="1" s="1"/>
  <c r="T230" i="1"/>
  <c r="U230" i="1" s="1"/>
  <c r="H230" i="1"/>
  <c r="I230" i="1" s="1"/>
  <c r="V230" i="1"/>
  <c r="W230" i="1" s="1"/>
  <c r="V274" i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J274" i="1"/>
  <c r="K274" i="1" s="1"/>
  <c r="H274" i="1"/>
  <c r="I274" i="1" s="1"/>
  <c r="T288" i="1"/>
  <c r="U288" i="1" s="1"/>
  <c r="R288" i="1"/>
  <c r="S288" i="1" s="1"/>
  <c r="P288" i="1"/>
  <c r="Q288" i="1" s="1"/>
  <c r="N288" i="1"/>
  <c r="O288" i="1" s="1"/>
  <c r="L288" i="1"/>
  <c r="M288" i="1" s="1"/>
  <c r="V288" i="1"/>
  <c r="W288" i="1" s="1"/>
  <c r="J288" i="1"/>
  <c r="K288" i="1" s="1"/>
  <c r="H288" i="1"/>
  <c r="I288" i="1" s="1"/>
  <c r="T341" i="1"/>
  <c r="U341" i="1" s="1"/>
  <c r="L341" i="1"/>
  <c r="M341" i="1" s="1"/>
  <c r="N341" i="1"/>
  <c r="O341" i="1" s="1"/>
  <c r="P341" i="1"/>
  <c r="Q341" i="1" s="1"/>
  <c r="R341" i="1"/>
  <c r="S341" i="1" s="1"/>
  <c r="V342" i="1"/>
  <c r="W342" i="1" s="1"/>
  <c r="L342" i="1"/>
  <c r="M342" i="1" s="1"/>
  <c r="N342" i="1"/>
  <c r="O342" i="1" s="1"/>
  <c r="P342" i="1"/>
  <c r="Q342" i="1" s="1"/>
  <c r="R342" i="1"/>
  <c r="S342" i="1" s="1"/>
  <c r="T342" i="1"/>
  <c r="U342" i="1" s="1"/>
  <c r="H393" i="1"/>
  <c r="I393" i="1" s="1"/>
  <c r="R393" i="1"/>
  <c r="S393" i="1" s="1"/>
  <c r="P393" i="1"/>
  <c r="Q393" i="1" s="1"/>
  <c r="N393" i="1"/>
  <c r="O393" i="1" s="1"/>
  <c r="L393" i="1"/>
  <c r="M393" i="1" s="1"/>
  <c r="J393" i="1"/>
  <c r="K393" i="1" s="1"/>
  <c r="H272" i="1"/>
  <c r="I272" i="1" s="1"/>
  <c r="V272" i="1"/>
  <c r="W272" i="1" s="1"/>
  <c r="T272" i="1"/>
  <c r="U272" i="1" s="1"/>
  <c r="R272" i="1"/>
  <c r="S272" i="1" s="1"/>
  <c r="P272" i="1"/>
  <c r="Q272" i="1" s="1"/>
  <c r="N272" i="1"/>
  <c r="O272" i="1" s="1"/>
  <c r="J272" i="1"/>
  <c r="K272" i="1" s="1"/>
  <c r="L272" i="1"/>
  <c r="M272" i="1" s="1"/>
  <c r="T331" i="1"/>
  <c r="U331" i="1" s="1"/>
  <c r="R331" i="1"/>
  <c r="S331" i="1" s="1"/>
  <c r="P331" i="1"/>
  <c r="Q331" i="1" s="1"/>
  <c r="N331" i="1"/>
  <c r="O331" i="1" s="1"/>
  <c r="L331" i="1"/>
  <c r="M331" i="1" s="1"/>
  <c r="V331" i="1"/>
  <c r="W331" i="1" s="1"/>
  <c r="H187" i="1"/>
  <c r="V187" i="1"/>
  <c r="W187" i="1" s="1"/>
  <c r="T187" i="1"/>
  <c r="U187" i="1" s="1"/>
  <c r="R187" i="1"/>
  <c r="S187" i="1" s="1"/>
  <c r="N187" i="1"/>
  <c r="O187" i="1" s="1"/>
  <c r="J187" i="1"/>
  <c r="P187" i="1"/>
  <c r="Q187" i="1" s="1"/>
  <c r="L187" i="1"/>
  <c r="M187" i="1" s="1"/>
  <c r="V194" i="1"/>
  <c r="W194" i="1" s="1"/>
  <c r="R194" i="1"/>
  <c r="S194" i="1" s="1"/>
  <c r="L194" i="1"/>
  <c r="M194" i="1" s="1"/>
  <c r="J194" i="1"/>
  <c r="K194" i="1" s="1"/>
  <c r="N194" i="1"/>
  <c r="O194" i="1" s="1"/>
  <c r="P194" i="1"/>
  <c r="Q194" i="1" s="1"/>
  <c r="T194" i="1"/>
  <c r="U194" i="1" s="1"/>
  <c r="N376" i="1"/>
  <c r="O376" i="1" s="1"/>
  <c r="L376" i="1"/>
  <c r="M376" i="1" s="1"/>
  <c r="V376" i="1"/>
  <c r="W376" i="1" s="1"/>
  <c r="T376" i="1"/>
  <c r="U376" i="1" s="1"/>
  <c r="R376" i="1"/>
  <c r="S376" i="1" s="1"/>
  <c r="P376" i="1"/>
  <c r="Q376" i="1" s="1"/>
  <c r="L387" i="1"/>
  <c r="M387" i="1" s="1"/>
  <c r="J387" i="1"/>
  <c r="K387" i="1" s="1"/>
  <c r="H387" i="1"/>
  <c r="I387" i="1" s="1"/>
  <c r="V387" i="1"/>
  <c r="W387" i="1" s="1"/>
  <c r="T387" i="1"/>
  <c r="U387" i="1" s="1"/>
  <c r="R387" i="1"/>
  <c r="S387" i="1" s="1"/>
  <c r="P387" i="1"/>
  <c r="Q387" i="1" s="1"/>
  <c r="N387" i="1"/>
  <c r="O387" i="1" s="1"/>
  <c r="N389" i="1"/>
  <c r="O389" i="1" s="1"/>
  <c r="L389" i="1"/>
  <c r="M389" i="1" s="1"/>
  <c r="J389" i="1"/>
  <c r="K389" i="1" s="1"/>
  <c r="H389" i="1"/>
  <c r="I389" i="1" s="1"/>
  <c r="V389" i="1"/>
  <c r="W389" i="1" s="1"/>
  <c r="T389" i="1"/>
  <c r="U389" i="1" s="1"/>
  <c r="R389" i="1"/>
  <c r="S389" i="1" s="1"/>
  <c r="P389" i="1"/>
  <c r="Q389" i="1" s="1"/>
  <c r="H394" i="1"/>
  <c r="I394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J394" i="1"/>
  <c r="K394" i="1" s="1"/>
  <c r="I289" i="1"/>
  <c r="H212" i="1"/>
  <c r="I212" i="1" s="1"/>
  <c r="P212" i="1"/>
  <c r="R212" i="1"/>
  <c r="J212" i="1"/>
  <c r="N212" i="1"/>
  <c r="T212" i="1"/>
  <c r="L212" i="1"/>
  <c r="G14" i="1"/>
  <c r="U14" i="1" l="1"/>
  <c r="S14" i="1"/>
  <c r="Q14" i="1"/>
  <c r="O14" i="1"/>
  <c r="M14" i="1"/>
  <c r="K14" i="1"/>
  <c r="I14" i="1"/>
  <c r="F347" i="1" l="1"/>
  <c r="T347" i="1" l="1"/>
  <c r="U347" i="1" s="1"/>
  <c r="V347" i="1"/>
  <c r="W347" i="1" s="1"/>
  <c r="L347" i="1"/>
  <c r="M347" i="1" s="1"/>
  <c r="N347" i="1"/>
  <c r="O347" i="1" s="1"/>
  <c r="P347" i="1"/>
  <c r="Q347" i="1" s="1"/>
  <c r="R347" i="1"/>
  <c r="S347" i="1" s="1"/>
  <c r="G28" i="1"/>
  <c r="F534" i="1"/>
  <c r="F499" i="1"/>
  <c r="F497" i="1"/>
  <c r="F488" i="1"/>
  <c r="F487" i="1"/>
  <c r="R531" i="1" l="1"/>
  <c r="S531" i="1" s="1"/>
  <c r="T531" i="1"/>
  <c r="U531" i="1" s="1"/>
  <c r="V531" i="1"/>
  <c r="W531" i="1" s="1"/>
  <c r="H531" i="1"/>
  <c r="I531" i="1" s="1"/>
  <c r="J531" i="1"/>
  <c r="K531" i="1" s="1"/>
  <c r="L531" i="1"/>
  <c r="M531" i="1" s="1"/>
  <c r="N531" i="1"/>
  <c r="O531" i="1" s="1"/>
  <c r="P531" i="1"/>
  <c r="Q531" i="1" s="1"/>
  <c r="J546" i="1"/>
  <c r="K546" i="1" s="1"/>
  <c r="V546" i="1"/>
  <c r="W546" i="1" s="1"/>
  <c r="L546" i="1"/>
  <c r="M546" i="1" s="1"/>
  <c r="H546" i="1"/>
  <c r="I546" i="1" s="1"/>
  <c r="N546" i="1"/>
  <c r="O546" i="1" s="1"/>
  <c r="P546" i="1"/>
  <c r="Q546" i="1" s="1"/>
  <c r="R546" i="1"/>
  <c r="S546" i="1" s="1"/>
  <c r="T546" i="1"/>
  <c r="U546" i="1" s="1"/>
  <c r="N534" i="1"/>
  <c r="O534" i="1" s="1"/>
  <c r="P534" i="1"/>
  <c r="Q534" i="1" s="1"/>
  <c r="R534" i="1"/>
  <c r="S534" i="1" s="1"/>
  <c r="T534" i="1"/>
  <c r="U534" i="1" s="1"/>
  <c r="V534" i="1"/>
  <c r="W534" i="1" s="1"/>
  <c r="J534" i="1"/>
  <c r="K534" i="1" s="1"/>
  <c r="H534" i="1"/>
  <c r="I534" i="1" s="1"/>
  <c r="L534" i="1"/>
  <c r="M534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26" i="1"/>
  <c r="F379" i="1"/>
  <c r="V379" i="1" l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J379" i="1"/>
  <c r="K379" i="1" s="1"/>
  <c r="H379" i="1"/>
  <c r="I379" i="1" s="1"/>
  <c r="N373" i="1"/>
  <c r="O373" i="1" s="1"/>
  <c r="P373" i="1"/>
  <c r="Q373" i="1" s="1"/>
  <c r="R373" i="1"/>
  <c r="S373" i="1" s="1"/>
  <c r="T373" i="1"/>
  <c r="U373" i="1" s="1"/>
  <c r="V373" i="1"/>
  <c r="W373" i="1" s="1"/>
  <c r="L373" i="1"/>
  <c r="M373" i="1" s="1"/>
  <c r="V426" i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J426" i="1"/>
  <c r="K426" i="1" s="1"/>
  <c r="R366" i="1"/>
  <c r="S366" i="1" s="1"/>
  <c r="T366" i="1"/>
  <c r="U366" i="1" s="1"/>
  <c r="V366" i="1"/>
  <c r="W366" i="1" s="1"/>
  <c r="L366" i="1"/>
  <c r="M366" i="1" s="1"/>
  <c r="N366" i="1"/>
  <c r="O366" i="1" s="1"/>
  <c r="P366" i="1"/>
  <c r="Q366" i="1" s="1"/>
  <c r="R370" i="1"/>
  <c r="S370" i="1" s="1"/>
  <c r="T370" i="1"/>
  <c r="U370" i="1" s="1"/>
  <c r="V370" i="1"/>
  <c r="W370" i="1" s="1"/>
  <c r="L370" i="1"/>
  <c r="M370" i="1" s="1"/>
  <c r="N370" i="1"/>
  <c r="O370" i="1" s="1"/>
  <c r="P370" i="1"/>
  <c r="Q370" i="1" s="1"/>
  <c r="V371" i="1"/>
  <c r="W371" i="1" s="1"/>
  <c r="L371" i="1"/>
  <c r="M371" i="1" s="1"/>
  <c r="N371" i="1"/>
  <c r="O371" i="1" s="1"/>
  <c r="P371" i="1"/>
  <c r="Q371" i="1" s="1"/>
  <c r="R371" i="1"/>
  <c r="S371" i="1" s="1"/>
  <c r="T371" i="1"/>
  <c r="U371" i="1" s="1"/>
  <c r="F362" i="1"/>
  <c r="F337" i="1"/>
  <c r="F313" i="1"/>
  <c r="F312" i="1"/>
  <c r="F310" i="1"/>
  <c r="F308" i="1"/>
  <c r="F306" i="1"/>
  <c r="F287" i="1"/>
  <c r="F255" i="1"/>
  <c r="H255" i="1" s="1"/>
  <c r="I255" i="1" s="1"/>
  <c r="F254" i="1"/>
  <c r="F253" i="1"/>
  <c r="F252" i="1"/>
  <c r="F220" i="1"/>
  <c r="F217" i="1"/>
  <c r="F216" i="1"/>
  <c r="F215" i="1"/>
  <c r="F186" i="1"/>
  <c r="F161" i="1"/>
  <c r="F160" i="1"/>
  <c r="F145" i="1"/>
  <c r="F103" i="1"/>
  <c r="F102" i="1"/>
  <c r="F99" i="1"/>
  <c r="F98" i="1"/>
  <c r="F95" i="1"/>
  <c r="R252" i="1" l="1"/>
  <c r="S252" i="1" s="1"/>
  <c r="H252" i="1"/>
  <c r="I252" i="1" s="1"/>
  <c r="T252" i="1"/>
  <c r="U252" i="1" s="1"/>
  <c r="J252" i="1"/>
  <c r="K252" i="1" s="1"/>
  <c r="V252" i="1"/>
  <c r="W252" i="1" s="1"/>
  <c r="L252" i="1"/>
  <c r="M252" i="1" s="1"/>
  <c r="P252" i="1"/>
  <c r="Q252" i="1" s="1"/>
  <c r="N252" i="1"/>
  <c r="O252" i="1" s="1"/>
  <c r="L145" i="1"/>
  <c r="M145" i="1" s="1"/>
  <c r="J145" i="1"/>
  <c r="K145" i="1" s="1"/>
  <c r="H145" i="1"/>
  <c r="I145" i="1" s="1"/>
  <c r="R161" i="1"/>
  <c r="P161" i="1"/>
  <c r="N161" i="1"/>
  <c r="L161" i="1"/>
  <c r="J161" i="1"/>
  <c r="H161" i="1"/>
  <c r="N99" i="1"/>
  <c r="O99" i="1" s="1"/>
  <c r="L99" i="1"/>
  <c r="M99" i="1" s="1"/>
  <c r="J99" i="1"/>
  <c r="K99" i="1" s="1"/>
  <c r="H99" i="1"/>
  <c r="I99" i="1" s="1"/>
  <c r="P99" i="1"/>
  <c r="Q99" i="1" s="1"/>
  <c r="T99" i="1"/>
  <c r="U99" i="1" s="1"/>
  <c r="R99" i="1"/>
  <c r="S99" i="1" s="1"/>
  <c r="V99" i="1"/>
  <c r="W99" i="1" s="1"/>
  <c r="L356" i="1"/>
  <c r="M356" i="1" s="1"/>
  <c r="N356" i="1"/>
  <c r="O356" i="1" s="1"/>
  <c r="P356" i="1"/>
  <c r="Q356" i="1" s="1"/>
  <c r="R356" i="1"/>
  <c r="S356" i="1" s="1"/>
  <c r="T356" i="1"/>
  <c r="U356" i="1" s="1"/>
  <c r="V356" i="1"/>
  <c r="W356" i="1" s="1"/>
  <c r="V101" i="1"/>
  <c r="W101" i="1" s="1"/>
  <c r="T101" i="1"/>
  <c r="U101" i="1" s="1"/>
  <c r="R101" i="1"/>
  <c r="S101" i="1" s="1"/>
  <c r="P101" i="1"/>
  <c r="Q101" i="1" s="1"/>
  <c r="N101" i="1"/>
  <c r="O101" i="1" s="1"/>
  <c r="H101" i="1"/>
  <c r="I101" i="1" s="1"/>
  <c r="L101" i="1"/>
  <c r="M101" i="1" s="1"/>
  <c r="J101" i="1"/>
  <c r="K101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T320" i="1"/>
  <c r="U320" i="1" s="1"/>
  <c r="V320" i="1"/>
  <c r="W320" i="1" s="1"/>
  <c r="L320" i="1"/>
  <c r="M320" i="1" s="1"/>
  <c r="N320" i="1"/>
  <c r="O320" i="1" s="1"/>
  <c r="P320" i="1"/>
  <c r="Q320" i="1" s="1"/>
  <c r="R320" i="1"/>
  <c r="S320" i="1" s="1"/>
  <c r="N357" i="1"/>
  <c r="L357" i="1"/>
  <c r="J357" i="1"/>
  <c r="H357" i="1"/>
  <c r="I357" i="1" s="1"/>
  <c r="V357" i="1"/>
  <c r="W357" i="1" s="1"/>
  <c r="T357" i="1"/>
  <c r="U357" i="1" s="1"/>
  <c r="R357" i="1"/>
  <c r="S357" i="1" s="1"/>
  <c r="P357" i="1"/>
  <c r="Q357" i="1" s="1"/>
  <c r="J98" i="1"/>
  <c r="K98" i="1" s="1"/>
  <c r="H98" i="1"/>
  <c r="I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L312" i="1"/>
  <c r="M312" i="1" s="1"/>
  <c r="N312" i="1"/>
  <c r="O312" i="1" s="1"/>
  <c r="P312" i="1"/>
  <c r="Q312" i="1" s="1"/>
  <c r="R312" i="1"/>
  <c r="S312" i="1" s="1"/>
  <c r="T312" i="1"/>
  <c r="U312" i="1" s="1"/>
  <c r="V312" i="1"/>
  <c r="W312" i="1" s="1"/>
  <c r="N313" i="1"/>
  <c r="O313" i="1" s="1"/>
  <c r="P313" i="1"/>
  <c r="Q313" i="1" s="1"/>
  <c r="L313" i="1"/>
  <c r="M313" i="1" s="1"/>
  <c r="L321" i="1"/>
  <c r="M321" i="1" s="1"/>
  <c r="N321" i="1"/>
  <c r="O321" i="1" s="1"/>
  <c r="P321" i="1"/>
  <c r="Q321" i="1" s="1"/>
  <c r="R321" i="1"/>
  <c r="S321" i="1" s="1"/>
  <c r="T321" i="1"/>
  <c r="U321" i="1" s="1"/>
  <c r="V321" i="1"/>
  <c r="W321" i="1" s="1"/>
  <c r="H103" i="1"/>
  <c r="I103" i="1" s="1"/>
  <c r="V103" i="1"/>
  <c r="W103" i="1" s="1"/>
  <c r="T103" i="1"/>
  <c r="U103" i="1" s="1"/>
  <c r="L103" i="1"/>
  <c r="M103" i="1" s="1"/>
  <c r="R103" i="1"/>
  <c r="S103" i="1" s="1"/>
  <c r="N103" i="1"/>
  <c r="O103" i="1" s="1"/>
  <c r="P103" i="1"/>
  <c r="Q103" i="1" s="1"/>
  <c r="J103" i="1"/>
  <c r="K103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V102" i="1"/>
  <c r="W102" i="1" s="1"/>
  <c r="H102" i="1"/>
  <c r="I102" i="1" s="1"/>
  <c r="T102" i="1"/>
  <c r="U102" i="1" s="1"/>
  <c r="R102" i="1"/>
  <c r="S102" i="1" s="1"/>
  <c r="P102" i="1"/>
  <c r="Q102" i="1" s="1"/>
  <c r="J102" i="1"/>
  <c r="K102" i="1" s="1"/>
  <c r="N102" i="1"/>
  <c r="O102" i="1" s="1"/>
  <c r="L102" i="1"/>
  <c r="M102" i="1" s="1"/>
  <c r="N322" i="1"/>
  <c r="O322" i="1" s="1"/>
  <c r="P322" i="1"/>
  <c r="Q322" i="1" s="1"/>
  <c r="R322" i="1"/>
  <c r="S322" i="1" s="1"/>
  <c r="T322" i="1"/>
  <c r="U322" i="1" s="1"/>
  <c r="V322" i="1"/>
  <c r="W322" i="1" s="1"/>
  <c r="L322" i="1"/>
  <c r="M322" i="1" s="1"/>
  <c r="V324" i="1"/>
  <c r="W324" i="1" s="1"/>
  <c r="L324" i="1"/>
  <c r="M324" i="1" s="1"/>
  <c r="N324" i="1"/>
  <c r="O324" i="1" s="1"/>
  <c r="P324" i="1"/>
  <c r="Q324" i="1" s="1"/>
  <c r="R324" i="1"/>
  <c r="S324" i="1" s="1"/>
  <c r="T324" i="1"/>
  <c r="U324" i="1" s="1"/>
  <c r="L308" i="1"/>
  <c r="M308" i="1" s="1"/>
  <c r="N308" i="1"/>
  <c r="O308" i="1" s="1"/>
  <c r="P308" i="1"/>
  <c r="Q308" i="1" s="1"/>
  <c r="R308" i="1"/>
  <c r="S308" i="1" s="1"/>
  <c r="T308" i="1"/>
  <c r="U308" i="1" s="1"/>
  <c r="V308" i="1"/>
  <c r="W308" i="1" s="1"/>
  <c r="N326" i="1"/>
  <c r="O326" i="1" s="1"/>
  <c r="P326" i="1"/>
  <c r="Q326" i="1" s="1"/>
  <c r="R326" i="1"/>
  <c r="S326" i="1" s="1"/>
  <c r="T326" i="1"/>
  <c r="U326" i="1" s="1"/>
  <c r="V326" i="1"/>
  <c r="W326" i="1" s="1"/>
  <c r="L326" i="1"/>
  <c r="M326" i="1" s="1"/>
  <c r="R360" i="1"/>
  <c r="S360" i="1" s="1"/>
  <c r="P360" i="1"/>
  <c r="Q360" i="1" s="1"/>
  <c r="N360" i="1"/>
  <c r="O360" i="1" s="1"/>
  <c r="L360" i="1"/>
  <c r="M360" i="1" s="1"/>
  <c r="V360" i="1"/>
  <c r="W360" i="1" s="1"/>
  <c r="T360" i="1"/>
  <c r="U360" i="1" s="1"/>
  <c r="N365" i="1"/>
  <c r="O365" i="1" s="1"/>
  <c r="P365" i="1"/>
  <c r="Q365" i="1" s="1"/>
  <c r="R365" i="1"/>
  <c r="S365" i="1" s="1"/>
  <c r="T365" i="1"/>
  <c r="U365" i="1" s="1"/>
  <c r="V365" i="1"/>
  <c r="W365" i="1" s="1"/>
  <c r="L365" i="1"/>
  <c r="M365" i="1" s="1"/>
  <c r="L287" i="1"/>
  <c r="M287" i="1" s="1"/>
  <c r="J287" i="1"/>
  <c r="K287" i="1" s="1"/>
  <c r="H287" i="1"/>
  <c r="I287" i="1" s="1"/>
  <c r="V287" i="1"/>
  <c r="W287" i="1" s="1"/>
  <c r="T287" i="1"/>
  <c r="U287" i="1" s="1"/>
  <c r="R287" i="1"/>
  <c r="S287" i="1" s="1"/>
  <c r="P287" i="1"/>
  <c r="Q287" i="1" s="1"/>
  <c r="N287" i="1"/>
  <c r="O287" i="1" s="1"/>
  <c r="R328" i="1"/>
  <c r="S328" i="1" s="1"/>
  <c r="P328" i="1"/>
  <c r="Q328" i="1" s="1"/>
  <c r="N328" i="1"/>
  <c r="O328" i="1" s="1"/>
  <c r="L328" i="1"/>
  <c r="M328" i="1" s="1"/>
  <c r="J328" i="1"/>
  <c r="K328" i="1" s="1"/>
  <c r="H328" i="1"/>
  <c r="I328" i="1" s="1"/>
  <c r="V328" i="1"/>
  <c r="W328" i="1" s="1"/>
  <c r="T328" i="1"/>
  <c r="U328" i="1" s="1"/>
  <c r="T216" i="1"/>
  <c r="U216" i="1" s="1"/>
  <c r="R216" i="1"/>
  <c r="S216" i="1" s="1"/>
  <c r="N216" i="1"/>
  <c r="O216" i="1" s="1"/>
  <c r="L216" i="1"/>
  <c r="M216" i="1" s="1"/>
  <c r="J216" i="1"/>
  <c r="K216" i="1" s="1"/>
  <c r="P216" i="1"/>
  <c r="Q216" i="1" s="1"/>
  <c r="V216" i="1"/>
  <c r="W216" i="1" s="1"/>
  <c r="T337" i="1"/>
  <c r="U337" i="1" s="1"/>
  <c r="R337" i="1"/>
  <c r="S337" i="1" s="1"/>
  <c r="P337" i="1"/>
  <c r="Q337" i="1" s="1"/>
  <c r="N337" i="1"/>
  <c r="O337" i="1" s="1"/>
  <c r="L337" i="1"/>
  <c r="M337" i="1" s="1"/>
  <c r="V337" i="1"/>
  <c r="W337" i="1" s="1"/>
  <c r="R302" i="1"/>
  <c r="S302" i="1" s="1"/>
  <c r="P302" i="1"/>
  <c r="Q302" i="1" s="1"/>
  <c r="N302" i="1"/>
  <c r="O302" i="1" s="1"/>
  <c r="L302" i="1"/>
  <c r="M302" i="1" s="1"/>
  <c r="V302" i="1"/>
  <c r="W302" i="1" s="1"/>
  <c r="T302" i="1"/>
  <c r="U302" i="1" s="1"/>
  <c r="P314" i="1"/>
  <c r="Q314" i="1" s="1"/>
  <c r="R314" i="1"/>
  <c r="S314" i="1" s="1"/>
  <c r="T314" i="1"/>
  <c r="U314" i="1" s="1"/>
  <c r="V314" i="1"/>
  <c r="W314" i="1" s="1"/>
  <c r="L314" i="1"/>
  <c r="M314" i="1" s="1"/>
  <c r="N314" i="1"/>
  <c r="O314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T253" i="1"/>
  <c r="U253" i="1" s="1"/>
  <c r="V253" i="1"/>
  <c r="W253" i="1" s="1"/>
  <c r="H253" i="1"/>
  <c r="I253" i="1" s="1"/>
  <c r="J253" i="1"/>
  <c r="K253" i="1" s="1"/>
  <c r="L253" i="1"/>
  <c r="M253" i="1" s="1"/>
  <c r="N253" i="1"/>
  <c r="O253" i="1" s="1"/>
  <c r="P253" i="1"/>
  <c r="Q253" i="1" s="1"/>
  <c r="R253" i="1"/>
  <c r="S253" i="1" s="1"/>
  <c r="L160" i="1"/>
  <c r="M160" i="1" s="1"/>
  <c r="J160" i="1"/>
  <c r="K160" i="1" s="1"/>
  <c r="T160" i="1"/>
  <c r="U160" i="1" s="1"/>
  <c r="R160" i="1"/>
  <c r="S160" i="1" s="1"/>
  <c r="P160" i="1"/>
  <c r="Q160" i="1" s="1"/>
  <c r="V160" i="1"/>
  <c r="W160" i="1" s="1"/>
  <c r="N160" i="1"/>
  <c r="O160" i="1" s="1"/>
  <c r="N309" i="1"/>
  <c r="O309" i="1" s="1"/>
  <c r="P309" i="1"/>
  <c r="Q309" i="1" s="1"/>
  <c r="R309" i="1"/>
  <c r="S309" i="1" s="1"/>
  <c r="T309" i="1"/>
  <c r="U309" i="1" s="1"/>
  <c r="V309" i="1"/>
  <c r="W309" i="1" s="1"/>
  <c r="L309" i="1"/>
  <c r="M309" i="1" s="1"/>
  <c r="N186" i="1"/>
  <c r="O186" i="1" s="1"/>
  <c r="L186" i="1"/>
  <c r="M186" i="1" s="1"/>
  <c r="P186" i="1"/>
  <c r="Q186" i="1" s="1"/>
  <c r="V186" i="1"/>
  <c r="W186" i="1" s="1"/>
  <c r="T186" i="1"/>
  <c r="U186" i="1" s="1"/>
  <c r="R186" i="1"/>
  <c r="S186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P310" i="1"/>
  <c r="Q310" i="1" s="1"/>
  <c r="R310" i="1"/>
  <c r="S310" i="1" s="1"/>
  <c r="T310" i="1"/>
  <c r="U310" i="1" s="1"/>
  <c r="V310" i="1"/>
  <c r="W310" i="1" s="1"/>
  <c r="L310" i="1"/>
  <c r="M310" i="1" s="1"/>
  <c r="N310" i="1"/>
  <c r="O310" i="1" s="1"/>
  <c r="V334" i="1"/>
  <c r="T334" i="1"/>
  <c r="U334" i="1" s="1"/>
  <c r="R334" i="1"/>
  <c r="S334" i="1" s="1"/>
  <c r="P334" i="1"/>
  <c r="Q334" i="1" s="1"/>
  <c r="N334" i="1"/>
  <c r="O334" i="1" s="1"/>
  <c r="L334" i="1"/>
  <c r="M334" i="1" s="1"/>
  <c r="T301" i="1"/>
  <c r="U301" i="1" s="1"/>
  <c r="V301" i="1"/>
  <c r="W301" i="1" s="1"/>
  <c r="P301" i="1"/>
  <c r="Q301" i="1" s="1"/>
  <c r="L301" i="1"/>
  <c r="M301" i="1" s="1"/>
  <c r="N301" i="1"/>
  <c r="O301" i="1" s="1"/>
  <c r="R301" i="1"/>
  <c r="S301" i="1" s="1"/>
  <c r="V354" i="1"/>
  <c r="W354" i="1" s="1"/>
  <c r="L354" i="1"/>
  <c r="M354" i="1" s="1"/>
  <c r="N354" i="1"/>
  <c r="O354" i="1" s="1"/>
  <c r="P354" i="1"/>
  <c r="Q354" i="1" s="1"/>
  <c r="R354" i="1"/>
  <c r="S354" i="1" s="1"/>
  <c r="T354" i="1"/>
  <c r="U354" i="1" s="1"/>
  <c r="T220" i="1"/>
  <c r="U220" i="1" s="1"/>
  <c r="P220" i="1"/>
  <c r="Q220" i="1" s="1"/>
  <c r="N220" i="1"/>
  <c r="O220" i="1" s="1"/>
  <c r="L220" i="1"/>
  <c r="M220" i="1" s="1"/>
  <c r="V220" i="1"/>
  <c r="W220" i="1" s="1"/>
  <c r="R220" i="1"/>
  <c r="S220" i="1" s="1"/>
  <c r="J220" i="1"/>
  <c r="K220" i="1" s="1"/>
  <c r="N306" i="1"/>
  <c r="O306" i="1" s="1"/>
  <c r="L306" i="1"/>
  <c r="M306" i="1" s="1"/>
  <c r="T254" i="1"/>
  <c r="U254" i="1" s="1"/>
  <c r="H254" i="1"/>
  <c r="I254" i="1" s="1"/>
  <c r="V254" i="1"/>
  <c r="W254" i="1" s="1"/>
  <c r="J254" i="1"/>
  <c r="K254" i="1" s="1"/>
  <c r="L254" i="1"/>
  <c r="M254" i="1" s="1"/>
  <c r="N254" i="1"/>
  <c r="O254" i="1" s="1"/>
  <c r="P254" i="1"/>
  <c r="Q254" i="1" s="1"/>
  <c r="R254" i="1"/>
  <c r="S254" i="1" s="1"/>
  <c r="L325" i="1"/>
  <c r="M325" i="1" s="1"/>
  <c r="N325" i="1"/>
  <c r="O325" i="1" s="1"/>
  <c r="P325" i="1"/>
  <c r="Q325" i="1" s="1"/>
  <c r="R325" i="1"/>
  <c r="S325" i="1" s="1"/>
  <c r="T325" i="1"/>
  <c r="U325" i="1" s="1"/>
  <c r="V325" i="1"/>
  <c r="W325" i="1" s="1"/>
  <c r="P164" i="1"/>
  <c r="Q164" i="1" s="1"/>
  <c r="J164" i="1"/>
  <c r="K164" i="1" s="1"/>
  <c r="H164" i="1"/>
  <c r="V164" i="1"/>
  <c r="W164" i="1" s="1"/>
  <c r="T164" i="1"/>
  <c r="U164" i="1" s="1"/>
  <c r="N164" i="1"/>
  <c r="O164" i="1" s="1"/>
  <c r="R164" i="1"/>
  <c r="S164" i="1" s="1"/>
  <c r="L164" i="1"/>
  <c r="M164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P215" i="1"/>
  <c r="Q215" i="1" s="1"/>
  <c r="N215" i="1"/>
  <c r="O215" i="1" s="1"/>
  <c r="J215" i="1"/>
  <c r="K215" i="1" s="1"/>
  <c r="R215" i="1"/>
  <c r="S215" i="1" s="1"/>
  <c r="L215" i="1"/>
  <c r="M215" i="1" s="1"/>
  <c r="V215" i="1"/>
  <c r="W215" i="1" s="1"/>
  <c r="T215" i="1"/>
  <c r="U215" i="1" s="1"/>
  <c r="V300" i="1"/>
  <c r="W300" i="1" s="1"/>
  <c r="T300" i="1"/>
  <c r="U300" i="1" s="1"/>
  <c r="N300" i="1"/>
  <c r="O300" i="1" s="1"/>
  <c r="R300" i="1"/>
  <c r="S300" i="1" s="1"/>
  <c r="P300" i="1"/>
  <c r="Q300" i="1" s="1"/>
  <c r="L300" i="1"/>
  <c r="M300" i="1" s="1"/>
  <c r="T311" i="1"/>
  <c r="U311" i="1" s="1"/>
  <c r="V311" i="1"/>
  <c r="W311" i="1" s="1"/>
  <c r="L311" i="1"/>
  <c r="M311" i="1" s="1"/>
  <c r="N311" i="1"/>
  <c r="O311" i="1" s="1"/>
  <c r="P311" i="1"/>
  <c r="Q311" i="1" s="1"/>
  <c r="R311" i="1"/>
  <c r="S311" i="1" s="1"/>
  <c r="P336" i="1"/>
  <c r="Q336" i="1" s="1"/>
  <c r="N336" i="1"/>
  <c r="O336" i="1" s="1"/>
  <c r="L336" i="1"/>
  <c r="M336" i="1" s="1"/>
  <c r="V336" i="1"/>
  <c r="W336" i="1" s="1"/>
  <c r="T336" i="1"/>
  <c r="U336" i="1" s="1"/>
  <c r="R336" i="1"/>
  <c r="S336" i="1" s="1"/>
  <c r="N145" i="1"/>
  <c r="O145" i="1" s="1"/>
  <c r="T145" i="1"/>
  <c r="U145" i="1" s="1"/>
  <c r="P145" i="1"/>
  <c r="Q145" i="1" s="1"/>
  <c r="V145" i="1"/>
  <c r="W145" i="1" s="1"/>
  <c r="R145" i="1"/>
  <c r="S145" i="1" s="1"/>
  <c r="K357" i="1"/>
  <c r="O357" i="1"/>
  <c r="M357" i="1"/>
  <c r="T161" i="1"/>
  <c r="V161" i="1"/>
  <c r="G555" i="1" l="1"/>
  <c r="T555" i="1"/>
  <c r="U555" i="1" s="1"/>
  <c r="J555" i="1"/>
  <c r="K555" i="1" s="1"/>
  <c r="V555" i="1"/>
  <c r="W555" i="1" s="1"/>
  <c r="H555" i="1"/>
  <c r="I555" i="1" s="1"/>
  <c r="L555" i="1"/>
  <c r="M555" i="1" s="1"/>
  <c r="N555" i="1"/>
  <c r="O555" i="1" s="1"/>
  <c r="P555" i="1"/>
  <c r="Q555" i="1" s="1"/>
  <c r="R555" i="1"/>
  <c r="S555" i="1" s="1"/>
  <c r="G332" i="1"/>
  <c r="G331" i="1" l="1"/>
  <c r="R530" i="1" l="1"/>
  <c r="S530" i="1" s="1"/>
  <c r="H530" i="1"/>
  <c r="I530" i="1" s="1"/>
  <c r="T530" i="1"/>
  <c r="U530" i="1" s="1"/>
  <c r="V530" i="1"/>
  <c r="W530" i="1" s="1"/>
  <c r="J530" i="1"/>
  <c r="K530" i="1" s="1"/>
  <c r="L530" i="1"/>
  <c r="M530" i="1" s="1"/>
  <c r="N530" i="1"/>
  <c r="O530" i="1" s="1"/>
  <c r="P530" i="1"/>
  <c r="Q530" i="1" s="1"/>
  <c r="G389" i="1"/>
  <c r="G390" i="1"/>
  <c r="G386" i="1"/>
  <c r="G387" i="1"/>
  <c r="G225" i="1"/>
  <c r="J11" i="1" l="1"/>
  <c r="G11" i="1"/>
  <c r="H405" i="1" l="1"/>
  <c r="I405" i="1" s="1"/>
  <c r="G228" i="1" l="1"/>
  <c r="G229" i="1" l="1"/>
  <c r="F330" i="1"/>
  <c r="N330" i="1" l="1"/>
  <c r="O330" i="1" s="1"/>
  <c r="L330" i="1"/>
  <c r="M330" i="1" s="1"/>
  <c r="V330" i="1"/>
  <c r="W330" i="1" s="1"/>
  <c r="T330" i="1"/>
  <c r="U330" i="1" s="1"/>
  <c r="R330" i="1"/>
  <c r="S330" i="1" s="1"/>
  <c r="P330" i="1"/>
  <c r="Q330" i="1" s="1"/>
  <c r="G330" i="1"/>
  <c r="G368" i="1"/>
  <c r="V460" i="1" l="1"/>
  <c r="W460" i="1" s="1"/>
  <c r="L460" i="1" l="1"/>
  <c r="M460" i="1" s="1"/>
  <c r="R460" i="1"/>
  <c r="S460" i="1" s="1"/>
  <c r="T460" i="1"/>
  <c r="U460" i="1" s="1"/>
  <c r="N460" i="1"/>
  <c r="O460" i="1" s="1"/>
  <c r="P460" i="1"/>
  <c r="Q460" i="1" s="1"/>
  <c r="G460" i="1"/>
  <c r="H460" i="1"/>
  <c r="I460" i="1" s="1"/>
  <c r="J460" i="1"/>
  <c r="K460" i="1" s="1"/>
  <c r="F240" i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T627" i="1"/>
  <c r="R627" i="1"/>
  <c r="P627" i="1"/>
  <c r="N627" i="1"/>
  <c r="L627" i="1"/>
  <c r="J627" i="1"/>
  <c r="L629" i="1"/>
  <c r="J629" i="1"/>
  <c r="L628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J240" i="1" l="1"/>
  <c r="K240" i="1" s="1"/>
  <c r="H240" i="1"/>
  <c r="I240" i="1" s="1"/>
  <c r="N240" i="1"/>
  <c r="O240" i="1" s="1"/>
  <c r="V240" i="1"/>
  <c r="W240" i="1" s="1"/>
  <c r="T240" i="1"/>
  <c r="U240" i="1" s="1"/>
  <c r="L240" i="1"/>
  <c r="M240" i="1" s="1"/>
  <c r="R240" i="1"/>
  <c r="S240" i="1" s="1"/>
  <c r="P240" i="1"/>
  <c r="Q240" i="1" s="1"/>
  <c r="W413" i="1"/>
  <c r="U413" i="1"/>
  <c r="S413" i="1"/>
  <c r="Q413" i="1"/>
  <c r="O413" i="1"/>
  <c r="M413" i="1"/>
  <c r="K413" i="1"/>
  <c r="W259" i="1" l="1"/>
  <c r="U259" i="1"/>
  <c r="S259" i="1"/>
  <c r="Q259" i="1"/>
  <c r="O259" i="1"/>
  <c r="M259" i="1"/>
  <c r="K259" i="1"/>
  <c r="W212" i="1"/>
  <c r="U212" i="1"/>
  <c r="S212" i="1"/>
  <c r="Q212" i="1"/>
  <c r="O212" i="1"/>
  <c r="M212" i="1"/>
  <c r="K212" i="1"/>
  <c r="U177" i="1"/>
  <c r="S177" i="1"/>
  <c r="Q177" i="1"/>
  <c r="O177" i="1"/>
  <c r="M177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0" i="1"/>
  <c r="U260" i="1"/>
  <c r="S260" i="1"/>
  <c r="Q260" i="1"/>
  <c r="O260" i="1"/>
  <c r="F346" i="1" l="1"/>
  <c r="R346" i="1" l="1"/>
  <c r="S346" i="1" s="1"/>
  <c r="T346" i="1"/>
  <c r="U346" i="1" s="1"/>
  <c r="V346" i="1"/>
  <c r="W346" i="1" s="1"/>
  <c r="L346" i="1"/>
  <c r="M346" i="1" s="1"/>
  <c r="N346" i="1"/>
  <c r="O346" i="1" s="1"/>
  <c r="P346" i="1"/>
  <c r="Q346" i="1" s="1"/>
  <c r="F375" i="1"/>
  <c r="F382" i="1"/>
  <c r="T401" i="1" l="1"/>
  <c r="U401" i="1" s="1"/>
  <c r="R401" i="1"/>
  <c r="S401" i="1" s="1"/>
  <c r="N401" i="1"/>
  <c r="O401" i="1" s="1"/>
  <c r="L401" i="1"/>
  <c r="M401" i="1" s="1"/>
  <c r="J401" i="1"/>
  <c r="K401" i="1" s="1"/>
  <c r="V401" i="1"/>
  <c r="W401" i="1" s="1"/>
  <c r="P401" i="1"/>
  <c r="Q401" i="1" s="1"/>
  <c r="H401" i="1"/>
  <c r="I401" i="1" s="1"/>
  <c r="L349" i="1"/>
  <c r="M349" i="1" s="1"/>
  <c r="N349" i="1"/>
  <c r="O349" i="1" s="1"/>
  <c r="P349" i="1"/>
  <c r="Q349" i="1" s="1"/>
  <c r="R349" i="1"/>
  <c r="S349" i="1" s="1"/>
  <c r="T349" i="1"/>
  <c r="U349" i="1" s="1"/>
  <c r="V349" i="1"/>
  <c r="W349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J381" i="1"/>
  <c r="K381" i="1" s="1"/>
  <c r="H381" i="1"/>
  <c r="I381" i="1" s="1"/>
  <c r="N402" i="1"/>
  <c r="J382" i="1"/>
  <c r="K382" i="1" s="1"/>
  <c r="H382" i="1"/>
  <c r="I382" i="1" s="1"/>
  <c r="L375" i="1"/>
  <c r="M375" i="1" s="1"/>
  <c r="N375" i="1"/>
  <c r="O375" i="1" s="1"/>
  <c r="R374" i="1"/>
  <c r="S374" i="1" s="1"/>
  <c r="T374" i="1"/>
  <c r="U374" i="1" s="1"/>
  <c r="V374" i="1"/>
  <c r="W374" i="1" s="1"/>
  <c r="L374" i="1"/>
  <c r="M374" i="1" s="1"/>
  <c r="N374" i="1"/>
  <c r="O374" i="1" s="1"/>
  <c r="P374" i="1"/>
  <c r="Q374" i="1" s="1"/>
  <c r="G394" i="1"/>
  <c r="F635" i="1" l="1"/>
  <c r="F634" i="1"/>
  <c r="L634" i="1" l="1"/>
  <c r="M634" i="1" s="1"/>
  <c r="J634" i="1"/>
  <c r="K634" i="1" s="1"/>
  <c r="T634" i="1"/>
  <c r="U634" i="1" s="1"/>
  <c r="R634" i="1"/>
  <c r="S634" i="1" s="1"/>
  <c r="P634" i="1"/>
  <c r="Q634" i="1" s="1"/>
  <c r="N634" i="1"/>
  <c r="O634" i="1" s="1"/>
  <c r="R635" i="1"/>
  <c r="S635" i="1" s="1"/>
  <c r="P635" i="1"/>
  <c r="Q635" i="1" s="1"/>
  <c r="N635" i="1"/>
  <c r="O635" i="1" s="1"/>
  <c r="L635" i="1"/>
  <c r="M635" i="1" s="1"/>
  <c r="J635" i="1"/>
  <c r="K635" i="1" s="1"/>
  <c r="T635" i="1"/>
  <c r="U635" i="1" s="1"/>
  <c r="P632" i="1"/>
  <c r="Q632" i="1" s="1"/>
  <c r="N632" i="1"/>
  <c r="O632" i="1" s="1"/>
  <c r="L632" i="1"/>
  <c r="M632" i="1" s="1"/>
  <c r="J632" i="1"/>
  <c r="K632" i="1" s="1"/>
  <c r="R632" i="1"/>
  <c r="S632" i="1" s="1"/>
  <c r="T632" i="1"/>
  <c r="U632" i="1" s="1"/>
  <c r="F535" i="1"/>
  <c r="H518" i="1" l="1"/>
  <c r="V518" i="1"/>
  <c r="T518" i="1"/>
  <c r="R518" i="1"/>
  <c r="P518" i="1"/>
  <c r="J518" i="1"/>
  <c r="N518" i="1"/>
  <c r="L518" i="1"/>
  <c r="H535" i="1"/>
  <c r="I535" i="1" s="1"/>
  <c r="N535" i="1"/>
  <c r="O535" i="1" s="1"/>
  <c r="P535" i="1"/>
  <c r="Q535" i="1" s="1"/>
  <c r="T535" i="1"/>
  <c r="U535" i="1" s="1"/>
  <c r="V535" i="1"/>
  <c r="W535" i="1" s="1"/>
  <c r="R535" i="1"/>
  <c r="S535" i="1" s="1"/>
  <c r="J535" i="1"/>
  <c r="K535" i="1" s="1"/>
  <c r="L535" i="1"/>
  <c r="M535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05" i="1"/>
  <c r="S405" i="1"/>
  <c r="Q405" i="1"/>
  <c r="O405" i="1"/>
  <c r="M405" i="1"/>
  <c r="K405" i="1"/>
  <c r="G405" i="1"/>
  <c r="G485" i="1" l="1"/>
  <c r="G484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371" i="1" l="1"/>
  <c r="G393" i="1" l="1"/>
  <c r="G498" i="1" l="1"/>
  <c r="U445" i="1" l="1"/>
  <c r="Q445" i="1"/>
  <c r="O445" i="1"/>
  <c r="M445" i="1"/>
  <c r="U444" i="1"/>
  <c r="Q444" i="1"/>
  <c r="M444" i="1"/>
  <c r="U443" i="1"/>
  <c r="Q443" i="1"/>
  <c r="M443" i="1"/>
  <c r="U442" i="1"/>
  <c r="Q442" i="1"/>
  <c r="M442" i="1"/>
  <c r="U441" i="1"/>
  <c r="Q441" i="1"/>
  <c r="M441" i="1"/>
  <c r="U440" i="1"/>
  <c r="S440" i="1"/>
  <c r="Q440" i="1"/>
  <c r="M440" i="1"/>
  <c r="W453" i="1"/>
  <c r="K453" i="1"/>
  <c r="I453" i="1"/>
  <c r="W452" i="1"/>
  <c r="K452" i="1"/>
  <c r="I452" i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V449" i="1"/>
  <c r="W449" i="1" s="1"/>
  <c r="T449" i="1"/>
  <c r="U449" i="1" s="1"/>
  <c r="R449" i="1"/>
  <c r="S449" i="1" s="1"/>
  <c r="P449" i="1"/>
  <c r="Q449" i="1" s="1"/>
  <c r="N449" i="1"/>
  <c r="O449" i="1" s="1"/>
  <c r="L449" i="1"/>
  <c r="M449" i="1" s="1"/>
  <c r="J449" i="1"/>
  <c r="K449" i="1" s="1"/>
  <c r="H449" i="1"/>
  <c r="I449" i="1" s="1"/>
  <c r="V448" i="1"/>
  <c r="W448" i="1" s="1"/>
  <c r="T448" i="1"/>
  <c r="U448" i="1" s="1"/>
  <c r="R448" i="1"/>
  <c r="S448" i="1" s="1"/>
  <c r="P448" i="1"/>
  <c r="Q448" i="1" s="1"/>
  <c r="N448" i="1"/>
  <c r="O448" i="1" s="1"/>
  <c r="L448" i="1"/>
  <c r="M448" i="1" s="1"/>
  <c r="J448" i="1"/>
  <c r="K448" i="1" s="1"/>
  <c r="H448" i="1"/>
  <c r="I448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K456" i="1"/>
  <c r="I456" i="1"/>
  <c r="K455" i="1"/>
  <c r="I455" i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F553" i="1" l="1"/>
  <c r="G446" i="1"/>
  <c r="J553" i="1" l="1"/>
  <c r="K553" i="1" s="1"/>
  <c r="V553" i="1"/>
  <c r="W553" i="1" s="1"/>
  <c r="H553" i="1"/>
  <c r="I553" i="1" s="1"/>
  <c r="L553" i="1"/>
  <c r="M553" i="1" s="1"/>
  <c r="N553" i="1"/>
  <c r="O553" i="1" s="1"/>
  <c r="R553" i="1"/>
  <c r="S553" i="1" s="1"/>
  <c r="P553" i="1"/>
  <c r="Q553" i="1" s="1"/>
  <c r="T553" i="1"/>
  <c r="U553" i="1" s="1"/>
  <c r="P446" i="1"/>
  <c r="Q446" i="1" s="1"/>
  <c r="N446" i="1"/>
  <c r="O446" i="1" s="1"/>
  <c r="L446" i="1"/>
  <c r="M446" i="1" s="1"/>
  <c r="V446" i="1"/>
  <c r="W446" i="1" s="1"/>
  <c r="J446" i="1"/>
  <c r="K446" i="1" s="1"/>
  <c r="T446" i="1"/>
  <c r="U446" i="1" s="1"/>
  <c r="R446" i="1"/>
  <c r="S446" i="1" s="1"/>
  <c r="H446" i="1"/>
  <c r="I446" i="1" s="1"/>
  <c r="L620" i="1" l="1"/>
  <c r="L619" i="1"/>
  <c r="V367" i="1" l="1"/>
  <c r="W367" i="1" s="1"/>
  <c r="L367" i="1"/>
  <c r="M367" i="1" s="1"/>
  <c r="N367" i="1"/>
  <c r="O367" i="1" s="1"/>
  <c r="P367" i="1"/>
  <c r="Q367" i="1" s="1"/>
  <c r="R367" i="1"/>
  <c r="S367" i="1" s="1"/>
  <c r="T367" i="1"/>
  <c r="U367" i="1" s="1"/>
  <c r="G381" i="1"/>
  <c r="V358" i="1" l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F537" i="1"/>
  <c r="F222" i="1"/>
  <c r="F218" i="1"/>
  <c r="F185" i="1"/>
  <c r="F162" i="1"/>
  <c r="F146" i="1"/>
  <c r="W425" i="1"/>
  <c r="U425" i="1"/>
  <c r="S425" i="1"/>
  <c r="Q425" i="1"/>
  <c r="O425" i="1"/>
  <c r="W424" i="1"/>
  <c r="U424" i="1"/>
  <c r="S424" i="1"/>
  <c r="Q424" i="1"/>
  <c r="O424" i="1"/>
  <c r="F15" i="1"/>
  <c r="H15" i="1" s="1"/>
  <c r="F16" i="1"/>
  <c r="H16" i="1" s="1"/>
  <c r="J537" i="1" l="1"/>
  <c r="K537" i="1" s="1"/>
  <c r="L537" i="1"/>
  <c r="M537" i="1" s="1"/>
  <c r="H537" i="1"/>
  <c r="I537" i="1" s="1"/>
  <c r="N537" i="1"/>
  <c r="O537" i="1" s="1"/>
  <c r="T222" i="1"/>
  <c r="U222" i="1" s="1"/>
  <c r="R222" i="1"/>
  <c r="S222" i="1" s="1"/>
  <c r="P222" i="1"/>
  <c r="Q222" i="1" s="1"/>
  <c r="V222" i="1"/>
  <c r="W222" i="1" s="1"/>
  <c r="N222" i="1"/>
  <c r="O222" i="1" s="1"/>
  <c r="H222" i="1"/>
  <c r="I222" i="1" s="1"/>
  <c r="L222" i="1"/>
  <c r="M222" i="1" s="1"/>
  <c r="J222" i="1"/>
  <c r="K222" i="1" s="1"/>
  <c r="V165" i="1"/>
  <c r="W165" i="1" s="1"/>
  <c r="T165" i="1"/>
  <c r="U165" i="1" s="1"/>
  <c r="R165" i="1"/>
  <c r="S165" i="1" s="1"/>
  <c r="P165" i="1"/>
  <c r="Q165" i="1" s="1"/>
  <c r="N165" i="1"/>
  <c r="O165" i="1" s="1"/>
  <c r="L165" i="1"/>
  <c r="M165" i="1" s="1"/>
  <c r="J165" i="1"/>
  <c r="K165" i="1" s="1"/>
  <c r="H165" i="1"/>
  <c r="I165" i="1" s="1"/>
  <c r="J146" i="1"/>
  <c r="K146" i="1" s="1"/>
  <c r="H146" i="1"/>
  <c r="I146" i="1" s="1"/>
  <c r="L146" i="1"/>
  <c r="M146" i="1" s="1"/>
  <c r="V146" i="1"/>
  <c r="W146" i="1" s="1"/>
  <c r="T146" i="1"/>
  <c r="U146" i="1" s="1"/>
  <c r="R146" i="1"/>
  <c r="S146" i="1" s="1"/>
  <c r="N146" i="1"/>
  <c r="O146" i="1" s="1"/>
  <c r="P146" i="1"/>
  <c r="Q146" i="1" s="1"/>
  <c r="N162" i="1"/>
  <c r="O162" i="1" s="1"/>
  <c r="L162" i="1"/>
  <c r="M162" i="1" s="1"/>
  <c r="P162" i="1"/>
  <c r="Q162" i="1" s="1"/>
  <c r="J162" i="1"/>
  <c r="K162" i="1" s="1"/>
  <c r="N218" i="1"/>
  <c r="O218" i="1" s="1"/>
  <c r="L218" i="1"/>
  <c r="M218" i="1" s="1"/>
  <c r="J218" i="1"/>
  <c r="K218" i="1" s="1"/>
  <c r="V218" i="1"/>
  <c r="W218" i="1" s="1"/>
  <c r="T218" i="1"/>
  <c r="U218" i="1" s="1"/>
  <c r="R218" i="1"/>
  <c r="S218" i="1" s="1"/>
  <c r="P218" i="1"/>
  <c r="Q218" i="1" s="1"/>
  <c r="T185" i="1"/>
  <c r="U185" i="1" s="1"/>
  <c r="R185" i="1"/>
  <c r="S185" i="1" s="1"/>
  <c r="P185" i="1"/>
  <c r="Q185" i="1" s="1"/>
  <c r="N185" i="1"/>
  <c r="O185" i="1" s="1"/>
  <c r="L185" i="1"/>
  <c r="M185" i="1" s="1"/>
  <c r="V185" i="1"/>
  <c r="W185" i="1" s="1"/>
  <c r="R196" i="1"/>
  <c r="S196" i="1" s="1"/>
  <c r="N196" i="1"/>
  <c r="O196" i="1" s="1"/>
  <c r="J196" i="1"/>
  <c r="K196" i="1" s="1"/>
  <c r="T196" i="1"/>
  <c r="U196" i="1" s="1"/>
  <c r="P196" i="1"/>
  <c r="Q196" i="1" s="1"/>
  <c r="L196" i="1"/>
  <c r="M196" i="1" s="1"/>
  <c r="V196" i="1"/>
  <c r="W196" i="1" s="1"/>
  <c r="I161" i="1"/>
  <c r="W161" i="1"/>
  <c r="U161" i="1"/>
  <c r="S161" i="1"/>
  <c r="Q161" i="1"/>
  <c r="O161" i="1"/>
  <c r="M161" i="1"/>
  <c r="K161" i="1"/>
  <c r="G537" i="1"/>
  <c r="T377" i="1" l="1"/>
  <c r="U377" i="1" s="1"/>
  <c r="R377" i="1"/>
  <c r="S377" i="1" s="1"/>
  <c r="P377" i="1"/>
  <c r="Q377" i="1" s="1"/>
  <c r="N377" i="1"/>
  <c r="O377" i="1" s="1"/>
  <c r="L377" i="1"/>
  <c r="M377" i="1" s="1"/>
  <c r="J377" i="1"/>
  <c r="K377" i="1" s="1"/>
  <c r="H377" i="1"/>
  <c r="I377" i="1" s="1"/>
  <c r="V377" i="1"/>
  <c r="W377" i="1" s="1"/>
  <c r="G377" i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54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56" i="1" l="1"/>
  <c r="R352" i="1" l="1"/>
  <c r="S352" i="1" s="1"/>
  <c r="T352" i="1"/>
  <c r="U352" i="1" s="1"/>
  <c r="V352" i="1"/>
  <c r="W352" i="1" s="1"/>
  <c r="L352" i="1"/>
  <c r="M352" i="1" s="1"/>
  <c r="N352" i="1"/>
  <c r="O352" i="1" s="1"/>
  <c r="P352" i="1"/>
  <c r="Q352" i="1" s="1"/>
  <c r="G352" i="1"/>
  <c r="P620" i="1" l="1"/>
  <c r="Q620" i="1" s="1"/>
  <c r="M620" i="1" l="1"/>
  <c r="V620" i="1"/>
  <c r="W620" i="1" s="1"/>
  <c r="G620" i="1"/>
  <c r="R620" i="1"/>
  <c r="S620" i="1" s="1"/>
  <c r="N620" i="1"/>
  <c r="O620" i="1" s="1"/>
  <c r="T620" i="1"/>
  <c r="U620" i="1" s="1"/>
  <c r="G522" i="1"/>
  <c r="G551" i="1"/>
  <c r="G99" i="1"/>
  <c r="G146" i="1"/>
  <c r="R629" i="1" l="1"/>
  <c r="R628" i="1"/>
  <c r="P629" i="1"/>
  <c r="P628" i="1"/>
  <c r="N629" i="1"/>
  <c r="N628" i="1"/>
  <c r="T628" i="1"/>
  <c r="T629" i="1"/>
  <c r="G417" i="1" l="1"/>
  <c r="V619" i="1"/>
  <c r="W619" i="1" s="1"/>
  <c r="P619" i="1"/>
  <c r="Q619" i="1" s="1"/>
  <c r="R619" i="1"/>
  <c r="S619" i="1" s="1"/>
  <c r="N619" i="1"/>
  <c r="O619" i="1" s="1"/>
  <c r="T619" i="1"/>
  <c r="U619" i="1" s="1"/>
  <c r="G619" i="1"/>
  <c r="M619" i="1"/>
  <c r="F421" i="1"/>
  <c r="F418" i="1"/>
  <c r="F420" i="1"/>
  <c r="T421" i="1" l="1"/>
  <c r="U421" i="1" s="1"/>
  <c r="R421" i="1"/>
  <c r="S421" i="1" s="1"/>
  <c r="P421" i="1"/>
  <c r="Q421" i="1" s="1"/>
  <c r="J421" i="1"/>
  <c r="K421" i="1" s="1"/>
  <c r="H421" i="1"/>
  <c r="I421" i="1" s="1"/>
  <c r="N421" i="1"/>
  <c r="O421" i="1" s="1"/>
  <c r="L421" i="1"/>
  <c r="M421" i="1" s="1"/>
  <c r="V421" i="1"/>
  <c r="W421" i="1" s="1"/>
  <c r="P420" i="1"/>
  <c r="Q420" i="1" s="1"/>
  <c r="T420" i="1"/>
  <c r="U420" i="1" s="1"/>
  <c r="N420" i="1"/>
  <c r="O420" i="1" s="1"/>
  <c r="L420" i="1"/>
  <c r="M420" i="1" s="1"/>
  <c r="J420" i="1"/>
  <c r="K420" i="1" s="1"/>
  <c r="V420" i="1"/>
  <c r="W420" i="1" s="1"/>
  <c r="H420" i="1"/>
  <c r="I420" i="1" s="1"/>
  <c r="R420" i="1"/>
  <c r="S420" i="1" s="1"/>
  <c r="N418" i="1"/>
  <c r="O418" i="1" s="1"/>
  <c r="L418" i="1"/>
  <c r="M418" i="1" s="1"/>
  <c r="V418" i="1"/>
  <c r="W418" i="1" s="1"/>
  <c r="H418" i="1"/>
  <c r="I418" i="1" s="1"/>
  <c r="T418" i="1"/>
  <c r="U418" i="1" s="1"/>
  <c r="P418" i="1"/>
  <c r="Q418" i="1" s="1"/>
  <c r="R418" i="1"/>
  <c r="S418" i="1" s="1"/>
  <c r="J418" i="1"/>
  <c r="K418" i="1" s="1"/>
  <c r="G418" i="1"/>
  <c r="G420" i="1"/>
  <c r="G421" i="1"/>
  <c r="G353" i="1" l="1"/>
  <c r="I295" i="1" l="1"/>
  <c r="S295" i="1" l="1"/>
  <c r="Q295" i="1"/>
  <c r="O295" i="1"/>
  <c r="M295" i="1"/>
  <c r="K295" i="1"/>
  <c r="U295" i="1"/>
  <c r="W295" i="1"/>
  <c r="W147" i="1"/>
  <c r="U147" i="1"/>
  <c r="S147" i="1"/>
  <c r="Q147" i="1"/>
  <c r="O147" i="1"/>
  <c r="M147" i="1"/>
  <c r="K147" i="1"/>
  <c r="W433" i="1"/>
  <c r="W429" i="1"/>
  <c r="W428" i="1"/>
  <c r="U433" i="1"/>
  <c r="U429" i="1"/>
  <c r="U428" i="1"/>
  <c r="S433" i="1"/>
  <c r="S429" i="1"/>
  <c r="S428" i="1"/>
  <c r="Q433" i="1"/>
  <c r="Q429" i="1"/>
  <c r="Q428" i="1"/>
  <c r="O433" i="1"/>
  <c r="O429" i="1"/>
  <c r="O428" i="1"/>
  <c r="G431" i="1"/>
  <c r="G432" i="1"/>
  <c r="G433" i="1"/>
  <c r="G430" i="1"/>
  <c r="G429" i="1"/>
  <c r="G428" i="1"/>
  <c r="L364" i="1" l="1"/>
  <c r="M364" i="1" s="1"/>
  <c r="N364" i="1"/>
  <c r="O364" i="1" s="1"/>
  <c r="P364" i="1"/>
  <c r="Q364" i="1" s="1"/>
  <c r="R364" i="1"/>
  <c r="S364" i="1" s="1"/>
  <c r="T364" i="1"/>
  <c r="U364" i="1" s="1"/>
  <c r="V364" i="1"/>
  <c r="W364" i="1" s="1"/>
  <c r="V348" i="1" l="1"/>
  <c r="W348" i="1" s="1"/>
  <c r="L348" i="1"/>
  <c r="M348" i="1" s="1"/>
  <c r="N348" i="1"/>
  <c r="O348" i="1" s="1"/>
  <c r="P348" i="1"/>
  <c r="Q348" i="1" s="1"/>
  <c r="R348" i="1"/>
  <c r="S348" i="1" s="1"/>
  <c r="T348" i="1"/>
  <c r="U348" i="1" s="1"/>
  <c r="G322" i="1"/>
  <c r="F459" i="1" l="1"/>
  <c r="R459" i="1" l="1"/>
  <c r="J459" i="1"/>
  <c r="V459" i="1"/>
  <c r="N459" i="1"/>
  <c r="L459" i="1"/>
  <c r="T459" i="1"/>
  <c r="P459" i="1"/>
  <c r="H459" i="1"/>
  <c r="M127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R383" i="1" l="1"/>
  <c r="S383" i="1" s="1"/>
  <c r="P383" i="1"/>
  <c r="Q383" i="1" s="1"/>
  <c r="N383" i="1"/>
  <c r="O383" i="1" s="1"/>
  <c r="L383" i="1"/>
  <c r="M383" i="1" s="1"/>
  <c r="J383" i="1"/>
  <c r="K383" i="1" s="1"/>
  <c r="H383" i="1"/>
  <c r="I383" i="1" s="1"/>
  <c r="V383" i="1"/>
  <c r="W383" i="1" s="1"/>
  <c r="T383" i="1"/>
  <c r="U383" i="1" s="1"/>
  <c r="G267" i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2" i="1"/>
  <c r="F333" i="1" l="1"/>
  <c r="F171" i="1"/>
  <c r="F170" i="1"/>
  <c r="F169" i="1"/>
  <c r="F168" i="1"/>
  <c r="F167" i="1"/>
  <c r="F166" i="1"/>
  <c r="J166" i="1" l="1"/>
  <c r="K166" i="1" s="1"/>
  <c r="P166" i="1"/>
  <c r="Q166" i="1" s="1"/>
  <c r="L166" i="1"/>
  <c r="M166" i="1" s="1"/>
  <c r="N166" i="1"/>
  <c r="O166" i="1" s="1"/>
  <c r="H166" i="1"/>
  <c r="I166" i="1" s="1"/>
  <c r="R166" i="1"/>
  <c r="S166" i="1" s="1"/>
  <c r="T166" i="1"/>
  <c r="U166" i="1" s="1"/>
  <c r="R170" i="1"/>
  <c r="S170" i="1" s="1"/>
  <c r="T170" i="1"/>
  <c r="U170" i="1" s="1"/>
  <c r="P170" i="1"/>
  <c r="Q170" i="1" s="1"/>
  <c r="N170" i="1"/>
  <c r="O170" i="1" s="1"/>
  <c r="L170" i="1"/>
  <c r="M170" i="1" s="1"/>
  <c r="J170" i="1"/>
  <c r="K170" i="1" s="1"/>
  <c r="H170" i="1"/>
  <c r="I170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71" i="1"/>
  <c r="K171" i="1" s="1"/>
  <c r="H171" i="1"/>
  <c r="I171" i="1" s="1"/>
  <c r="N171" i="1"/>
  <c r="O171" i="1" s="1"/>
  <c r="L171" i="1"/>
  <c r="M171" i="1" s="1"/>
  <c r="T171" i="1"/>
  <c r="U171" i="1" s="1"/>
  <c r="R171" i="1"/>
  <c r="S171" i="1" s="1"/>
  <c r="P171" i="1"/>
  <c r="Q171" i="1" s="1"/>
  <c r="T169" i="1"/>
  <c r="U169" i="1" s="1"/>
  <c r="R169" i="1"/>
  <c r="S169" i="1" s="1"/>
  <c r="P169" i="1"/>
  <c r="Q169" i="1" s="1"/>
  <c r="J169" i="1"/>
  <c r="K169" i="1" s="1"/>
  <c r="N169" i="1"/>
  <c r="O169" i="1" s="1"/>
  <c r="L169" i="1"/>
  <c r="M169" i="1" s="1"/>
  <c r="T168" i="1"/>
  <c r="U168" i="1" s="1"/>
  <c r="R168" i="1"/>
  <c r="S168" i="1" s="1"/>
  <c r="P168" i="1"/>
  <c r="Q168" i="1" s="1"/>
  <c r="L168" i="1"/>
  <c r="M168" i="1" s="1"/>
  <c r="H168" i="1"/>
  <c r="I168" i="1" s="1"/>
  <c r="N168" i="1"/>
  <c r="O168" i="1" s="1"/>
  <c r="J168" i="1"/>
  <c r="K168" i="1" s="1"/>
  <c r="T333" i="1"/>
  <c r="U333" i="1" s="1"/>
  <c r="R333" i="1"/>
  <c r="S333" i="1" s="1"/>
  <c r="P333" i="1"/>
  <c r="Q333" i="1" s="1"/>
  <c r="N333" i="1"/>
  <c r="O333" i="1" s="1"/>
  <c r="L333" i="1"/>
  <c r="M333" i="1" s="1"/>
  <c r="V363" i="1"/>
  <c r="W363" i="1" s="1"/>
  <c r="L363" i="1"/>
  <c r="M363" i="1" s="1"/>
  <c r="N363" i="1"/>
  <c r="O363" i="1" s="1"/>
  <c r="P363" i="1"/>
  <c r="Q363" i="1" s="1"/>
  <c r="R363" i="1"/>
  <c r="S363" i="1" s="1"/>
  <c r="T363" i="1"/>
  <c r="U363" i="1" s="1"/>
  <c r="V361" i="1" l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F256" i="1"/>
  <c r="F163" i="1"/>
  <c r="H163" i="1" l="1"/>
  <c r="I163" i="1" s="1"/>
  <c r="J163" i="1"/>
  <c r="K163" i="1" s="1"/>
  <c r="P256" i="1"/>
  <c r="Q256" i="1" s="1"/>
  <c r="R256" i="1"/>
  <c r="S256" i="1" s="1"/>
  <c r="T256" i="1"/>
  <c r="U256" i="1" s="1"/>
  <c r="V256" i="1"/>
  <c r="W256" i="1" s="1"/>
  <c r="H256" i="1"/>
  <c r="I256" i="1" s="1"/>
  <c r="J256" i="1"/>
  <c r="K256" i="1" s="1"/>
  <c r="L256" i="1"/>
  <c r="M256" i="1" s="1"/>
  <c r="N256" i="1"/>
  <c r="O256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K221" i="1"/>
  <c r="I221" i="1"/>
  <c r="F129" i="1"/>
  <c r="T129" i="1" l="1"/>
  <c r="U129" i="1" s="1"/>
  <c r="R129" i="1"/>
  <c r="S129" i="1" s="1"/>
  <c r="P129" i="1"/>
  <c r="Q129" i="1" s="1"/>
  <c r="V129" i="1"/>
  <c r="W129" i="1" s="1"/>
  <c r="N129" i="1"/>
  <c r="O129" i="1" s="1"/>
  <c r="L129" i="1"/>
  <c r="M129" i="1" s="1"/>
  <c r="J129" i="1"/>
  <c r="K129" i="1" s="1"/>
  <c r="N369" i="1"/>
  <c r="O369" i="1" s="1"/>
  <c r="P369" i="1"/>
  <c r="Q369" i="1" s="1"/>
  <c r="R369" i="1"/>
  <c r="S369" i="1" s="1"/>
  <c r="T369" i="1"/>
  <c r="U369" i="1" s="1"/>
  <c r="V369" i="1"/>
  <c r="W369" i="1" s="1"/>
  <c r="L369" i="1"/>
  <c r="M369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G367" i="1"/>
  <c r="L621" i="1"/>
  <c r="V621" i="1" l="1"/>
  <c r="T621" i="1"/>
  <c r="R621" i="1"/>
  <c r="P621" i="1"/>
  <c r="N621" i="1"/>
  <c r="F403" i="1"/>
  <c r="O649" i="1"/>
  <c r="L623" i="1"/>
  <c r="T554" i="1" l="1"/>
  <c r="U554" i="1" s="1"/>
  <c r="L554" i="1"/>
  <c r="M554" i="1" s="1"/>
  <c r="H554" i="1"/>
  <c r="I554" i="1" s="1"/>
  <c r="J554" i="1"/>
  <c r="K554" i="1" s="1"/>
  <c r="V554" i="1"/>
  <c r="W554" i="1" s="1"/>
  <c r="N554" i="1"/>
  <c r="O554" i="1" s="1"/>
  <c r="P554" i="1"/>
  <c r="Q554" i="1" s="1"/>
  <c r="R554" i="1"/>
  <c r="S554" i="1" s="1"/>
  <c r="R403" i="1"/>
  <c r="S403" i="1" s="1"/>
  <c r="P403" i="1"/>
  <c r="Q403" i="1" s="1"/>
  <c r="N403" i="1"/>
  <c r="O403" i="1" s="1"/>
  <c r="L403" i="1"/>
  <c r="M403" i="1" s="1"/>
  <c r="J403" i="1"/>
  <c r="K403" i="1" s="1"/>
  <c r="T403" i="1"/>
  <c r="U403" i="1" s="1"/>
  <c r="V403" i="1"/>
  <c r="W403" i="1" s="1"/>
  <c r="K187" i="1"/>
  <c r="I187" i="1"/>
  <c r="T623" i="1"/>
  <c r="R623" i="1"/>
  <c r="P623" i="1"/>
  <c r="N623" i="1"/>
  <c r="G292" i="1" l="1"/>
  <c r="R183" i="1" l="1"/>
  <c r="S183" i="1" s="1"/>
  <c r="P183" i="1"/>
  <c r="Q183" i="1" s="1"/>
  <c r="N183" i="1"/>
  <c r="O183" i="1" s="1"/>
  <c r="V183" i="1"/>
  <c r="W183" i="1" s="1"/>
  <c r="L183" i="1"/>
  <c r="M183" i="1" s="1"/>
  <c r="T183" i="1"/>
  <c r="U183" i="1" s="1"/>
  <c r="G291" i="1"/>
  <c r="F327" i="1" l="1"/>
  <c r="R327" i="1" l="1"/>
  <c r="S327" i="1" s="1"/>
  <c r="T327" i="1"/>
  <c r="U327" i="1" s="1"/>
  <c r="V327" i="1"/>
  <c r="W327" i="1" s="1"/>
  <c r="L327" i="1"/>
  <c r="M327" i="1" s="1"/>
  <c r="N327" i="1"/>
  <c r="O327" i="1" s="1"/>
  <c r="P327" i="1"/>
  <c r="Q327" i="1" s="1"/>
  <c r="G634" i="1"/>
  <c r="G504" i="1" l="1"/>
  <c r="G503" i="1" l="1"/>
  <c r="G493" i="1" l="1"/>
  <c r="G488" i="1"/>
  <c r="G487" i="1" l="1"/>
  <c r="G252" i="1" l="1"/>
  <c r="G249" i="1"/>
  <c r="G234" i="1" l="1"/>
  <c r="G230" i="1"/>
  <c r="G553" i="1" l="1"/>
  <c r="G554" i="1"/>
  <c r="G458" i="1" l="1"/>
  <c r="G197" i="1" l="1"/>
  <c r="G196" i="1" l="1"/>
  <c r="G212" i="1"/>
  <c r="G531" i="1" l="1"/>
  <c r="G530" i="1"/>
  <c r="G529" i="1"/>
  <c r="G341" i="1" l="1"/>
  <c r="V392" i="1" l="1"/>
  <c r="W392" i="1" s="1"/>
  <c r="T392" i="1"/>
  <c r="U392" i="1" s="1"/>
  <c r="R392" i="1"/>
  <c r="S392" i="1" s="1"/>
  <c r="P392" i="1"/>
  <c r="Q392" i="1" s="1"/>
  <c r="N392" i="1"/>
  <c r="O392" i="1" s="1"/>
  <c r="L392" i="1"/>
  <c r="M392" i="1" s="1"/>
  <c r="J392" i="1"/>
  <c r="K392" i="1" s="1"/>
  <c r="H392" i="1"/>
  <c r="I392" i="1" s="1"/>
  <c r="G233" i="1"/>
  <c r="G355" i="1" l="1"/>
  <c r="G170" i="1" l="1"/>
  <c r="G171" i="1"/>
  <c r="G167" i="1" l="1"/>
  <c r="G169" i="1"/>
  <c r="G168" i="1"/>
  <c r="G166" i="1"/>
  <c r="G165" i="1"/>
  <c r="G164" i="1"/>
  <c r="I164" i="1"/>
  <c r="G401" i="1" l="1"/>
  <c r="G285" i="1" l="1"/>
  <c r="W556" i="1" l="1"/>
  <c r="U556" i="1"/>
  <c r="S556" i="1"/>
  <c r="Q556" i="1"/>
  <c r="O556" i="1"/>
  <c r="M556" i="1"/>
  <c r="K556" i="1"/>
  <c r="I556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392" i="1" l="1"/>
  <c r="G257" i="1"/>
  <c r="G246" i="1"/>
  <c r="G251" i="1" l="1"/>
  <c r="G492" i="1" l="1"/>
  <c r="G491" i="1" l="1"/>
  <c r="G181" i="1"/>
  <c r="G180" i="1"/>
  <c r="G177" i="1"/>
  <c r="W175" i="1"/>
  <c r="W174" i="1"/>
  <c r="W173" i="1"/>
  <c r="W172" i="1"/>
  <c r="U172" i="1"/>
  <c r="S172" i="1"/>
  <c r="Q172" i="1"/>
  <c r="O172" i="1"/>
  <c r="K617" i="1"/>
  <c r="G179" i="1" l="1"/>
  <c r="G178" i="1"/>
  <c r="W177" i="1"/>
  <c r="G182" i="1"/>
  <c r="G540" i="1"/>
  <c r="I652" i="1" l="1"/>
  <c r="I651" i="1"/>
  <c r="I649" i="1"/>
  <c r="I650" i="1"/>
  <c r="W649" i="1"/>
  <c r="U649" i="1"/>
  <c r="S649" i="1"/>
  <c r="Q649" i="1"/>
  <c r="M649" i="1"/>
  <c r="K649" i="1"/>
  <c r="W512" i="1" l="1"/>
  <c r="U512" i="1" l="1"/>
  <c r="I512" i="1"/>
  <c r="M512" i="1"/>
  <c r="Q512" i="1"/>
  <c r="K512" i="1"/>
  <c r="O512" i="1"/>
  <c r="S512" i="1"/>
  <c r="G490" i="1" l="1"/>
  <c r="G489" i="1"/>
  <c r="K297" i="1" l="1"/>
  <c r="T457" i="1" l="1"/>
  <c r="R457" i="1"/>
  <c r="P457" i="1"/>
  <c r="I457" i="1"/>
  <c r="W459" i="1"/>
  <c r="U459" i="1"/>
  <c r="S459" i="1"/>
  <c r="Q459" i="1"/>
  <c r="O459" i="1"/>
  <c r="M459" i="1"/>
  <c r="K459" i="1"/>
  <c r="I459" i="1"/>
  <c r="I566" i="1"/>
  <c r="G232" i="1" l="1"/>
  <c r="G536" i="1" l="1"/>
  <c r="G546" i="1" l="1"/>
  <c r="G543" i="1"/>
  <c r="G545" i="1"/>
  <c r="G525" i="1" l="1"/>
  <c r="S518" i="1" l="1"/>
  <c r="Q518" i="1"/>
  <c r="W518" i="1"/>
  <c r="O518" i="1"/>
  <c r="U518" i="1"/>
  <c r="M518" i="1"/>
  <c r="K518" i="1"/>
  <c r="G520" i="1"/>
  <c r="G528" i="1"/>
  <c r="G521" i="1" l="1"/>
  <c r="G527" i="1"/>
  <c r="G524" i="1"/>
  <c r="I518" i="1"/>
  <c r="G544" i="1"/>
  <c r="G542" i="1"/>
  <c r="G541" i="1"/>
  <c r="G535" i="1"/>
  <c r="G534" i="1"/>
  <c r="G533" i="1"/>
  <c r="G532" i="1"/>
  <c r="G523" i="1"/>
  <c r="G518" i="1"/>
  <c r="G270" i="1" l="1"/>
  <c r="G372" i="1" l="1"/>
  <c r="G269" i="1" l="1"/>
  <c r="G293" i="1"/>
  <c r="G282" i="1"/>
  <c r="G280" i="1"/>
  <c r="G281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19" i="1" l="1"/>
  <c r="G376" i="1" l="1"/>
  <c r="G632" i="1" l="1"/>
  <c r="U627" i="1" l="1"/>
  <c r="K627" i="1"/>
  <c r="S627" i="1"/>
  <c r="Q627" i="1"/>
  <c r="O627" i="1"/>
  <c r="M627" i="1"/>
  <c r="G627" i="1"/>
  <c r="U629" i="1"/>
  <c r="S629" i="1"/>
  <c r="Q629" i="1"/>
  <c r="O629" i="1"/>
  <c r="M629" i="1"/>
  <c r="K629" i="1"/>
  <c r="G629" i="1"/>
  <c r="G409" i="1" l="1"/>
  <c r="G408" i="1"/>
  <c r="Q57" i="1" l="1"/>
  <c r="M57" i="1"/>
  <c r="K57" i="1"/>
  <c r="W57" i="1"/>
  <c r="U57" i="1"/>
  <c r="S57" i="1"/>
  <c r="O57" i="1"/>
  <c r="G57" i="1"/>
  <c r="G323" i="1" l="1"/>
  <c r="G221" i="1" l="1"/>
  <c r="G344" i="1" l="1"/>
  <c r="G277" i="1"/>
  <c r="G223" i="1" l="1"/>
  <c r="G224" i="1"/>
  <c r="G226" i="1" l="1"/>
  <c r="I645" i="1" l="1"/>
  <c r="K645" i="1"/>
  <c r="W645" i="1"/>
  <c r="U645" i="1"/>
  <c r="S645" i="1"/>
  <c r="Q645" i="1"/>
  <c r="O645" i="1"/>
  <c r="M645" i="1"/>
  <c r="W644" i="1"/>
  <c r="U644" i="1"/>
  <c r="S644" i="1"/>
  <c r="Q644" i="1"/>
  <c r="O644" i="1"/>
  <c r="M644" i="1"/>
  <c r="S650" i="1"/>
  <c r="U650" i="1"/>
  <c r="W650" i="1"/>
  <c r="S651" i="1"/>
  <c r="U651" i="1"/>
  <c r="W651" i="1"/>
  <c r="S652" i="1"/>
  <c r="U652" i="1"/>
  <c r="W652" i="1"/>
  <c r="Q652" i="1"/>
  <c r="O652" i="1"/>
  <c r="M652" i="1"/>
  <c r="K652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28" i="1" l="1"/>
  <c r="S628" i="1"/>
  <c r="Q628" i="1"/>
  <c r="O628" i="1"/>
  <c r="M628" i="1"/>
  <c r="W621" i="1"/>
  <c r="U621" i="1"/>
  <c r="S621" i="1"/>
  <c r="Q621" i="1"/>
  <c r="O621" i="1"/>
  <c r="M621" i="1"/>
  <c r="W457" i="1"/>
  <c r="U457" i="1"/>
  <c r="S457" i="1"/>
  <c r="Q457" i="1"/>
  <c r="O457" i="1"/>
  <c r="M457" i="1"/>
  <c r="K457" i="1"/>
  <c r="Q423" i="1"/>
  <c r="Q406" i="1"/>
  <c r="Q404" i="1"/>
  <c r="G618" i="1" l="1"/>
  <c r="G617" i="1"/>
  <c r="Q176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09" i="1" l="1"/>
  <c r="G220" i="1"/>
  <c r="G240" i="1" l="1"/>
  <c r="G207" i="1"/>
  <c r="G416" i="1" l="1"/>
  <c r="G370" i="1" l="1"/>
  <c r="G403" i="1"/>
  <c r="G274" i="1"/>
  <c r="G349" i="1"/>
  <c r="Q142" i="1"/>
  <c r="Q141" i="1"/>
  <c r="W38" i="1"/>
  <c r="G129" i="1" l="1"/>
  <c r="G254" i="1" l="1"/>
  <c r="G186" i="1"/>
  <c r="G271" i="1" l="1"/>
  <c r="G369" i="1"/>
  <c r="O71" i="1" l="1"/>
  <c r="G202" i="1"/>
  <c r="G275" i="1" l="1"/>
  <c r="W69" i="1" l="1"/>
  <c r="U69" i="1"/>
  <c r="S69" i="1"/>
  <c r="O69" i="1"/>
  <c r="G272" i="1"/>
  <c r="G361" i="1" l="1"/>
  <c r="G162" i="1" l="1"/>
  <c r="G327" i="1" l="1"/>
  <c r="G633" i="1"/>
  <c r="G635" i="1"/>
  <c r="G413" i="1" l="1"/>
  <c r="G494" i="1" l="1"/>
  <c r="G39" i="1" l="1"/>
  <c r="U38" i="1"/>
  <c r="S38" i="1"/>
  <c r="O38" i="1"/>
  <c r="G38" i="1"/>
  <c r="I565" i="1" l="1"/>
  <c r="G243" i="1" l="1"/>
  <c r="G248" i="1" l="1"/>
  <c r="G244" i="1"/>
  <c r="G163" i="1" l="1"/>
  <c r="V97" i="1" l="1"/>
  <c r="T97" i="1"/>
  <c r="R97" i="1"/>
  <c r="N97" i="1"/>
  <c r="K97" i="1"/>
  <c r="G380" i="1" l="1"/>
  <c r="G502" i="1" l="1"/>
  <c r="G203" i="1" l="1"/>
  <c r="G447" i="1" l="1"/>
  <c r="G383" i="1"/>
  <c r="I676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1" i="1" l="1"/>
  <c r="G510" i="1"/>
  <c r="G497" i="1"/>
  <c r="G499" i="1"/>
  <c r="G507" i="1"/>
  <c r="G506" i="1"/>
  <c r="G440" i="1" l="1"/>
  <c r="G375" i="1" l="1"/>
  <c r="G273" i="1" l="1"/>
  <c r="G290" i="1"/>
  <c r="G276" i="1"/>
  <c r="G289" i="1" l="1"/>
  <c r="G288" i="1"/>
  <c r="G218" i="1" l="1"/>
  <c r="G10" i="1"/>
  <c r="G209" i="1" l="1"/>
  <c r="G621" i="1" l="1"/>
  <c r="G210" i="1" l="1"/>
  <c r="O34" i="1"/>
  <c r="G185" i="1" l="1"/>
  <c r="G260" i="1" l="1"/>
  <c r="G262" i="1"/>
  <c r="G261" i="1"/>
  <c r="G373" i="1" l="1"/>
  <c r="G374" i="1"/>
  <c r="S40" i="1" l="1"/>
  <c r="G110" i="1" l="1"/>
  <c r="G437" i="1" l="1"/>
  <c r="G631" i="1" l="1"/>
  <c r="G628" i="1"/>
  <c r="G259" i="1"/>
  <c r="G211" i="1"/>
  <c r="G208" i="1"/>
  <c r="G206" i="1"/>
  <c r="G200" i="1"/>
  <c r="G201" i="1"/>
  <c r="G199" i="1"/>
  <c r="G104" i="1"/>
  <c r="G64" i="1"/>
  <c r="G22" i="1"/>
  <c r="G20" i="1"/>
  <c r="G21" i="1"/>
  <c r="G366" i="1" l="1"/>
  <c r="U404" i="1" l="1"/>
  <c r="S404" i="1"/>
  <c r="M404" i="1"/>
  <c r="O404" i="1"/>
  <c r="G404" i="1"/>
  <c r="J445" i="1" l="1"/>
  <c r="J443" i="1"/>
  <c r="J442" i="1"/>
  <c r="J441" i="1"/>
  <c r="J444" i="1"/>
  <c r="J440" i="1"/>
  <c r="W109" i="1" l="1"/>
  <c r="U109" i="1"/>
  <c r="S109" i="1"/>
  <c r="O109" i="1"/>
  <c r="G19" i="1"/>
  <c r="G406" i="1"/>
  <c r="M406" i="1"/>
  <c r="O406" i="1"/>
  <c r="S406" i="1"/>
  <c r="U406" i="1"/>
  <c r="W334" i="1"/>
  <c r="G153" i="1"/>
  <c r="G24" i="1" l="1"/>
  <c r="G501" i="1" l="1"/>
  <c r="G54" i="1" l="1"/>
  <c r="G56" i="1"/>
  <c r="O29" i="1"/>
  <c r="G58" i="1"/>
  <c r="U29" i="1" l="1"/>
  <c r="G194" i="1"/>
  <c r="W563" i="1" l="1"/>
  <c r="U563" i="1"/>
  <c r="S563" i="1"/>
  <c r="Q563" i="1"/>
  <c r="O563" i="1"/>
  <c r="M563" i="1"/>
  <c r="K563" i="1"/>
  <c r="G27" i="1"/>
  <c r="G295" i="1"/>
  <c r="O126" i="1"/>
  <c r="S126" i="1"/>
  <c r="U126" i="1"/>
  <c r="G287" i="1" l="1"/>
  <c r="G13" i="1" l="1"/>
  <c r="G459" i="1" l="1"/>
  <c r="G145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7" i="1"/>
  <c r="Q137" i="1"/>
  <c r="G138" i="1"/>
  <c r="Q138" i="1"/>
  <c r="G141" i="1"/>
  <c r="G142" i="1"/>
  <c r="G147" i="1"/>
  <c r="G160" i="1"/>
  <c r="G161" i="1"/>
  <c r="G176" i="1"/>
  <c r="M176" i="1"/>
  <c r="O176" i="1"/>
  <c r="S176" i="1"/>
  <c r="U176" i="1"/>
  <c r="W176" i="1"/>
  <c r="G183" i="1"/>
  <c r="G187" i="1"/>
  <c r="G205" i="1"/>
  <c r="G213" i="1"/>
  <c r="G214" i="1"/>
  <c r="M214" i="1"/>
  <c r="P214" i="1"/>
  <c r="G215" i="1"/>
  <c r="G216" i="1"/>
  <c r="G217" i="1"/>
  <c r="G222" i="1"/>
  <c r="G242" i="1"/>
  <c r="G253" i="1"/>
  <c r="G255" i="1"/>
  <c r="G256" i="1"/>
  <c r="G263" i="1"/>
  <c r="G264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4" i="1"/>
  <c r="G325" i="1"/>
  <c r="G326" i="1"/>
  <c r="G328" i="1"/>
  <c r="G329" i="1"/>
  <c r="G333" i="1"/>
  <c r="G334" i="1"/>
  <c r="G336" i="1"/>
  <c r="G337" i="1"/>
  <c r="G346" i="1"/>
  <c r="G347" i="1"/>
  <c r="G348" i="1"/>
  <c r="G351" i="1"/>
  <c r="G357" i="1"/>
  <c r="G358" i="1"/>
  <c r="G360" i="1"/>
  <c r="G362" i="1"/>
  <c r="G363" i="1"/>
  <c r="G364" i="1"/>
  <c r="G365" i="1"/>
  <c r="G379" i="1"/>
  <c r="G382" i="1"/>
  <c r="G384" i="1"/>
  <c r="G407" i="1"/>
  <c r="G414" i="1"/>
  <c r="G423" i="1"/>
  <c r="O423" i="1"/>
  <c r="S423" i="1"/>
  <c r="U423" i="1"/>
  <c r="W423" i="1"/>
  <c r="G424" i="1"/>
  <c r="G425" i="1"/>
  <c r="G426" i="1"/>
  <c r="G427" i="1"/>
  <c r="G434" i="1"/>
  <c r="G435" i="1"/>
  <c r="G438" i="1"/>
  <c r="G441" i="1"/>
  <c r="G442" i="1"/>
  <c r="G443" i="1"/>
  <c r="G444" i="1"/>
  <c r="G445" i="1"/>
  <c r="G448" i="1"/>
  <c r="G449" i="1"/>
  <c r="G450" i="1"/>
  <c r="G452" i="1"/>
  <c r="G453" i="1"/>
  <c r="G455" i="1"/>
  <c r="G456" i="1"/>
  <c r="G457" i="1"/>
  <c r="G505" i="1"/>
  <c r="G623" i="1"/>
  <c r="M623" i="1"/>
  <c r="O623" i="1"/>
  <c r="Q623" i="1"/>
  <c r="S623" i="1"/>
  <c r="U623" i="1"/>
  <c r="M642" i="1"/>
  <c r="O642" i="1"/>
  <c r="Q642" i="1"/>
  <c r="S642" i="1"/>
  <c r="U642" i="1"/>
  <c r="W642" i="1"/>
  <c r="K643" i="1"/>
  <c r="M643" i="1"/>
  <c r="O643" i="1"/>
  <c r="Q643" i="1"/>
  <c r="S643" i="1"/>
  <c r="U643" i="1"/>
  <c r="W643" i="1"/>
  <c r="K650" i="1"/>
  <c r="M650" i="1"/>
  <c r="O650" i="1"/>
  <c r="Q650" i="1"/>
  <c r="K651" i="1"/>
  <c r="M651" i="1"/>
  <c r="O651" i="1"/>
  <c r="Q651" i="1"/>
  <c r="M654" i="1"/>
  <c r="Q654" i="1"/>
  <c r="I675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<sst xmlns="http://schemas.openxmlformats.org/spreadsheetml/2006/main" count="1102" uniqueCount="911">
  <si>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</si>
  <si>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</si>
  <si>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</si>
  <si>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</si>
  <si>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</si>
  <si>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</si>
  <si>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</si>
  <si>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</si>
  <si>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</si>
  <si>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</si>
  <si>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</si>
  <si>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</si>
  <si>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</si>
  <si>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</si>
  <si>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</si>
  <si>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</si>
  <si>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</si>
  <si>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</si>
  <si>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</si>
  <si>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</si>
  <si>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</si>
  <si>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</si>
  <si>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</si>
  <si>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</si>
  <si>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</si>
  <si>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</si>
  <si>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</si>
  <si>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</si>
  <si>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</si>
  <si>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</si>
  <si>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</si>
  <si>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</si>
  <si>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</si>
  <si>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</si>
  <si>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</si>
  <si>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</si>
  <si>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</si>
  <si>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</si>
  <si>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</si>
  <si>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</si>
  <si>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</si>
  <si>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</si>
  <si>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</si>
  <si>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</si>
  <si>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</si>
  <si>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</si>
  <si>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</si>
  <si>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</si>
  <si>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</si>
  <si>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</si>
  <si>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</si>
  <si>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</si>
  <si>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</si>
  <si>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</si>
  <si>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</si>
  <si>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</si>
  <si>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</si>
  <si>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</si>
  <si>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</si>
  <si>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</si>
  <si>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</si>
  <si>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</si>
  <si>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</si>
  <si>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</si>
  <si>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</si>
  <si>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</si>
  <si>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</si>
  <si>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</si>
  <si>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</si>
  <si>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</si>
  <si>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</si>
  <si>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</si>
  <si>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</si>
  <si>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</si>
  <si>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</si>
  <si>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</si>
  <si>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</si>
  <si>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</si>
  <si>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</si>
  <si>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</si>
  <si>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</si>
  <si>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</si>
  <si>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</si>
  <si>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</si>
  <si>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</si>
  <si>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</si>
  <si>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</si>
  <si>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</si>
  <si>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</si>
  <si>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</si>
  <si>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</si>
  <si>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</si>
  <si>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</si>
  <si>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</si>
  <si>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</si>
  <si>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</si>
  <si>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</si>
  <si>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</si>
  <si>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</si>
  <si>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</si>
  <si>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</si>
  <si>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</si>
  <si>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</si>
  <si>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</si>
  <si>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</si>
  <si>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</si>
  <si>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</si>
  <si>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</si>
  <si>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</si>
  <si>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</si>
  <si>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</si>
  <si>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</si>
  <si>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</si>
  <si>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</si>
  <si>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</si>
  <si>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</si>
  <si>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</si>
  <si>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</si>
  <si>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</si>
  <si>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</si>
  <si>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</si>
  <si>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</si>
  <si>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</si>
  <si>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</si>
  <si>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</si>
  <si>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</si>
  <si>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</si>
  <si>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</si>
  <si>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</si>
  <si>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</si>
  <si>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</si>
  <si>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</si>
  <si>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</si>
  <si>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</si>
  <si>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</si>
  <si>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</si>
  <si>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</si>
  <si>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</si>
  <si>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</si>
  <si>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</si>
  <si>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</si>
  <si>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</si>
  <si>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</si>
  <si>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</si>
  <si>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</si>
  <si>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</si>
  <si>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</si>
  <si>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</si>
  <si>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</si>
  <si>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</si>
  <si>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</si>
  <si>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</si>
  <si>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</si>
  <si>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</si>
  <si>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</si>
  <si>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</si>
  <si>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</si>
  <si>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</si>
  <si>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</si>
  <si>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</si>
  <si>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</si>
  <si>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</si>
  <si>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</si>
  <si>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</si>
  <si>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</si>
  <si>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</si>
  <si>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</si>
  <si>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</si>
  <si>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</si>
  <si>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</si>
  <si>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</si>
  <si>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</si>
  <si>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</si>
  <si>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</si>
  <si>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</si>
  <si>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</si>
  <si>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</si>
  <si>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</si>
  <si>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</si>
  <si>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</si>
  <si>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</si>
  <si>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</si>
  <si>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</si>
  <si>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</si>
  <si>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</si>
  <si>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</si>
  <si>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</si>
  <si>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</si>
  <si>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</si>
  <si>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</si>
  <si>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</si>
  <si>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</si>
  <si>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</si>
  <si>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</si>
  <si>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</si>
  <si>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</si>
  <si>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</si>
  <si>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</si>
  <si>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</si>
  <si>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</si>
  <si>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</si>
  <si>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</si>
  <si>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</si>
  <si>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</si>
  <si>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</si>
  <si>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</si>
  <si>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</si>
  <si>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</si>
  <si>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</si>
  <si>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</si>
  <si>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</si>
  <si>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</si>
  <si>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</si>
  <si>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</si>
  <si>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</si>
  <si>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</si>
  <si>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</si>
  <si>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</si>
  <si>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</si>
  <si>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</si>
  <si>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</si>
  <si>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</si>
  <si>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</si>
  <si>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</si>
  <si>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</si>
  <si>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</si>
  <si>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</si>
  <si>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</si>
  <si>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</si>
  <si>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</si>
  <si>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</si>
  <si>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</si>
  <si>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</si>
  <si>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</si>
  <si>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</si>
  <si>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</si>
  <si>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</si>
  <si>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</si>
  <si>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</si>
  <si>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</si>
  <si>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</si>
  <si>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</si>
  <si>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</si>
  <si>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</si>
  <si>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</si>
  <si>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</si>
  <si>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</si>
  <si>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</si>
  <si>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</si>
  <si>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</si>
  <si>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</si>
  <si>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</si>
  <si>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</si>
  <si>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</si>
  <si>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</si>
  <si>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</si>
  <si>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</si>
  <si>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</si>
  <si>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</si>
  <si>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</si>
  <si>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</si>
  <si>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</si>
  <si>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</si>
  <si>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</si>
  <si>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</si>
  <si>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</si>
  <si>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</si>
  <si>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</si>
  <si>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</si>
  <si>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</si>
  <si>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</si>
  <si>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</si>
  <si>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</si>
  <si>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</si>
  <si>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</si>
  <si>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</si>
  <si>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</si>
  <si>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</si>
  <si>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</si>
  <si>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</si>
  <si>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</si>
  <si>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</si>
  <si>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</si>
  <si>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</si>
  <si>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</si>
  <si>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</si>
  <si>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</si>
  <si>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</si>
  <si>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</si>
  <si>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</si>
  <si>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</si>
  <si>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</si>
  <si>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</si>
  <si>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</si>
  <si>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</si>
  <si>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</si>
  <si>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</si>
  <si>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</si>
  <si>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</si>
  <si>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</si>
  <si>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</si>
  <si>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</si>
  <si>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</si>
  <si>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</si>
  <si>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</si>
  <si>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</si>
  <si>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</si>
  <si>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</si>
  <si>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</si>
  <si>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</si>
  <si>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</si>
  <si>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</si>
  <si>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</si>
  <si>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</si>
  <si>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</si>
  <si>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</si>
  <si>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</si>
  <si>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</si>
  <si>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</si>
  <si>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</si>
  <si>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</si>
  <si>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</si>
  <si>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</si>
  <si>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</si>
  <si>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</si>
  <si>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</si>
  <si>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</si>
  <si>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</si>
  <si>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</si>
  <si>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</si>
  <si>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</si>
  <si>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</si>
  <si>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</si>
  <si>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</si>
  <si>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</si>
  <si>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</si>
  <si>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</si>
  <si>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</si>
  <si>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</si>
  <si>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</si>
  <si>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</si>
  <si>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</si>
  <si>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</si>
  <si>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</si>
  <si>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</si>
  <si>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</si>
  <si>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</si>
  <si>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</si>
  <si>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</si>
  <si>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</si>
  <si>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</si>
  <si>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</si>
  <si>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</si>
  <si>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</si>
  <si>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</si>
  <si>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</si>
  <si>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</si>
  <si>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</si>
  <si>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</si>
  <si>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</si>
  <si>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</si>
  <si>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</si>
  <si>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</si>
  <si>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</si>
  <si>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</si>
  <si>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</si>
  <si>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</si>
  <si>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</si>
  <si>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</si>
  <si>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</si>
  <si>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</si>
  <si>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</si>
  <si>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</si>
  <si>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</si>
  <si>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</si>
  <si>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</si>
  <si>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</si>
  <si>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</si>
  <si>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</si>
  <si>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</si>
  <si>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</si>
  <si>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</si>
  <si>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</si>
  <si>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</si>
  <si>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</si>
  <si>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</si>
  <si>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</si>
  <si>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</si>
  <si>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</si>
  <si>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</si>
  <si>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</si>
  <si>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</si>
  <si>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</si>
  <si>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</si>
  <si>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</si>
  <si>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</si>
  <si>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</si>
  <si>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</si>
  <si>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</si>
  <si>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</si>
  <si>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</si>
  <si>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</si>
  <si>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</si>
  <si>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</si>
  <si>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</si>
  <si>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</si>
  <si>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</si>
  <si>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</si>
  <si>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</si>
  <si>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</si>
  <si>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</si>
  <si>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</si>
  <si>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</si>
  <si>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</si>
  <si>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</si>
  <si>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</si>
  <si>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</si>
  <si>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</si>
  <si>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</si>
  <si>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</si>
  <si>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</si>
  <si>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</si>
  <si>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</si>
  <si>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</si>
  <si>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</si>
  <si>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</si>
  <si>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</si>
  <si>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</si>
  <si>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</si>
  <si>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</si>
  <si>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</si>
  <si>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</si>
  <si>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</si>
  <si>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</si>
  <si>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</si>
  <si>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</si>
  <si>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</si>
  <si>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</si>
  <si>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</si>
  <si>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</si>
  <si>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</si>
  <si>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</si>
  <si>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</si>
  <si>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</si>
  <si>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</si>
  <si>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</si>
  <si>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</si>
  <si>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</si>
  <si>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</si>
  <si>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</si>
  <si>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</si>
  <si>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</si>
  <si>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</si>
  <si>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</si>
  <si>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</si>
  <si>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</si>
  <si>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</si>
  <si>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</si>
  <si>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</si>
  <si>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</si>
  <si>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</si>
  <si>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</si>
  <si>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</si>
  <si>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</si>
  <si>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</si>
  <si>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</si>
  <si>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</si>
  <si>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</si>
  <si>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</si>
  <si>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</si>
  <si>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</si>
  <si>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</si>
  <si>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</si>
  <si>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</si>
  <si>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</si>
  <si>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</si>
  <si>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</si>
  <si>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</si>
  <si>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</si>
  <si>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</si>
  <si>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</si>
  <si>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</si>
  <si>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</si>
  <si>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</si>
  <si>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</si>
  <si>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</si>
  <si>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</si>
  <si>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</si>
  <si>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</si>
  <si>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</si>
  <si>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</si>
  <si>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</si>
  <si>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</si>
  <si>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</si>
  <si>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</si>
  <si>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</si>
  <si>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</si>
  <si>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</si>
  <si>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</si>
  <si>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</si>
  <si>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</si>
  <si>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</si>
  <si>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</si>
  <si>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</si>
  <si>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</si>
  <si>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</si>
  <si>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</si>
  <si>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</si>
  <si>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</si>
  <si>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</si>
  <si>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</si>
  <si>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</si>
  <si>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</si>
  <si>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</si>
  <si>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</si>
  <si>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</si>
  <si>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</si>
  <si>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</si>
  <si>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</si>
  <si>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</si>
  <si>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</si>
  <si>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</si>
  <si>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</si>
  <si>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</si>
  <si>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</si>
  <si>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</si>
  <si>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</si>
  <si>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</si>
  <si>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</si>
  <si>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</si>
  <si>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</si>
  <si>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</si>
  <si>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</si>
  <si>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</si>
  <si>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</si>
  <si>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</si>
  <si>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</si>
  <si>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</si>
  <si>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</si>
  <si>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</si>
  <si>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</si>
  <si>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</si>
  <si>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</si>
  <si>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</si>
  <si>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</si>
  <si>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</si>
  <si>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</si>
  <si>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</si>
  <si>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</si>
  <si>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</si>
  <si>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</si>
  <si>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</si>
  <si>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</si>
  <si>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</si>
  <si>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</si>
  <si>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</si>
  <si>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</si>
  <si>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</si>
  <si>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</si>
  <si>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</si>
  <si>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</si>
  <si>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</si>
  <si>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</si>
  <si>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</si>
  <si>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</si>
  <si>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</si>
  <si>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</si>
  <si>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</si>
  <si>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</si>
  <si>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</si>
  <si>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</si>
  <si>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</si>
  <si>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</si>
  <si>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</si>
  <si>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</si>
  <si>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</si>
  <si>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</si>
  <si>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</si>
  <si>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</si>
  <si>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</si>
  <si>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</si>
  <si>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</si>
  <si>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</si>
  <si>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</si>
  <si>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</si>
  <si>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</si>
  <si>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</si>
  <si>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</si>
  <si>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</si>
  <si>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</si>
  <si>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</si>
  <si>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</si>
  <si>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</si>
  <si>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</si>
  <si>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</si>
  <si>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</si>
  <si>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</si>
  <si>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</si>
  <si>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</si>
  <si>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</si>
  <si>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</si>
  <si>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</si>
  <si>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</si>
  <si>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</si>
  <si>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</si>
  <si>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</si>
  <si>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</si>
  <si>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</si>
  <si>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</si>
  <si>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</si>
  <si>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</si>
  <si>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</si>
  <si>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</si>
  <si>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</si>
  <si>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</si>
  <si>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</si>
  <si>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</si>
  <si>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</si>
  <si>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</si>
  <si>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</si>
  <si>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</si>
  <si>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</si>
  <si>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</si>
  <si>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</si>
  <si>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</si>
  <si>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</si>
  <si>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</si>
  <si>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</si>
  <si>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</si>
  <si>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</si>
  <si>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</si>
  <si>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</si>
  <si>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</si>
  <si>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</si>
  <si>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</si>
  <si>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</si>
  <si>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</si>
  <si>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</si>
  <si>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</si>
  <si>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</si>
  <si>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</si>
  <si>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</si>
  <si>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</si>
  <si>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</si>
  <si>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</si>
  <si>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</si>
  <si>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</si>
  <si>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</si>
  <si>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</si>
  <si>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</si>
  <si>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</si>
  <si>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</si>
  <si>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</si>
  <si>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</si>
  <si>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</si>
  <si>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</si>
  <si>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</si>
  <si>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</si>
  <si>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</si>
  <si>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</si>
  <si>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</si>
  <si>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</si>
  <si>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</si>
  <si>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</si>
  <si>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</si>
  <si>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</si>
  <si>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</si>
  <si>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</si>
  <si>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</si>
  <si>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</si>
  <si>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</si>
  <si>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</si>
  <si>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</si>
  <si>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</si>
  <si>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</si>
  <si>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</si>
  <si>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</si>
  <si>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</si>
  <si>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</si>
  <si>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</si>
  <si>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</si>
  <si>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</si>
  <si>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</si>
  <si>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</si>
  <si>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</si>
  <si>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</si>
  <si>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</si>
  <si>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</si>
  <si>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</si>
  <si>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</si>
  <si>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</si>
  <si>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</si>
  <si>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</si>
  <si>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</si>
  <si>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</si>
  <si>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</si>
  <si>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</si>
  <si>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</si>
  <si>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</si>
  <si>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</si>
  <si>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</si>
  <si>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</si>
  <si>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</si>
  <si>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</si>
  <si>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</si>
  <si>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</si>
  <si>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</si>
  <si>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</si>
  <si>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</si>
  <si>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</si>
  <si>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</si>
  <si>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</si>
  <si>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</si>
  <si>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</si>
  <si>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</si>
  <si>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</si>
  <si>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</si>
  <si>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</si>
  <si>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</si>
  <si>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</si>
  <si>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</si>
  <si>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</si>
  <si>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</si>
  <si>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</si>
  <si>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</si>
  <si>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</si>
  <si>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</si>
  <si>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</si>
  <si>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</si>
  <si>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</si>
  <si>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</si>
  <si>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</si>
  <si>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</si>
  <si>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</si>
  <si>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</si>
  <si>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</si>
  <si>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</si>
  <si>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</si>
  <si>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</si>
  <si>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</si>
  <si>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</si>
  <si>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</si>
  <si>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</si>
  <si>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</si>
  <si>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</si>
  <si>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</si>
  <si>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</si>
  <si>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</si>
  <si>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</si>
  <si>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</si>
  <si>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</si>
  <si>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</si>
  <si>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</si>
  <si>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</si>
  <si>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</si>
  <si>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</si>
  <si>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</si>
  <si>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</si>
  <si>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</si>
  <si>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</si>
  <si>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</si>
  <si>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</si>
  <si>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</si>
  <si>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</si>
  <si>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</si>
  <si>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</si>
  <si>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</si>
  <si>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</si>
  <si>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</si>
  <si>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</si>
  <si>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</si>
  <si>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</si>
  <si>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</si>
  <si>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</si>
  <si>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</si>
  <si>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</si>
  <si>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</si>
  <si>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</si>
  <si>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</si>
  <si>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</si>
  <si>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</si>
  <si>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</si>
  <si>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</si>
  <si>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</si>
  <si>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</si>
  <si>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</si>
  <si>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</si>
  <si>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</si>
  <si>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</si>
  <si>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</si>
  <si>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</si>
  <si>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</si>
  <si>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</si>
  <si>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</si>
  <si>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</si>
  <si>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</si>
  <si>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</si>
  <si>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</si>
  <si>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</si>
  <si>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</si>
  <si>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</si>
  <si>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</si>
  <si>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</si>
  <si>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</si>
  <si>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</si>
  <si>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</si>
  <si>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</si>
  <si>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</si>
  <si>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</si>
  <si>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</si>
  <si>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</si>
  <si>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</si>
  <si>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</si>
  <si>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</si>
  <si>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</si>
  <si>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</si>
  <si>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</si>
  <si>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</si>
  <si>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</si>
  <si>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</si>
  <si>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</si>
  <si>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</si>
  <si>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</si>
  <si>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</si>
  <si>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</si>
  <si>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</si>
  <si>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</si>
  <si>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</si>
  <si>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</si>
  <si>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</si>
  <si>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</si>
  <si>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</si>
  <si>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</si>
  <si>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</si>
  <si>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</si>
  <si>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</si>
  <si>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</si>
  <si>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</si>
  <si>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</si>
  <si>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</si>
  <si>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</si>
  <si>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</si>
  <si>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</si>
  <si>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</si>
  <si>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</si>
  <si>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</si>
  <si>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</si>
  <si>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</si>
  <si>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</si>
  <si>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</si>
  <si>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</si>
  <si>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</si>
  <si>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</si>
  <si>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</si>
  <si>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</si>
  <si>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</si>
  <si>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</si>
  <si>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</si>
  <si>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</si>
  <si>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</si>
  <si>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</si>
  <si>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</si>
  <si>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</si>
  <si>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</si>
  <si>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</si>
  <si>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</si>
  <si>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</si>
  <si>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</si>
  <si>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</si>
  <si>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</si>
  <si>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</si>
  <si>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</si>
  <si>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</si>
  <si>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</si>
  <si>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</si>
  <si>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</si>
  <si>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</si>
  <si>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</si>
  <si>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</si>
  <si>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</si>
  <si>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</si>
  <si>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</si>
  <si>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</si>
  <si>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</si>
  <si>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</si>
  <si>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</si>
  <si>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</si>
  <si>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</si>
  <si>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</si>
  <si>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</si>
  <si>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</si>
  <si>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</si>
  <si>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</si>
  <si>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</si>
  <si>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</si>
  <si>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</si>
  <si>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</si>
  <si>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</si>
  <si>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</si>
  <si>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</si>
  <si>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</si>
  <si>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</si>
  <si>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</si>
  <si>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</si>
  <si>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</si>
  <si>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</si>
  <si>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LISTA DE PRECIOS Nº 9 / 2024 (En Pesos) - NO INCLUYE I.V.A. - SEPTIEMBRE 2 - 2024</t>
  </si>
  <si>
    <t>M043</t>
  </si>
  <si>
    <t>M110</t>
  </si>
  <si>
    <t>M043 - Cuchillo premium hoja 12 cm con tenedor funda cuero</t>
  </si>
  <si>
    <t>M110 - Cuchillo premium hoja 12 cm con funda de cuero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</si>
</sst>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5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8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3" fillId="5" borderId="0" xfId="2" applyFont="1" applyFill="1" applyAlignment="1" applyProtection="1"/>
    <xf numFmtId="0" fontId="70" fillId="5" borderId="0" xfId="0" applyFont="1" applyFill="1" applyAlignment="1"/>
    <xf numFmtId="0" fontId="68" fillId="2" borderId="0" xfId="0" applyFont="1" applyFill="1" applyBorder="1"/>
    <xf numFmtId="2" fontId="74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62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4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7" fillId="10" borderId="0" xfId="0" applyFont="1" applyFill="1"/>
    <xf numFmtId="0" fontId="77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8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8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3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9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9" borderId="5" xfId="3" applyNumberFormat="1" applyFont="1" applyFill="1" applyBorder="1" applyAlignment="1">
      <alignment horizontal="center" vertical="center"/>
    </xf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4" fillId="8" borderId="3" xfId="0" applyNumberFormat="1" applyFont="1" applyFill="1" applyBorder="1" applyAlignment="1">
      <alignment horizontal="center" vertical="center"/>
    </xf>
    <xf numFmtId="1" fontId="74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9" borderId="3" xfId="0" applyNumberFormat="1" applyFont="1" applyFill="1" applyBorder="1" applyAlignment="1">
      <alignment horizontal="center" vertical="center"/>
    </xf>
    <xf numFmtId="1" fontId="62" fillId="9" borderId="5" xfId="0" applyNumberFormat="1" applyFont="1" applyFill="1" applyBorder="1" applyAlignment="1">
      <alignment horizontal="center"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2" fillId="9" borderId="14" xfId="0" applyNumberFormat="1" applyFont="1" applyFill="1" applyBorder="1" applyAlignment="1">
      <alignment horizontal="center" vertical="center"/>
    </xf>
    <xf numFmtId="1" fontId="62" fillId="9" borderId="17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5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9" borderId="8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1" fontId="110" fillId="8" borderId="3" xfId="0" applyNumberFormat="1" applyFont="1" applyFill="1" applyBorder="1" applyAlignment="1">
      <alignment horizontal="center" vertical="center"/>
    </xf>
    <xf numFmtId="1" fontId="110" fillId="8" borderId="4" xfId="0" applyNumberFormat="1" applyFont="1" applyFill="1" applyBorder="1" applyAlignment="1">
      <alignment horizontal="center" vertical="center"/>
    </xf>
    <xf numFmtId="1" fontId="110" fillId="5" borderId="4" xfId="0" applyNumberFormat="1" applyFont="1" applyFill="1" applyBorder="1" applyAlignment="1">
      <alignment horizontal="center" vertical="center"/>
    </xf>
    <xf numFmtId="1" fontId="110" fillId="9" borderId="3" xfId="0" applyNumberFormat="1" applyFont="1" applyFill="1" applyBorder="1" applyAlignment="1">
      <alignment horizontal="center" vertical="center"/>
    </xf>
    <xf numFmtId="1" fontId="110" fillId="8" borderId="5" xfId="0" applyNumberFormat="1" applyFont="1" applyFill="1" applyBorder="1" applyAlignment="1">
      <alignment horizontal="center" vertical="center"/>
    </xf>
    <xf numFmtId="1" fontId="110" fillId="5" borderId="5" xfId="0" applyNumberFormat="1" applyFont="1" applyFill="1" applyBorder="1" applyAlignment="1">
      <alignment horizontal="center" vertical="center"/>
    </xf>
    <xf numFmtId="1" fontId="110" fillId="8" borderId="7" xfId="0" applyNumberFormat="1" applyFont="1" applyFill="1" applyBorder="1" applyAlignment="1">
      <alignment horizontal="center" vertical="center"/>
    </xf>
    <xf numFmtId="1" fontId="110" fillId="5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6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9" borderId="3" xfId="0" applyNumberFormat="1" applyFont="1" applyFill="1" applyBorder="1" applyAlignment="1">
      <alignment horizontal="center" vertical="center"/>
    </xf>
    <xf numFmtId="2" fontId="74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2" fillId="20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20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3" fillId="2" borderId="3" xfId="2" applyNumberFormat="1" applyFont="1" applyFill="1" applyBorder="1" applyAlignment="1" applyProtection="1">
      <alignment horizontal="center" vertical="center"/>
    </xf>
    <xf numFmtId="166" fontId="83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0" fontId="83" fillId="2" borderId="3" xfId="2" applyFont="1" applyFill="1" applyBorder="1" applyAlignment="1" applyProtection="1">
      <alignment horizontal="center"/>
    </xf>
    <xf numFmtId="166" fontId="83" fillId="2" borderId="19" xfId="2" applyNumberFormat="1" applyFont="1" applyFill="1" applyBorder="1" applyAlignment="1" applyProtection="1">
      <alignment horizontal="center"/>
    </xf>
    <xf numFmtId="0" fontId="83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3" fillId="0" borderId="3" xfId="2" applyFont="1" applyBorder="1" applyAlignment="1" applyProtection="1">
      <alignment horizontal="center"/>
    </xf>
    <xf numFmtId="0" fontId="83" fillId="2" borderId="7" xfId="2" applyFont="1" applyFill="1" applyBorder="1" applyAlignment="1" applyProtection="1">
      <alignment horizontal="center"/>
    </xf>
    <xf numFmtId="166" fontId="83" fillId="2" borderId="4" xfId="2" applyNumberFormat="1" applyFont="1" applyFill="1" applyBorder="1" applyAlignment="1" applyProtection="1">
      <alignment horizontal="center" vertical="center"/>
    </xf>
    <xf numFmtId="166" fontId="83" fillId="2" borderId="4" xfId="2" applyNumberFormat="1" applyFont="1" applyFill="1" applyBorder="1" applyAlignment="1" applyProtection="1">
      <alignment horizontal="center"/>
    </xf>
    <xf numFmtId="166" fontId="83" fillId="0" borderId="3" xfId="2" applyNumberFormat="1" applyFont="1" applyBorder="1" applyAlignment="1" applyProtection="1">
      <alignment horizontal="center"/>
    </xf>
    <xf numFmtId="166" fontId="83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3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3" fillId="2" borderId="3" xfId="2" applyNumberFormat="1" applyFont="1" applyFill="1" applyBorder="1" applyAlignment="1" applyProtection="1">
      <alignment horizontal="center"/>
    </xf>
    <xf numFmtId="49" fontId="83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110" fillId="5" borderId="0" xfId="0" applyNumberFormat="1" applyFont="1" applyFill="1" applyBorder="1" applyAlignment="1">
      <alignment horizontal="center" vertical="center"/>
    </xf>
    <xf numFmtId="49" fontId="83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0" fillId="9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166" fontId="83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2" fontId="62" fillId="8" borderId="11" xfId="0" applyNumberFormat="1" applyFont="1" applyFill="1" applyBorder="1" applyAlignment="1">
      <alignment horizontal="center" vertical="center"/>
    </xf>
    <xf numFmtId="1" fontId="110" fillId="5" borderId="11" xfId="0" applyNumberFormat="1" applyFont="1" applyFill="1" applyBorder="1" applyAlignment="1">
      <alignment horizontal="center" vertical="center"/>
    </xf>
    <xf numFmtId="1" fontId="110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4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80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2" fillId="5" borderId="8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24" fillId="5" borderId="3" xfId="0" applyFont="1" applyFill="1" applyBorder="1"/>
    <xf numFmtId="1" fontId="62" fillId="5" borderId="35" xfId="0" applyNumberFormat="1" applyFont="1" applyFill="1" applyBorder="1" applyAlignment="1">
      <alignment horizontal="center" vertical="center"/>
    </xf>
    <xf numFmtId="2" fontId="62" fillId="5" borderId="36" xfId="0" applyNumberFormat="1" applyFont="1" applyFill="1" applyBorder="1" applyAlignment="1">
      <alignment horizontal="center" vertical="center"/>
    </xf>
    <xf numFmtId="1" fontId="62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2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2" fillId="8" borderId="39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82" fillId="14" borderId="12" xfId="0" applyFont="1" applyFill="1" applyBorder="1"/>
    <xf numFmtId="0" fontId="80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0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8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80" fillId="14" borderId="12" xfId="0" applyFont="1" applyFill="1" applyBorder="1" applyAlignment="1">
      <alignment horizontal="center" vertical="center"/>
    </xf>
    <xf numFmtId="0" fontId="80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80" fillId="17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110" fillId="5" borderId="15" xfId="0" applyNumberFormat="1" applyFont="1" applyFill="1" applyBorder="1" applyAlignment="1">
      <alignment horizontal="center" vertical="center"/>
    </xf>
    <xf numFmtId="1" fontId="123" fillId="5" borderId="8" xfId="0" applyNumberFormat="1" applyFont="1" applyFill="1" applyBorder="1" applyAlignment="1">
      <alignment horizontal="center" vertical="center"/>
    </xf>
    <xf numFmtId="1" fontId="74" fillId="8" borderId="15" xfId="0" applyNumberFormat="1" applyFont="1" applyFill="1" applyBorder="1" applyAlignment="1">
      <alignment horizontal="center" vertical="center"/>
    </xf>
    <xf numFmtId="1" fontId="122" fillId="8" borderId="8" xfId="0" applyNumberFormat="1" applyFont="1" applyFill="1" applyBorder="1" applyAlignment="1">
      <alignment horizontal="center" vertical="center"/>
    </xf>
    <xf numFmtId="2" fontId="62" fillId="8" borderId="18" xfId="3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2" fontId="5" fillId="5" borderId="11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69" fillId="10" borderId="0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4" fillId="21" borderId="7" xfId="0" applyFont="1" applyFill="1" applyBorder="1" applyAlignment="1">
      <alignment horizontal="center" vertical="center" wrapText="1"/>
    </xf>
    <xf numFmtId="0" fontId="64" fillId="21" borderId="5" xfId="0" applyFont="1" applyFill="1" applyBorder="1" applyAlignment="1">
      <alignment horizontal="center" vertical="center"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0" fontId="18" fillId="5" borderId="3" xfId="0" applyFont="1" applyFill="1" applyBorder="1" applyAlignment="1"/>
    <xf numFmtId="0" fontId="69" fillId="10" borderId="0" xfId="0" applyFont="1" applyFill="1" applyAlignment="1">
      <alignment vertical="center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108" fillId="14" borderId="3" xfId="0" applyNumberFormat="1" applyFont="1" applyFill="1" applyBorder="1" applyAlignment="1">
      <alignment horizontal="center" vertical="center" wrapText="1"/>
    </xf>
    <xf numFmtId="0" fontId="82" fillId="14" borderId="3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8" borderId="3" xfId="0" applyNumberFormat="1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0" fillId="0" borderId="0" xfId="0" applyAlignment="1"/>
    <xf numFmtId="0" fontId="0" fillId="0" borderId="22" xfId="0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0" fillId="8" borderId="11" xfId="0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5" fillId="8" borderId="11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98" fillId="10" borderId="0" xfId="0" applyFont="1" applyFill="1" applyBorder="1" applyAlignment="1"/>
    <xf numFmtId="0" fontId="68" fillId="10" borderId="0" xfId="0" applyFont="1" applyFill="1" applyBorder="1" applyAlignment="1"/>
    <xf numFmtId="0" fontId="0" fillId="5" borderId="11" xfId="0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7" fillId="10" borderId="1" xfId="0" applyFont="1" applyFill="1" applyBorder="1" applyAlignment="1"/>
    <xf numFmtId="0" fontId="0" fillId="0" borderId="0" xfId="0" applyBorder="1" applyAlignment="1"/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3" xfId="0" applyFont="1" applyFill="1" applyBorder="1" applyAlignment="1"/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5" fillId="7" borderId="3" xfId="0" applyNumberFormat="1" applyFont="1" applyFill="1" applyBorder="1" applyAlignment="1"/>
    <xf numFmtId="0" fontId="1" fillId="7" borderId="3" xfId="0" applyFont="1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2" fontId="5" fillId="5" borderId="5" xfId="0" applyNumberFormat="1" applyFont="1" applyFill="1" applyBorder="1" applyAlignment="1"/>
    <xf numFmtId="0" fontId="0" fillId="5" borderId="5" xfId="0" applyFill="1" applyBorder="1" applyAlignment="1"/>
    <xf numFmtId="0" fontId="0" fillId="5" borderId="18" xfId="0" applyFill="1" applyBorder="1" applyAlignment="1"/>
    <xf numFmtId="0" fontId="112" fillId="13" borderId="16" xfId="0" applyFont="1" applyFill="1" applyBorder="1" applyAlignment="1">
      <alignment horizontal="center" vertical="center" wrapText="1"/>
    </xf>
    <xf numFmtId="0" fontId="112" fillId="13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2" fillId="13" borderId="18" xfId="0" applyFont="1" applyFill="1" applyBorder="1" applyAlignment="1">
      <alignment horizontal="center" vertical="center" wrapText="1"/>
    </xf>
    <xf numFmtId="0" fontId="112" fillId="13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22" xfId="0" applyFont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5" fillId="8" borderId="3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18" fillId="8" borderId="3" xfId="0" applyFont="1" applyFill="1" applyBorder="1" applyAlignment="1"/>
    <xf numFmtId="0" fontId="92" fillId="14" borderId="11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/>
    </xf>
    <xf numFmtId="0" fontId="82" fillId="14" borderId="4" xfId="0" applyFont="1" applyFill="1" applyBorder="1" applyAlignment="1">
      <alignment horizontal="center"/>
    </xf>
    <xf numFmtId="0" fontId="77" fillId="5" borderId="1" xfId="0" applyFont="1" applyFill="1" applyBorder="1" applyAlignment="1"/>
    <xf numFmtId="0" fontId="0" fillId="5" borderId="0" xfId="0" applyFill="1" applyBorder="1" applyAlignment="1"/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2" fillId="10" borderId="0" xfId="0" applyFont="1" applyFill="1" applyAlignment="1"/>
    <xf numFmtId="0" fontId="36" fillId="10" borderId="0" xfId="0" applyFont="1" applyFill="1" applyBorder="1" applyAlignment="1"/>
    <xf numFmtId="0" fontId="121" fillId="21" borderId="11" xfId="2" applyFont="1" applyFill="1" applyBorder="1" applyAlignment="1" applyProtection="1">
      <alignment horizontal="center" vertical="center" wrapText="1"/>
    </xf>
    <xf numFmtId="0" fontId="121" fillId="21" borderId="2" xfId="2" applyFont="1" applyFill="1" applyBorder="1" applyAlignment="1" applyProtection="1">
      <alignment horizontal="center" vertical="center" wrapText="1"/>
    </xf>
    <xf numFmtId="0" fontId="121" fillId="21" borderId="4" xfId="2" applyFont="1" applyFill="1" applyBorder="1" applyAlignment="1" applyProtection="1">
      <alignment horizontal="center" vertical="center" wrapText="1"/>
    </xf>
    <xf numFmtId="0" fontId="93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0" fillId="21" borderId="16" xfId="2" applyFont="1" applyFill="1" applyBorder="1" applyAlignment="1" applyProtection="1">
      <alignment horizontal="center" vertical="center" wrapText="1"/>
    </xf>
    <xf numFmtId="0" fontId="120" fillId="21" borderId="25" xfId="2" applyFont="1" applyFill="1" applyBorder="1" applyAlignment="1" applyProtection="1">
      <alignment horizontal="center" vertical="center" wrapText="1"/>
    </xf>
    <xf numFmtId="0" fontId="120" fillId="21" borderId="19" xfId="2" applyFont="1" applyFill="1" applyBorder="1" applyAlignment="1" applyProtection="1">
      <alignment horizontal="center" vertical="center" wrapText="1"/>
    </xf>
    <xf numFmtId="0" fontId="120" fillId="21" borderId="18" xfId="2" applyFont="1" applyFill="1" applyBorder="1" applyAlignment="1" applyProtection="1">
      <alignment horizontal="center" vertical="center" wrapText="1"/>
    </xf>
    <xf numFmtId="0" fontId="120" fillId="21" borderId="12" xfId="2" applyFont="1" applyFill="1" applyBorder="1" applyAlignment="1" applyProtection="1">
      <alignment horizontal="center" vertical="center" wrapText="1"/>
    </xf>
    <xf numFmtId="0" fontId="120" fillId="21" borderId="9" xfId="2" applyFont="1" applyFill="1" applyBorder="1" applyAlignment="1" applyProtection="1">
      <alignment horizontal="center" vertical="center" wrapText="1"/>
    </xf>
    <xf numFmtId="0" fontId="55" fillId="5" borderId="0" xfId="2" applyFont="1" applyFill="1" applyAlignment="1" applyProtection="1"/>
    <xf numFmtId="0" fontId="55" fillId="0" borderId="0" xfId="2" applyFont="1" applyAlignment="1" applyProtection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7" fillId="9" borderId="11" xfId="0" applyFont="1" applyFill="1" applyBorder="1" applyAlignment="1">
      <alignment horizontal="center" vertical="center" wrapText="1"/>
    </xf>
    <xf numFmtId="0" fontId="117" fillId="9" borderId="2" xfId="0" applyFont="1" applyFill="1" applyBorder="1" applyAlignment="1">
      <alignment horizontal="center" vertical="center" wrapText="1"/>
    </xf>
    <xf numFmtId="0" fontId="118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4" fillId="22" borderId="11" xfId="0" applyFont="1" applyFill="1" applyBorder="1" applyAlignment="1">
      <alignment horizontal="center" vertical="center"/>
    </xf>
    <xf numFmtId="0" fontId="95" fillId="22" borderId="2" xfId="0" applyFont="1" applyFill="1" applyBorder="1" applyAlignment="1">
      <alignment horizontal="center" vertical="center"/>
    </xf>
    <xf numFmtId="0" fontId="95" fillId="22" borderId="4" xfId="0" applyFont="1" applyFill="1" applyBorder="1" applyAlignment="1">
      <alignment horizontal="center" vertical="center"/>
    </xf>
    <xf numFmtId="0" fontId="119" fillId="21" borderId="16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97" fillId="5" borderId="11" xfId="0" applyFont="1" applyFill="1" applyBorder="1" applyAlignment="1">
      <alignment horizontal="center" vertical="center"/>
    </xf>
    <xf numFmtId="0" fontId="95" fillId="5" borderId="2" xfId="0" applyFont="1" applyFill="1" applyBorder="1" applyAlignment="1">
      <alignment horizontal="center" vertical="center"/>
    </xf>
    <xf numFmtId="0" fontId="95" fillId="5" borderId="2" xfId="0" applyFont="1" applyFill="1" applyBorder="1" applyAlignment="1"/>
    <xf numFmtId="0" fontId="95" fillId="5" borderId="4" xfId="0" applyFont="1" applyFill="1" applyBorder="1" applyAlignment="1"/>
    <xf numFmtId="0" fontId="115" fillId="21" borderId="11" xfId="0" applyFont="1" applyFill="1" applyBorder="1" applyAlignment="1">
      <alignment horizontal="center" vertical="center" wrapText="1"/>
    </xf>
    <xf numFmtId="0" fontId="116" fillId="21" borderId="2" xfId="0" applyFont="1" applyFill="1" applyBorder="1" applyAlignment="1">
      <alignment horizontal="center" vertical="center" wrapText="1"/>
    </xf>
    <xf numFmtId="0" fontId="116" fillId="21" borderId="4" xfId="0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8" fillId="5" borderId="5" xfId="0" applyFont="1" applyFill="1" applyBorder="1" applyAlignment="1"/>
    <xf numFmtId="0" fontId="0" fillId="7" borderId="3" xfId="0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6" fillId="1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6" fillId="13" borderId="1" xfId="0" applyFont="1" applyFill="1" applyBorder="1" applyAlignment="1">
      <alignment horizontal="center" vertical="center" wrapText="1"/>
    </xf>
    <xf numFmtId="0" fontId="76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6" fillId="13" borderId="18" xfId="0" applyFont="1" applyFill="1" applyBorder="1" applyAlignment="1">
      <alignment horizontal="center" vertical="center" wrapText="1"/>
    </xf>
    <xf numFmtId="0" fontId="76" fillId="1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5" fillId="7" borderId="5" xfId="0" applyFont="1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0" fontId="0" fillId="9" borderId="5" xfId="0" applyFill="1" applyBorder="1" applyAlignment="1"/>
    <xf numFmtId="0" fontId="1" fillId="8" borderId="3" xfId="0" applyFont="1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/>
    <xf numFmtId="2" fontId="5" fillId="9" borderId="5" xfId="0" applyNumberFormat="1" applyFont="1" applyFill="1" applyBorder="1" applyAlignment="1"/>
    <xf numFmtId="0" fontId="39" fillId="5" borderId="4" xfId="0" applyFont="1" applyFill="1" applyBorder="1" applyAlignment="1"/>
    <xf numFmtId="0" fontId="76" fillId="13" borderId="19" xfId="0" applyFont="1" applyFill="1" applyBorder="1" applyAlignment="1">
      <alignment horizontal="center" vertical="center" wrapText="1"/>
    </xf>
    <xf numFmtId="0" fontId="76" fillId="13" borderId="9" xfId="0" applyFont="1" applyFill="1" applyBorder="1" applyAlignment="1">
      <alignment horizontal="center" vertical="center" wrapText="1"/>
    </xf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0" fontId="77" fillId="10" borderId="0" xfId="0" applyFont="1" applyFill="1" applyBorder="1" applyAlignment="1"/>
    <xf numFmtId="0" fontId="77" fillId="10" borderId="22" xfId="0" applyFont="1" applyFill="1" applyBorder="1" applyAlignment="1"/>
    <xf numFmtId="0" fontId="1" fillId="5" borderId="3" xfId="0" applyFont="1" applyFill="1" applyBorder="1" applyAlignment="1"/>
    <xf numFmtId="0" fontId="77" fillId="10" borderId="1" xfId="0" applyFont="1" applyFill="1" applyBorder="1" applyAlignment="1">
      <alignment vertical="center"/>
    </xf>
    <xf numFmtId="0" fontId="79" fillId="10" borderId="0" xfId="0" applyFont="1" applyFill="1" applyBorder="1" applyAlignment="1">
      <alignment vertical="center"/>
    </xf>
    <xf numFmtId="0" fontId="79" fillId="10" borderId="22" xfId="0" applyFont="1" applyFill="1" applyBorder="1" applyAlignment="1">
      <alignment vertical="center"/>
    </xf>
    <xf numFmtId="0" fontId="18" fillId="8" borderId="5" xfId="0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09" fillId="13" borderId="16" xfId="0" applyFont="1" applyFill="1" applyBorder="1" applyAlignment="1">
      <alignment horizontal="center" vertical="center" wrapText="1"/>
    </xf>
    <xf numFmtId="0" fontId="109" fillId="13" borderId="25" xfId="0" applyFont="1" applyFill="1" applyBorder="1" applyAlignment="1">
      <alignment horizontal="center" vertical="center" wrapText="1"/>
    </xf>
    <xf numFmtId="0" fontId="109" fillId="13" borderId="19" xfId="0" applyFont="1" applyFill="1" applyBorder="1" applyAlignment="1">
      <alignment horizontal="center" vertical="center" wrapText="1"/>
    </xf>
    <xf numFmtId="0" fontId="109" fillId="13" borderId="1" xfId="0" applyFont="1" applyFill="1" applyBorder="1" applyAlignment="1">
      <alignment horizontal="center" vertical="center" wrapText="1"/>
    </xf>
    <xf numFmtId="0" fontId="109" fillId="13" borderId="0" xfId="0" applyFont="1" applyFill="1" applyBorder="1" applyAlignment="1">
      <alignment horizontal="center" vertical="center" wrapText="1"/>
    </xf>
    <xf numFmtId="0" fontId="109" fillId="13" borderId="22" xfId="0" applyFont="1" applyFill="1" applyBorder="1" applyAlignment="1">
      <alignment horizontal="center" vertical="center" wrapText="1"/>
    </xf>
    <xf numFmtId="0" fontId="109" fillId="13" borderId="18" xfId="0" applyFont="1" applyFill="1" applyBorder="1" applyAlignment="1">
      <alignment horizontal="center" vertical="center" wrapText="1"/>
    </xf>
    <xf numFmtId="0" fontId="109" fillId="13" borderId="12" xfId="0" applyFont="1" applyFill="1" applyBorder="1" applyAlignment="1">
      <alignment horizontal="center" vertical="center" wrapText="1"/>
    </xf>
    <xf numFmtId="0" fontId="109" fillId="13" borderId="9" xfId="0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7" borderId="3" xfId="0" applyFont="1" applyFill="1" applyBorder="1" applyAlignment="1"/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80" fillId="17" borderId="15" xfId="0" applyNumberFormat="1" applyFont="1" applyFill="1" applyBorder="1" applyAlignment="1">
      <alignment horizontal="center" vertical="center" wrapText="1"/>
    </xf>
    <xf numFmtId="0" fontId="108" fillId="17" borderId="5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8" fillId="8" borderId="7" xfId="0" applyFont="1" applyFill="1" applyBorder="1" applyAlignment="1"/>
    <xf numFmtId="0" fontId="5" fillId="5" borderId="18" xfId="0" applyFont="1" applyFill="1" applyBorder="1" applyAlignment="1"/>
    <xf numFmtId="0" fontId="2" fillId="5" borderId="3" xfId="0" applyFont="1" applyFill="1" applyBorder="1" applyAlignment="1">
      <alignment horizontal="left" vertical="center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3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88" fillId="8" borderId="3" xfId="0" applyNumberFormat="1" applyFont="1" applyFill="1" applyBorder="1" applyAlignment="1"/>
    <xf numFmtId="0" fontId="87" fillId="8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9" borderId="5" xfId="0" applyNumberFormat="1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0" fontId="0" fillId="8" borderId="3" xfId="0" applyFill="1" applyBorder="1" applyAlignment="1">
      <alignment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5" fillId="7" borderId="11" xfId="0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104" fillId="14" borderId="11" xfId="2" applyFont="1" applyFill="1" applyBorder="1" applyAlignment="1" applyProtection="1">
      <alignment horizontal="center" vertical="center" wrapText="1"/>
    </xf>
    <xf numFmtId="0" fontId="104" fillId="14" borderId="2" xfId="2" applyFont="1" applyFill="1" applyBorder="1" applyAlignment="1" applyProtection="1">
      <alignment horizontal="center" vertical="center" wrapText="1"/>
    </xf>
    <xf numFmtId="0" fontId="104" fillId="14" borderId="4" xfId="2" applyFont="1" applyFill="1" applyBorder="1" applyAlignment="1" applyProtection="1">
      <alignment horizontal="center" vertical="center" wrapText="1"/>
    </xf>
    <xf numFmtId="0" fontId="89" fillId="14" borderId="34" xfId="0" applyFont="1" applyFill="1" applyBorder="1" applyAlignment="1">
      <alignment horizontal="center" vertical="center" wrapText="1"/>
    </xf>
    <xf numFmtId="0" fontId="90" fillId="14" borderId="26" xfId="0" applyFont="1" applyFill="1" applyBorder="1" applyAlignment="1">
      <alignment horizontal="center" vertical="center" wrapText="1"/>
    </xf>
    <xf numFmtId="0" fontId="82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89" fillId="14" borderId="16" xfId="0" applyFont="1" applyFill="1" applyBorder="1" applyAlignment="1">
      <alignment horizontal="center" vertical="center" wrapText="1"/>
    </xf>
    <xf numFmtId="0" fontId="90" fillId="14" borderId="25" xfId="0" applyFont="1" applyFill="1" applyBorder="1" applyAlignment="1">
      <alignment horizontal="center" vertical="center" wrapText="1"/>
    </xf>
    <xf numFmtId="0" fontId="82" fillId="14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3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6" fillId="14" borderId="41" xfId="0" applyFont="1" applyFill="1" applyBorder="1" applyAlignment="1">
      <alignment horizontal="center" vertical="center" wrapText="1"/>
    </xf>
    <xf numFmtId="0" fontId="82" fillId="14" borderId="30" xfId="0" applyFont="1" applyFill="1" applyBorder="1" applyAlignment="1">
      <alignment horizontal="center" vertical="center" wrapText="1"/>
    </xf>
    <xf numFmtId="0" fontId="82" fillId="14" borderId="31" xfId="0" applyFont="1" applyFill="1" applyBorder="1" applyAlignment="1">
      <alignment horizontal="center" vertical="center" wrapText="1"/>
    </xf>
    <xf numFmtId="0" fontId="108" fillId="17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1" fillId="17" borderId="15" xfId="0" applyNumberFormat="1" applyFont="1" applyFill="1" applyBorder="1" applyAlignment="1">
      <alignment horizontal="center" vertical="center" wrapText="1"/>
    </xf>
    <xf numFmtId="0" fontId="82" fillId="17" borderId="15" xfId="0" applyFont="1" applyFill="1" applyBorder="1" applyAlignment="1">
      <alignment horizontal="center" vertical="center" wrapText="1"/>
    </xf>
    <xf numFmtId="0" fontId="88" fillId="5" borderId="3" xfId="0" applyFont="1" applyFill="1" applyBorder="1" applyAlignment="1">
      <alignment horizontal="left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76" fillId="9" borderId="3" xfId="0" applyNumberFormat="1" applyFont="1" applyFill="1" applyBorder="1" applyAlignment="1"/>
    <xf numFmtId="0" fontId="68" fillId="9" borderId="3" xfId="0" applyFont="1" applyFill="1" applyBorder="1" applyAlignment="1"/>
    <xf numFmtId="0" fontId="76" fillId="5" borderId="0" xfId="0" applyFont="1" applyFill="1" applyBorder="1" applyAlignment="1">
      <alignment horizontal="center" vertical="center" wrapText="1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68" fillId="0" borderId="0" xfId="0" applyFont="1" applyAlignment="1"/>
    <xf numFmtId="0" fontId="68" fillId="0" borderId="22" xfId="0" applyFont="1" applyBorder="1" applyAlignment="1"/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0" fontId="92" fillId="17" borderId="0" xfId="0" applyFont="1" applyFill="1" applyBorder="1" applyAlignment="1">
      <alignment horizontal="center" vertical="center" wrapText="1"/>
    </xf>
    <xf numFmtId="0" fontId="84" fillId="17" borderId="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01" fillId="14" borderId="11" xfId="0" applyFont="1" applyFill="1" applyBorder="1" applyAlignment="1">
      <alignment horizontal="center" vertical="center" wrapText="1"/>
    </xf>
    <xf numFmtId="0" fontId="101" fillId="14" borderId="2" xfId="0" applyFont="1" applyFill="1" applyBorder="1" applyAlignment="1">
      <alignment horizontal="center" vertical="center" wrapText="1"/>
    </xf>
    <xf numFmtId="0" fontId="102" fillId="14" borderId="4" xfId="0" applyFont="1" applyFill="1" applyBorder="1" applyAlignment="1">
      <alignment horizontal="center" vertical="center" wrapText="1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8" fillId="8" borderId="3" xfId="0" applyFont="1" applyFill="1" applyBorder="1" applyAlignment="1">
      <alignment horizontal="left" wrapText="1"/>
    </xf>
    <xf numFmtId="0" fontId="90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80" fillId="14" borderId="11" xfId="0" applyNumberFormat="1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2" fillId="14" borderId="4" xfId="0" applyFont="1" applyFill="1" applyBorder="1" applyAlignment="1">
      <alignment horizontal="center" vertical="center"/>
    </xf>
    <xf numFmtId="0" fontId="82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1" fillId="14" borderId="23" xfId="0" applyFont="1" applyFill="1" applyBorder="1" applyAlignment="1">
      <alignment horizontal="center" vertical="center" wrapText="1"/>
    </xf>
    <xf numFmtId="0" fontId="81" fillId="14" borderId="26" xfId="0" applyFont="1" applyFill="1" applyBorder="1" applyAlignment="1">
      <alignment horizontal="center" vertical="center" wrapText="1"/>
    </xf>
    <xf numFmtId="0" fontId="81" fillId="14" borderId="27" xfId="0" applyFont="1" applyFill="1" applyBorder="1" applyAlignment="1">
      <alignment horizontal="center" vertical="center" wrapText="1"/>
    </xf>
    <xf numFmtId="0" fontId="81" fillId="14" borderId="6" xfId="0" applyFont="1" applyFill="1" applyBorder="1" applyAlignment="1">
      <alignment horizontal="center" vertical="center" wrapText="1"/>
    </xf>
    <xf numFmtId="0" fontId="81" fillId="14" borderId="0" xfId="0" applyFont="1" applyFill="1" applyBorder="1" applyAlignment="1">
      <alignment horizontal="center" vertical="center" wrapText="1"/>
    </xf>
    <xf numFmtId="0" fontId="81" fillId="14" borderId="13" xfId="0" applyFont="1" applyFill="1" applyBorder="1" applyAlignment="1">
      <alignment horizontal="center" vertical="center" wrapText="1"/>
    </xf>
    <xf numFmtId="0" fontId="81" fillId="14" borderId="24" xfId="0" applyFont="1" applyFill="1" applyBorder="1" applyAlignment="1">
      <alignment horizontal="center" vertical="center" wrapText="1"/>
    </xf>
    <xf numFmtId="0" fontId="81" fillId="14" borderId="20" xfId="0" applyFont="1" applyFill="1" applyBorder="1" applyAlignment="1">
      <alignment horizontal="center" vertical="center" wrapText="1"/>
    </xf>
    <xf numFmtId="0" fontId="81" fillId="14" borderId="28" xfId="0" applyFont="1" applyFill="1" applyBorder="1" applyAlignment="1">
      <alignment horizontal="center" vertical="center" wrapText="1"/>
    </xf>
    <xf numFmtId="0" fontId="80" fillId="19" borderId="5" xfId="0" applyFont="1" applyFill="1" applyBorder="1" applyAlignment="1"/>
    <xf numFmtId="0" fontId="108" fillId="19" borderId="5" xfId="0" applyFont="1" applyFill="1" applyBorder="1" applyAlignment="1"/>
    <xf numFmtId="2" fontId="108" fillId="14" borderId="25" xfId="0" applyNumberFormat="1" applyFont="1" applyFill="1" applyBorder="1" applyAlignment="1">
      <alignment horizontal="center" vertical="center" wrapText="1"/>
    </xf>
    <xf numFmtId="0" fontId="82" fillId="14" borderId="25" xfId="0" applyFont="1" applyFill="1" applyBorder="1" applyAlignment="1">
      <alignment horizontal="center" vertical="center" wrapText="1"/>
    </xf>
    <xf numFmtId="0" fontId="81" fillId="18" borderId="5" xfId="0" applyFont="1" applyFill="1" applyBorder="1" applyAlignment="1"/>
    <xf numFmtId="0" fontId="82" fillId="18" borderId="5" xfId="0" applyFont="1" applyFill="1" applyBorder="1" applyAlignment="1"/>
    <xf numFmtId="0" fontId="81" fillId="14" borderId="5" xfId="0" applyFont="1" applyFill="1" applyBorder="1" applyAlignment="1"/>
    <xf numFmtId="0" fontId="82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2" fontId="17" fillId="8" borderId="11" xfId="0" applyNumberFormat="1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8" fillId="5" borderId="11" xfId="0" applyNumberFormat="1" applyFont="1" applyFill="1" applyBorder="1" applyAlignment="1"/>
    <xf numFmtId="0" fontId="36" fillId="10" borderId="0" xfId="0" applyFont="1" applyFill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69" fillId="13" borderId="16" xfId="0" applyFont="1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77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1" fillId="8" borderId="3" xfId="0" applyFont="1" applyFill="1" applyBorder="1" applyAlignment="1"/>
    <xf numFmtId="0" fontId="18" fillId="5" borderId="3" xfId="0" applyFont="1" applyFill="1" applyBorder="1" applyAlignment="1">
      <alignment wrapText="1"/>
    </xf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" fillId="5" borderId="3" xfId="0" applyFont="1" applyFill="1" applyBorder="1" applyAlignment="1">
      <alignment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9" borderId="3" xfId="0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80" fillId="15" borderId="11" xfId="0" applyNumberFormat="1" applyFont="1" applyFill="1" applyBorder="1" applyAlignment="1">
      <alignment horizontal="center" vertical="center"/>
    </xf>
    <xf numFmtId="0" fontId="82" fillId="15" borderId="2" xfId="0" applyFont="1" applyFill="1" applyBorder="1" applyAlignment="1">
      <alignment horizontal="center" vertical="center"/>
    </xf>
    <xf numFmtId="0" fontId="82" fillId="15" borderId="4" xfId="0" applyFont="1" applyFill="1" applyBorder="1" applyAlignment="1">
      <alignment horizontal="center" vertical="center"/>
    </xf>
    <xf numFmtId="2" fontId="88" fillId="5" borderId="3" xfId="0" applyNumberFormat="1" applyFont="1" applyFill="1" applyBorder="1" applyAlignment="1">
      <alignment wrapText="1"/>
    </xf>
    <xf numFmtId="0" fontId="87" fillId="5" borderId="3" xfId="0" applyFont="1" applyFill="1" applyBorder="1" applyAlignment="1">
      <alignment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1" fontId="74" fillId="8" borderId="5" xfId="0" applyNumberFormat="1" applyFont="1" applyFill="1" applyBorder="1" applyAlignment="1">
      <alignment horizontal="center" vertical="center"/>
    </xf>
    <xf numFmtId="1" fontId="74" fillId="8" borderId="7" xfId="0" applyNumberFormat="1" applyFont="1" applyFill="1" applyBorder="1" applyAlignment="1">
      <alignment horizontal="center" vertical="center"/>
    </xf>
    <xf numFmtId="1" fontId="74" fillId="5" borderId="5" xfId="0" applyNumberFormat="1" applyFont="1" applyFill="1" applyBorder="1" applyAlignment="1">
      <alignment horizontal="center" vertical="center"/>
    </xf>
    <xf numFmtId="1" fontId="74" fillId="8" borderId="4" xfId="0" applyNumberFormat="1" applyFont="1" applyFill="1" applyBorder="1" applyAlignment="1">
      <alignment horizontal="center" vertical="center"/>
    </xf>
    <xf numFmtId="2" fontId="17" fillId="5" borderId="11" xfId="0" applyNumberFormat="1" applyFont="1" applyFill="1" applyBorder="1" applyAlignment="1"/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42" fillId="5" borderId="3" xfId="0" applyFont="1" applyFill="1" applyBorder="1"/>
    <xf numFmtId="1" fontId="110" fillId="5" borderId="18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pn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hyperlink" Target="http://www.jivi.com.ar/home.asp" TargetMode="External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439</xdr:row>
      <xdr:rowOff>28575</xdr:rowOff>
    </xdr:from>
    <xdr:to>
      <xdr:col>0</xdr:col>
      <xdr:colOff>285750</xdr:colOff>
      <xdr:row>439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28575</xdr:rowOff>
    </xdr:from>
    <xdr:to>
      <xdr:col>1</xdr:col>
      <xdr:colOff>295275</xdr:colOff>
      <xdr:row>679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677</xdr:row>
      <xdr:rowOff>19050</xdr:rowOff>
    </xdr:from>
    <xdr:to>
      <xdr:col>1</xdr:col>
      <xdr:colOff>180975</xdr:colOff>
      <xdr:row>677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440</xdr:row>
      <xdr:rowOff>28575</xdr:rowOff>
    </xdr:from>
    <xdr:to>
      <xdr:col>0</xdr:col>
      <xdr:colOff>285750</xdr:colOff>
      <xdr:row>440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443</xdr:row>
      <xdr:rowOff>19050</xdr:rowOff>
    </xdr:from>
    <xdr:to>
      <xdr:col>0</xdr:col>
      <xdr:colOff>285750</xdr:colOff>
      <xdr:row>443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444</xdr:row>
      <xdr:rowOff>19050</xdr:rowOff>
    </xdr:from>
    <xdr:to>
      <xdr:col>0</xdr:col>
      <xdr:colOff>285750</xdr:colOff>
      <xdr:row>444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442</xdr:row>
      <xdr:rowOff>28575</xdr:rowOff>
    </xdr:from>
    <xdr:to>
      <xdr:col>0</xdr:col>
      <xdr:colOff>285750</xdr:colOff>
      <xdr:row>442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667</xdr:row>
      <xdr:rowOff>76200</xdr:rowOff>
    </xdr:from>
    <xdr:to>
      <xdr:col>8</xdr:col>
      <xdr:colOff>353861</xdr:colOff>
      <xdr:row>673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441</xdr:row>
      <xdr:rowOff>28575</xdr:rowOff>
    </xdr:from>
    <xdr:to>
      <xdr:col>0</xdr:col>
      <xdr:colOff>285750</xdr:colOff>
      <xdr:row>441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19050</xdr:rowOff>
    </xdr:from>
    <xdr:to>
      <xdr:col>1</xdr:col>
      <xdr:colOff>0</xdr:colOff>
      <xdr:row>596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695</xdr:row>
      <xdr:rowOff>36168</xdr:rowOff>
    </xdr:from>
    <xdr:to>
      <xdr:col>22</xdr:col>
      <xdr:colOff>273705</xdr:colOff>
      <xdr:row>695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28575</xdr:rowOff>
    </xdr:from>
    <xdr:to>
      <xdr:col>1</xdr:col>
      <xdr:colOff>0</xdr:colOff>
      <xdr:row>328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28575</xdr:rowOff>
    </xdr:from>
    <xdr:to>
      <xdr:col>1</xdr:col>
      <xdr:colOff>0</xdr:colOff>
      <xdr:row>413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28575</xdr:rowOff>
    </xdr:from>
    <xdr:to>
      <xdr:col>1</xdr:col>
      <xdr:colOff>0</xdr:colOff>
      <xdr:row>437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47625</xdr:colOff>
      <xdr:row>606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47625</xdr:colOff>
      <xdr:row>605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175</xdr:row>
      <xdr:rowOff>19050</xdr:rowOff>
    </xdr:from>
    <xdr:to>
      <xdr:col>26</xdr:col>
      <xdr:colOff>9524</xdr:colOff>
      <xdr:row>175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294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47625</xdr:colOff>
      <xdr:row>604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28575</xdr:rowOff>
    </xdr:from>
    <xdr:to>
      <xdr:col>1</xdr:col>
      <xdr:colOff>0</xdr:colOff>
      <xdr:row>332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217</xdr:row>
      <xdr:rowOff>19050</xdr:rowOff>
    </xdr:from>
    <xdr:to>
      <xdr:col>26</xdr:col>
      <xdr:colOff>9524</xdr:colOff>
      <xdr:row>217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91</xdr:row>
      <xdr:rowOff>19050</xdr:rowOff>
    </xdr:from>
    <xdr:to>
      <xdr:col>24</xdr:col>
      <xdr:colOff>38100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271</xdr:row>
      <xdr:rowOff>19050</xdr:rowOff>
    </xdr:from>
    <xdr:to>
      <xdr:col>25</xdr:col>
      <xdr:colOff>83819</xdr:colOff>
      <xdr:row>271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272</xdr:row>
      <xdr:rowOff>19050</xdr:rowOff>
    </xdr:from>
    <xdr:to>
      <xdr:col>25</xdr:col>
      <xdr:colOff>83819</xdr:colOff>
      <xdr:row>272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274</xdr:row>
      <xdr:rowOff>19050</xdr:rowOff>
    </xdr:from>
    <xdr:to>
      <xdr:col>25</xdr:col>
      <xdr:colOff>83819</xdr:colOff>
      <xdr:row>274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270</xdr:row>
      <xdr:rowOff>19050</xdr:rowOff>
    </xdr:from>
    <xdr:to>
      <xdr:col>25</xdr:col>
      <xdr:colOff>83819</xdr:colOff>
      <xdr:row>270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243</xdr:row>
      <xdr:rowOff>19050</xdr:rowOff>
    </xdr:from>
    <xdr:to>
      <xdr:col>24</xdr:col>
      <xdr:colOff>47624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247</xdr:row>
      <xdr:rowOff>19050</xdr:rowOff>
    </xdr:from>
    <xdr:to>
      <xdr:col>26</xdr:col>
      <xdr:colOff>9524</xdr:colOff>
      <xdr:row>247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150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313</xdr:row>
      <xdr:rowOff>19050</xdr:rowOff>
    </xdr:from>
    <xdr:to>
      <xdr:col>26</xdr:col>
      <xdr:colOff>9524</xdr:colOff>
      <xdr:row>313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258</xdr:row>
      <xdr:rowOff>19050</xdr:rowOff>
    </xdr:from>
    <xdr:to>
      <xdr:col>26</xdr:col>
      <xdr:colOff>9524</xdr:colOff>
      <xdr:row>258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225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212</xdr:row>
      <xdr:rowOff>28575</xdr:rowOff>
    </xdr:from>
    <xdr:to>
      <xdr:col>1</xdr:col>
      <xdr:colOff>0</xdr:colOff>
      <xdr:row>212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296</xdr:row>
      <xdr:rowOff>19050</xdr:rowOff>
    </xdr:from>
    <xdr:to>
      <xdr:col>24</xdr:col>
      <xdr:colOff>47625</xdr:colOff>
      <xdr:row>296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292</xdr:row>
      <xdr:rowOff>19050</xdr:rowOff>
    </xdr:from>
    <xdr:to>
      <xdr:col>24</xdr:col>
      <xdr:colOff>47625</xdr:colOff>
      <xdr:row>292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292</xdr:row>
      <xdr:rowOff>19050</xdr:rowOff>
    </xdr:from>
    <xdr:to>
      <xdr:col>25</xdr:col>
      <xdr:colOff>74294</xdr:colOff>
      <xdr:row>292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268</xdr:row>
      <xdr:rowOff>19050</xdr:rowOff>
    </xdr:from>
    <xdr:to>
      <xdr:col>25</xdr:col>
      <xdr:colOff>83819</xdr:colOff>
      <xdr:row>268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371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269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447</xdr:row>
      <xdr:rowOff>19050</xdr:rowOff>
    </xdr:from>
    <xdr:to>
      <xdr:col>24</xdr:col>
      <xdr:colOff>75821</xdr:colOff>
      <xdr:row>447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181</xdr:row>
      <xdr:rowOff>19050</xdr:rowOff>
    </xdr:from>
    <xdr:to>
      <xdr:col>26</xdr:col>
      <xdr:colOff>9524</xdr:colOff>
      <xdr:row>181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245</xdr:row>
      <xdr:rowOff>19050</xdr:rowOff>
    </xdr:from>
    <xdr:to>
      <xdr:col>24</xdr:col>
      <xdr:colOff>47624</xdr:colOff>
      <xdr:row>245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284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453</xdr:row>
      <xdr:rowOff>19050</xdr:rowOff>
    </xdr:from>
    <xdr:to>
      <xdr:col>10</xdr:col>
      <xdr:colOff>1</xdr:colOff>
      <xdr:row>453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439</xdr:row>
      <xdr:rowOff>19050</xdr:rowOff>
    </xdr:from>
    <xdr:to>
      <xdr:col>11</xdr:col>
      <xdr:colOff>0</xdr:colOff>
      <xdr:row>439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440</xdr:row>
      <xdr:rowOff>19050</xdr:rowOff>
    </xdr:from>
    <xdr:to>
      <xdr:col>11</xdr:col>
      <xdr:colOff>0</xdr:colOff>
      <xdr:row>440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441</xdr:row>
      <xdr:rowOff>19050</xdr:rowOff>
    </xdr:from>
    <xdr:to>
      <xdr:col>11</xdr:col>
      <xdr:colOff>0</xdr:colOff>
      <xdr:row>441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19050</xdr:rowOff>
    </xdr:from>
    <xdr:to>
      <xdr:col>11</xdr:col>
      <xdr:colOff>0</xdr:colOff>
      <xdr:row>442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443</xdr:row>
      <xdr:rowOff>19050</xdr:rowOff>
    </xdr:from>
    <xdr:to>
      <xdr:col>11</xdr:col>
      <xdr:colOff>0</xdr:colOff>
      <xdr:row>443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444</xdr:row>
      <xdr:rowOff>19050</xdr:rowOff>
    </xdr:from>
    <xdr:to>
      <xdr:col>11</xdr:col>
      <xdr:colOff>0</xdr:colOff>
      <xdr:row>444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251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366</xdr:row>
      <xdr:rowOff>16566</xdr:rowOff>
    </xdr:from>
    <xdr:to>
      <xdr:col>24</xdr:col>
      <xdr:colOff>46383</xdr:colOff>
      <xdr:row>366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0</xdr:rowOff>
    </xdr:from>
    <xdr:to>
      <xdr:col>10</xdr:col>
      <xdr:colOff>2173</xdr:colOff>
      <xdr:row>90</xdr:row>
      <xdr:rowOff>123825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341</xdr:row>
      <xdr:rowOff>16566</xdr:rowOff>
    </xdr:from>
    <xdr:to>
      <xdr:col>24</xdr:col>
      <xdr:colOff>46383</xdr:colOff>
      <xdr:row>341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266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266</xdr:row>
      <xdr:rowOff>16566</xdr:rowOff>
    </xdr:from>
    <xdr:to>
      <xdr:col>25</xdr:col>
      <xdr:colOff>82577</xdr:colOff>
      <xdr:row>266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145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145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393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5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47624</xdr:colOff>
      <xdr:row>268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47624</xdr:colOff>
      <xdr:row>269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272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295</xdr:row>
      <xdr:rowOff>19050</xdr:rowOff>
    </xdr:from>
    <xdr:to>
      <xdr:col>24</xdr:col>
      <xdr:colOff>47625</xdr:colOff>
      <xdr:row>295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294</xdr:row>
      <xdr:rowOff>19050</xdr:rowOff>
    </xdr:from>
    <xdr:to>
      <xdr:col>24</xdr:col>
      <xdr:colOff>47625</xdr:colOff>
      <xdr:row>294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595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594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620</xdr:row>
      <xdr:rowOff>19050</xdr:rowOff>
    </xdr:from>
    <xdr:to>
      <xdr:col>24</xdr:col>
      <xdr:colOff>47625</xdr:colOff>
      <xdr:row>620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49180</xdr:colOff>
      <xdr:row>622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49180</xdr:colOff>
      <xdr:row>627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49180</xdr:colOff>
      <xdr:row>623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47624</xdr:colOff>
      <xdr:row>621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264</xdr:row>
      <xdr:rowOff>19050</xdr:rowOff>
    </xdr:from>
    <xdr:to>
      <xdr:col>18</xdr:col>
      <xdr:colOff>9526</xdr:colOff>
      <xdr:row>264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277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277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278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75821</xdr:colOff>
      <xdr:row>211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47624</xdr:colOff>
      <xdr:row>208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282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194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334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293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342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337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399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399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00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84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12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344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265</xdr:row>
      <xdr:rowOff>16566</xdr:rowOff>
    </xdr:from>
    <xdr:ext cx="502919" cy="121920"/>
    <xdr:pic>
      <xdr:nvPicPr>
        <xdr:cNvPr id="1368" name="Imagen 136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31171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3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4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47624</xdr:colOff>
      <xdr:row>426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47624</xdr:colOff>
      <xdr:row>425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377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377</xdr:row>
      <xdr:rowOff>28575</xdr:rowOff>
    </xdr:from>
    <xdr:ext cx="342900" cy="104775"/>
    <xdr:pic>
      <xdr:nvPicPr>
        <xdr:cNvPr id="11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28575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47624</xdr:colOff>
      <xdr:row>354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355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353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358</xdr:row>
      <xdr:rowOff>19050</xdr:rowOff>
    </xdr:from>
    <xdr:to>
      <xdr:col>8</xdr:col>
      <xdr:colOff>181170</xdr:colOff>
      <xdr:row>358</xdr:row>
      <xdr:rowOff>142875</xdr:rowOff>
    </xdr:to>
    <xdr:pic>
      <xdr:nvPicPr>
        <xdr:cNvPr id="87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3593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47624</xdr:colOff>
      <xdr:row>312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285</xdr:row>
      <xdr:rowOff>19050</xdr:rowOff>
    </xdr:from>
    <xdr:to>
      <xdr:col>8</xdr:col>
      <xdr:colOff>181170</xdr:colOff>
      <xdr:row>285</xdr:row>
      <xdr:rowOff>142875</xdr:rowOff>
    </xdr:to>
    <xdr:pic>
      <xdr:nvPicPr>
        <xdr:cNvPr id="86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40340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257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267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289</xdr:row>
      <xdr:rowOff>28575</xdr:rowOff>
    </xdr:from>
    <xdr:to>
      <xdr:col>1</xdr:col>
      <xdr:colOff>0</xdr:colOff>
      <xdr:row>289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384</xdr:row>
      <xdr:rowOff>19050</xdr:rowOff>
    </xdr:from>
    <xdr:to>
      <xdr:col>8</xdr:col>
      <xdr:colOff>181170</xdr:colOff>
      <xdr:row>384</xdr:row>
      <xdr:rowOff>142875</xdr:rowOff>
    </xdr:to>
    <xdr:pic>
      <xdr:nvPicPr>
        <xdr:cNvPr id="88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96265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28575</xdr:rowOff>
    </xdr:from>
    <xdr:to>
      <xdr:col>1</xdr:col>
      <xdr:colOff>0</xdr:colOff>
      <xdr:row>350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349</xdr:row>
      <xdr:rowOff>19050</xdr:rowOff>
    </xdr:from>
    <xdr:to>
      <xdr:col>8</xdr:col>
      <xdr:colOff>181170</xdr:colOff>
      <xdr:row>349</xdr:row>
      <xdr:rowOff>142875</xdr:rowOff>
    </xdr:to>
    <xdr:pic>
      <xdr:nvPicPr>
        <xdr:cNvPr id="89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4140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387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153</xdr:row>
      <xdr:rowOff>19050</xdr:rowOff>
    </xdr:from>
    <xdr:to>
      <xdr:col>8</xdr:col>
      <xdr:colOff>181170</xdr:colOff>
      <xdr:row>153</xdr:row>
      <xdr:rowOff>142875</xdr:rowOff>
    </xdr:to>
    <xdr:pic>
      <xdr:nvPicPr>
        <xdr:cNvPr id="88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82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401</xdr:row>
      <xdr:rowOff>19050</xdr:rowOff>
    </xdr:from>
    <xdr:to>
      <xdr:col>8</xdr:col>
      <xdr:colOff>181170</xdr:colOff>
      <xdr:row>401</xdr:row>
      <xdr:rowOff>142875</xdr:rowOff>
    </xdr:to>
    <xdr:pic>
      <xdr:nvPicPr>
        <xdr:cNvPr id="89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21125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624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86" TargetMode="External"/><Relationship Id="rId531" Type="http://schemas.openxmlformats.org/officeDocument/2006/relationships/hyperlink" Target="https://www.jivi.com.ar/ficha.php?id=1308" TargetMode="External"/><Relationship Id="rId170" Type="http://schemas.openxmlformats.org/officeDocument/2006/relationships/hyperlink" Target="https://www.jivi.com.ar/ficha.php?id=885" TargetMode="External"/><Relationship Id="rId268" Type="http://schemas.openxmlformats.org/officeDocument/2006/relationships/hyperlink" Target="https://www.jivi.com.ar/ficha.php?id=1393" TargetMode="External"/><Relationship Id="rId475" Type="http://schemas.openxmlformats.org/officeDocument/2006/relationships/hyperlink" Target="https://www.jivi.com.ar/ficha.php?id=1698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62" TargetMode="External"/><Relationship Id="rId335" Type="http://schemas.openxmlformats.org/officeDocument/2006/relationships/hyperlink" Target="https://www.jivi.com.ar/ficha.php?id=1502" TargetMode="External"/><Relationship Id="rId542" Type="http://schemas.openxmlformats.org/officeDocument/2006/relationships/hyperlink" Target="https://www.jivi.com.ar/ficha.php?id=1805" TargetMode="External"/><Relationship Id="rId181" Type="http://schemas.openxmlformats.org/officeDocument/2006/relationships/hyperlink" Target="https://www.jivi.com.ar/ficha.php?id=1156" TargetMode="External"/><Relationship Id="rId402" Type="http://schemas.openxmlformats.org/officeDocument/2006/relationships/hyperlink" Target="https://www.jivi.com.ar/ficha.php?id=1580" TargetMode="External"/><Relationship Id="rId279" Type="http://schemas.openxmlformats.org/officeDocument/2006/relationships/hyperlink" Target="https://www.jivi.com.ar/ficha.php?id=1421" TargetMode="External"/><Relationship Id="rId486" Type="http://schemas.openxmlformats.org/officeDocument/2006/relationships/hyperlink" Target="https://www.jivi.com.ar/ficha.php?id=1708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48" TargetMode="External"/><Relationship Id="rId346" Type="http://schemas.openxmlformats.org/officeDocument/2006/relationships/hyperlink" Target="https://www.jivi.com.ar/ficha.php?id=1523" TargetMode="External"/><Relationship Id="rId553" Type="http://schemas.openxmlformats.org/officeDocument/2006/relationships/hyperlink" Target="https://www.jivi.com.ar/ficha.php?id=1533" TargetMode="External"/><Relationship Id="rId192" Type="http://schemas.openxmlformats.org/officeDocument/2006/relationships/hyperlink" Target="https://www.jivi.com.ar/ficha.php?id=349" TargetMode="External"/><Relationship Id="rId206" Type="http://schemas.openxmlformats.org/officeDocument/2006/relationships/hyperlink" Target="https://www.jivi.com.ar/ficha.php?id=1060" TargetMode="External"/><Relationship Id="rId413" Type="http://schemas.openxmlformats.org/officeDocument/2006/relationships/hyperlink" Target="https://www.jivi.com.ar/ficha.php?id=1592" TargetMode="External"/><Relationship Id="rId497" Type="http://schemas.openxmlformats.org/officeDocument/2006/relationships/hyperlink" Target="https://www.jivi.com.ar/ficha.php?id=1734" TargetMode="External"/><Relationship Id="rId357" Type="http://schemas.openxmlformats.org/officeDocument/2006/relationships/hyperlink" Target="https://www.jivi.com.ar/ficha.php?id=1542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77" TargetMode="External"/><Relationship Id="rId564" Type="http://schemas.openxmlformats.org/officeDocument/2006/relationships/drawing" Target="../drawings/drawing1.xml"/><Relationship Id="rId424" Type="http://schemas.openxmlformats.org/officeDocument/2006/relationships/hyperlink" Target="https://www.jivi.com.ar/ficha.php?id=1424" TargetMode="External"/><Relationship Id="rId270" Type="http://schemas.openxmlformats.org/officeDocument/2006/relationships/hyperlink" Target="https://www.jivi.com.ar/ficha.php?id=1413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2" TargetMode="External"/><Relationship Id="rId368" Type="http://schemas.openxmlformats.org/officeDocument/2006/relationships/hyperlink" Target="https://www.jivi.com.ar/ficha.php?id=1553" TargetMode="External"/><Relationship Id="rId172" Type="http://schemas.openxmlformats.org/officeDocument/2006/relationships/hyperlink" Target="https://www.jivi.com.ar/ficha.php?id=1108" TargetMode="External"/><Relationship Id="rId228" Type="http://schemas.openxmlformats.org/officeDocument/2006/relationships/hyperlink" Target="https://www.jivi.com.ar/ficha.php?id=1316" TargetMode="External"/><Relationship Id="rId435" Type="http://schemas.openxmlformats.org/officeDocument/2006/relationships/hyperlink" Target="https://www.jivi.com.ar/ficha.php?id=1452" TargetMode="External"/><Relationship Id="rId477" Type="http://schemas.openxmlformats.org/officeDocument/2006/relationships/hyperlink" Target="https://www.jivi.com.ar/ficha.php?id=1510" TargetMode="External"/><Relationship Id="rId281" Type="http://schemas.openxmlformats.org/officeDocument/2006/relationships/hyperlink" Target="https://www.jivi.com.ar/ficha.php?id=1423" TargetMode="External"/><Relationship Id="rId337" Type="http://schemas.openxmlformats.org/officeDocument/2006/relationships/hyperlink" Target="https://www.jivi.com.ar/ficha.php?id=1505" TargetMode="External"/><Relationship Id="rId502" Type="http://schemas.openxmlformats.org/officeDocument/2006/relationships/hyperlink" Target="https://www.jivi.com.ar/ficha.php?id=1743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5" TargetMode="External"/><Relationship Id="rId379" Type="http://schemas.openxmlformats.org/officeDocument/2006/relationships/hyperlink" Target="https://www.jivi.com.ar/ficha.php?id=1563" TargetMode="External"/><Relationship Id="rId544" Type="http://schemas.openxmlformats.org/officeDocument/2006/relationships/hyperlink" Target="https://www.jivi.com.ar/ficha.php?id=1070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68" TargetMode="External"/><Relationship Id="rId239" Type="http://schemas.openxmlformats.org/officeDocument/2006/relationships/hyperlink" Target="https://www.jivi.com.ar/ficha.php?id=1366" TargetMode="External"/><Relationship Id="rId390" Type="http://schemas.openxmlformats.org/officeDocument/2006/relationships/hyperlink" Target="https://www.jivi.com.ar/ficha.php?id=1570" TargetMode="External"/><Relationship Id="rId404" Type="http://schemas.openxmlformats.org/officeDocument/2006/relationships/hyperlink" Target="https://www.jivi.com.ar/ficha.php?id=1583" TargetMode="External"/><Relationship Id="rId446" Type="http://schemas.openxmlformats.org/officeDocument/2006/relationships/hyperlink" Target="https://www.jivi.com.ar/ficha.php?id=1635" TargetMode="External"/><Relationship Id="rId250" Type="http://schemas.openxmlformats.org/officeDocument/2006/relationships/hyperlink" Target="https://www.jivi.com.ar/ficha.php?id=1389" TargetMode="External"/><Relationship Id="rId292" Type="http://schemas.openxmlformats.org/officeDocument/2006/relationships/hyperlink" Target="https://www.jivi.com.ar/ficha.php?id=1427" TargetMode="External"/><Relationship Id="rId306" Type="http://schemas.openxmlformats.org/officeDocument/2006/relationships/hyperlink" Target="https://www.jivi.com.ar/ficha.php?id=1463" TargetMode="External"/><Relationship Id="rId488" Type="http://schemas.openxmlformats.org/officeDocument/2006/relationships/hyperlink" Target="https://www.jivi.com.ar/ficha.php?id=1722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24" TargetMode="External"/><Relationship Id="rId513" Type="http://schemas.openxmlformats.org/officeDocument/2006/relationships/hyperlink" Target="https://www.jivi.com.ar/ficha.php?id=1775" TargetMode="External"/><Relationship Id="rId555" Type="http://schemas.openxmlformats.org/officeDocument/2006/relationships/hyperlink" Target="https://www.jivi.com.ar/ficha.php?id=1825" TargetMode="External"/><Relationship Id="rId152" Type="http://schemas.openxmlformats.org/officeDocument/2006/relationships/hyperlink" Target="https://www.jivi.com.ar/ficha.php?id=647" TargetMode="External"/><Relationship Id="rId194" Type="http://schemas.openxmlformats.org/officeDocument/2006/relationships/hyperlink" Target="https://www.jivi.com.ar/ficha.php?id=1181" TargetMode="External"/><Relationship Id="rId208" Type="http://schemas.openxmlformats.org/officeDocument/2006/relationships/hyperlink" Target="https://www.jivi.com.ar/ficha.php?id=883" TargetMode="External"/><Relationship Id="rId415" Type="http://schemas.openxmlformats.org/officeDocument/2006/relationships/hyperlink" Target="https://www.jivi.com.ar/ficha.php?id=1595" TargetMode="External"/><Relationship Id="rId457" Type="http://schemas.openxmlformats.org/officeDocument/2006/relationships/hyperlink" Target="https://www.jivi.com.ar/ficha.php?id=1657" TargetMode="External"/><Relationship Id="rId261" Type="http://schemas.openxmlformats.org/officeDocument/2006/relationships/hyperlink" Target="https://www.jivi.com.ar/ficha.php?id=1392" TargetMode="External"/><Relationship Id="rId499" Type="http://schemas.openxmlformats.org/officeDocument/2006/relationships/hyperlink" Target="https://www.jivi.com.ar/ficha.php?id=1740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996" TargetMode="External"/><Relationship Id="rId359" Type="http://schemas.openxmlformats.org/officeDocument/2006/relationships/hyperlink" Target="https://www.jivi.com.ar/ficha.php?id=1545" TargetMode="External"/><Relationship Id="rId524" Type="http://schemas.openxmlformats.org/officeDocument/2006/relationships/hyperlink" Target="https://www.jivi.com.ar/ficha.php?id=1779" TargetMode="External"/><Relationship Id="rId566" Type="http://schemas.openxmlformats.org/officeDocument/2006/relationships/comments" Target="../comments1.xm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7" TargetMode="External"/><Relationship Id="rId163" Type="http://schemas.openxmlformats.org/officeDocument/2006/relationships/hyperlink" Target="https://www.jivi.com.ar/ficha.php?id=1090" TargetMode="External"/><Relationship Id="rId219" Type="http://schemas.openxmlformats.org/officeDocument/2006/relationships/hyperlink" Target="https://www.jivi.com.ar/ficha.php?id=991" TargetMode="External"/><Relationship Id="rId370" Type="http://schemas.openxmlformats.org/officeDocument/2006/relationships/hyperlink" Target="https://www.jivi.com.ar/ficha.php?id=1397" TargetMode="External"/><Relationship Id="rId426" Type="http://schemas.openxmlformats.org/officeDocument/2006/relationships/hyperlink" Target="https://www.jivi.com.ar/ficha.php?id=1459" TargetMode="External"/><Relationship Id="rId230" Type="http://schemas.openxmlformats.org/officeDocument/2006/relationships/hyperlink" Target="https://www.jivi.com.ar/ficha.php?id=1336" TargetMode="External"/><Relationship Id="rId468" Type="http://schemas.openxmlformats.org/officeDocument/2006/relationships/hyperlink" Target="https://www.jivi.com.ar/ficha.php?id=1690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356" TargetMode="External"/><Relationship Id="rId328" Type="http://schemas.openxmlformats.org/officeDocument/2006/relationships/hyperlink" Target="https://www.jivi.com.ar/ficha.php?id=1494" TargetMode="External"/><Relationship Id="rId535" Type="http://schemas.openxmlformats.org/officeDocument/2006/relationships/hyperlink" Target="https://www.jivi.com.ar/ficha.php?id=1791" TargetMode="External"/><Relationship Id="rId132" Type="http://schemas.openxmlformats.org/officeDocument/2006/relationships/hyperlink" Target="https://www.jivi.com.ar/ficha.php?id=903" TargetMode="External"/><Relationship Id="rId174" Type="http://schemas.openxmlformats.org/officeDocument/2006/relationships/hyperlink" Target="https://www.jivi.com.ar/ficha.php?id=1119" TargetMode="External"/><Relationship Id="rId381" Type="http://schemas.openxmlformats.org/officeDocument/2006/relationships/hyperlink" Target="https://www.jivi.com.ar/ficha.php?id=790" TargetMode="External"/><Relationship Id="rId241" Type="http://schemas.openxmlformats.org/officeDocument/2006/relationships/hyperlink" Target="https://www.jivi.com.ar/ficha.php?id=864" TargetMode="External"/><Relationship Id="rId437" Type="http://schemas.openxmlformats.org/officeDocument/2006/relationships/hyperlink" Target="https://www.jivi.com.ar/ficha.php?id=1615" TargetMode="External"/><Relationship Id="rId479" Type="http://schemas.openxmlformats.org/officeDocument/2006/relationships/hyperlink" Target="https://www.jivi.com.ar/ficha.php?id=1531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26" TargetMode="External"/><Relationship Id="rId339" Type="http://schemas.openxmlformats.org/officeDocument/2006/relationships/hyperlink" Target="https://www.jivi.com.ar/ficha.php?id=1507" TargetMode="External"/><Relationship Id="rId490" Type="http://schemas.openxmlformats.org/officeDocument/2006/relationships/hyperlink" Target="https://www.jivi.com.ar/ficha.php?id=1725" TargetMode="External"/><Relationship Id="rId504" Type="http://schemas.openxmlformats.org/officeDocument/2006/relationships/hyperlink" Target="https://www.jivi.com.ar/ficha.php?id=1745" TargetMode="External"/><Relationship Id="rId546" Type="http://schemas.openxmlformats.org/officeDocument/2006/relationships/hyperlink" Target="https://www.jivi.com.ar/ficha.php?id=1299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57" TargetMode="External"/><Relationship Id="rId185" Type="http://schemas.openxmlformats.org/officeDocument/2006/relationships/hyperlink" Target="https://www.jivi.com.ar/ficha.php?id=975" TargetMode="External"/><Relationship Id="rId350" Type="http://schemas.openxmlformats.org/officeDocument/2006/relationships/hyperlink" Target="https://www.jivi.com.ar/ficha.php?id=1532" TargetMode="External"/><Relationship Id="rId406" Type="http://schemas.openxmlformats.org/officeDocument/2006/relationships/hyperlink" Target="https://www.jivi.com.ar/ficha.php?id=1586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jivi.com.ar/ficha.php?id=89" TargetMode="External"/><Relationship Id="rId392" Type="http://schemas.openxmlformats.org/officeDocument/2006/relationships/hyperlink" Target="https://www.jivi.com.ar/ficha.php?id=1518" TargetMode="External"/><Relationship Id="rId448" Type="http://schemas.openxmlformats.org/officeDocument/2006/relationships/hyperlink" Target="https://www.jivi.com.ar/ficha.php?id=1643" TargetMode="External"/><Relationship Id="rId252" Type="http://schemas.openxmlformats.org/officeDocument/2006/relationships/hyperlink" Target="https://www.jivi.com.ar/ficha.php?id=363" TargetMode="External"/><Relationship Id="rId294" Type="http://schemas.openxmlformats.org/officeDocument/2006/relationships/hyperlink" Target="https://www.jivi.com.ar/ficha.php?id=1056" TargetMode="External"/><Relationship Id="rId308" Type="http://schemas.openxmlformats.org/officeDocument/2006/relationships/hyperlink" Target="https://www.jivi.com.ar/ficha.php?id=1465" TargetMode="External"/><Relationship Id="rId515" Type="http://schemas.openxmlformats.org/officeDocument/2006/relationships/hyperlink" Target="https://www.jivi.com.ar/ficha.php?id=1310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52" TargetMode="External"/><Relationship Id="rId361" Type="http://schemas.openxmlformats.org/officeDocument/2006/relationships/hyperlink" Target="https://www.jivi.com.ar/ficha.php?id=1547" TargetMode="External"/><Relationship Id="rId557" Type="http://schemas.openxmlformats.org/officeDocument/2006/relationships/hyperlink" Target="https://www.jivi.com.ar/ficha.php?id=1491" TargetMode="External"/><Relationship Id="rId196" Type="http://schemas.openxmlformats.org/officeDocument/2006/relationships/hyperlink" Target="https://www.jivi.com.ar/ficha.php?id=1218" TargetMode="External"/><Relationship Id="rId417" Type="http://schemas.openxmlformats.org/officeDocument/2006/relationships/hyperlink" Target="https://www.jivi.com.ar/ficha.php?id=1598" TargetMode="External"/><Relationship Id="rId459" Type="http://schemas.openxmlformats.org/officeDocument/2006/relationships/hyperlink" Target="https://www.jivi.com.ar/ficha.php?id=1663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607" TargetMode="External"/><Relationship Id="rId263" Type="http://schemas.openxmlformats.org/officeDocument/2006/relationships/hyperlink" Target="https://www.jivi.com.ar/ficha.php?id=1110" TargetMode="External"/><Relationship Id="rId319" Type="http://schemas.openxmlformats.org/officeDocument/2006/relationships/hyperlink" Target="https://www.jivi.com.ar/ficha.php?id=1478" TargetMode="External"/><Relationship Id="rId470" Type="http://schemas.openxmlformats.org/officeDocument/2006/relationships/hyperlink" Target="https://www.jivi.com.ar/ficha.php?id=1692" TargetMode="External"/><Relationship Id="rId526" Type="http://schemas.openxmlformats.org/officeDocument/2006/relationships/hyperlink" Target="https://www.jivi.com.ar/ficha.php?id=1781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709" TargetMode="External"/><Relationship Id="rId330" Type="http://schemas.openxmlformats.org/officeDocument/2006/relationships/hyperlink" Target="https://www.jivi.com.ar/ficha.php?id=1496" TargetMode="External"/><Relationship Id="rId165" Type="http://schemas.openxmlformats.org/officeDocument/2006/relationships/hyperlink" Target="https://www.jivi.com.ar/ficha.php?id=1095" TargetMode="External"/><Relationship Id="rId372" Type="http://schemas.openxmlformats.org/officeDocument/2006/relationships/hyperlink" Target="https://www.jivi.com.ar/ficha.php?id=1557" TargetMode="External"/><Relationship Id="rId428" Type="http://schemas.openxmlformats.org/officeDocument/2006/relationships/hyperlink" Target="https://www.jivi.com.ar/ficha.php?id=1609" TargetMode="External"/><Relationship Id="rId232" Type="http://schemas.openxmlformats.org/officeDocument/2006/relationships/hyperlink" Target="https://www.jivi.com.ar/ficha.php?id=1333" TargetMode="External"/><Relationship Id="rId274" Type="http://schemas.openxmlformats.org/officeDocument/2006/relationships/hyperlink" Target="https://www.jivi.com.ar/ficha.php?id=1353" TargetMode="External"/><Relationship Id="rId481" Type="http://schemas.openxmlformats.org/officeDocument/2006/relationships/hyperlink" Target="https://www.jivi.com.ar/ficha.php?id=1704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6" TargetMode="External"/><Relationship Id="rId537" Type="http://schemas.openxmlformats.org/officeDocument/2006/relationships/hyperlink" Target="https://www.jivi.com.ar/ficha.php?id=1087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54" TargetMode="External"/><Relationship Id="rId341" Type="http://schemas.openxmlformats.org/officeDocument/2006/relationships/hyperlink" Target="https://www.jivi.com.ar/ficha.php?id=1509" TargetMode="External"/><Relationship Id="rId383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618" TargetMode="External"/><Relationship Id="rId201" Type="http://schemas.openxmlformats.org/officeDocument/2006/relationships/hyperlink" Target="https://www.jivi.com.ar/ficha.php?id=904" TargetMode="External"/><Relationship Id="rId243" Type="http://schemas.openxmlformats.org/officeDocument/2006/relationships/hyperlink" Target="https://www.jivi.com.ar/ficha.php?id=1378" TargetMode="External"/><Relationship Id="rId285" Type="http://schemas.openxmlformats.org/officeDocument/2006/relationships/hyperlink" Target="https://www.jivi.com.ar/ficha.php?id=1431" TargetMode="External"/><Relationship Id="rId450" Type="http://schemas.openxmlformats.org/officeDocument/2006/relationships/hyperlink" Target="https://www.jivi.com.ar/ficha.php?id=1644" TargetMode="External"/><Relationship Id="rId506" Type="http://schemas.openxmlformats.org/officeDocument/2006/relationships/hyperlink" Target="https://www.jivi.com.ar/ficha.php?id=1747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67" TargetMode="External"/><Relationship Id="rId492" Type="http://schemas.openxmlformats.org/officeDocument/2006/relationships/hyperlink" Target="https://www.jivi.com.ar/ficha.php?id=1728" TargetMode="External"/><Relationship Id="rId548" Type="http://schemas.openxmlformats.org/officeDocument/2006/relationships/hyperlink" Target="https://www.jivi.com.ar/ficha.php?id=1597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73" TargetMode="External"/><Relationship Id="rId187" Type="http://schemas.openxmlformats.org/officeDocument/2006/relationships/hyperlink" Target="https://www.jivi.com.ar/ficha.php?id=1175" TargetMode="External"/><Relationship Id="rId352" Type="http://schemas.openxmlformats.org/officeDocument/2006/relationships/hyperlink" Target="https://www.jivi.com.ar/ficha.php?id=1535" TargetMode="External"/><Relationship Id="rId394" Type="http://schemas.openxmlformats.org/officeDocument/2006/relationships/hyperlink" Target="https://www.jivi.com.ar/ficha.php?id=1573" TargetMode="External"/><Relationship Id="rId408" Type="http://schemas.openxmlformats.org/officeDocument/2006/relationships/hyperlink" Target="https://www.jivi.com.ar/ficha.php?id=1221" TargetMode="External"/><Relationship Id="rId212" Type="http://schemas.openxmlformats.org/officeDocument/2006/relationships/hyperlink" Target="https://www.jivi.com.ar/ficha.php?id=1253" TargetMode="External"/><Relationship Id="rId254" Type="http://schemas.openxmlformats.org/officeDocument/2006/relationships/hyperlink" Target="https://www.jivi.com.ar/ficha.php?id=1343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1335" TargetMode="External"/><Relationship Id="rId461" Type="http://schemas.openxmlformats.org/officeDocument/2006/relationships/hyperlink" Target="https://www.jivi.com.ar/ficha.php?id=1664" TargetMode="External"/><Relationship Id="rId517" Type="http://schemas.openxmlformats.org/officeDocument/2006/relationships/hyperlink" Target="https://www.jivi.com.ar/ficha.php?id=76" TargetMode="External"/><Relationship Id="rId559" Type="http://schemas.openxmlformats.org/officeDocument/2006/relationships/hyperlink" Target="https://www.jivi.com.ar/ficha.php?id=1835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61" TargetMode="External"/><Relationship Id="rId198" Type="http://schemas.openxmlformats.org/officeDocument/2006/relationships/hyperlink" Target="https://www.jivi.com.ar/ficha.php?id=1220" TargetMode="External"/><Relationship Id="rId321" Type="http://schemas.openxmlformats.org/officeDocument/2006/relationships/hyperlink" Target="https://www.jivi.com.ar/ficha.php?id=1480" TargetMode="External"/><Relationship Id="rId363" Type="http://schemas.openxmlformats.org/officeDocument/2006/relationships/hyperlink" Target="https://www.jivi.com.ar/ficha.php?id=1548" TargetMode="External"/><Relationship Id="rId419" Type="http://schemas.openxmlformats.org/officeDocument/2006/relationships/hyperlink" Target="https://www.jivi.com.ar/ficha.php?id=1602" TargetMode="External"/><Relationship Id="rId223" Type="http://schemas.openxmlformats.org/officeDocument/2006/relationships/hyperlink" Target="https://www.jivi.com.ar/ficha.php?id=1303" TargetMode="External"/><Relationship Id="rId430" Type="http://schemas.openxmlformats.org/officeDocument/2006/relationships/hyperlink" Target="https://www.jivi.com.ar/ficha.php?id=1610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477" TargetMode="External"/><Relationship Id="rId472" Type="http://schemas.openxmlformats.org/officeDocument/2006/relationships/hyperlink" Target="https://www.jivi.com.ar/ficha.php?id=1695" TargetMode="External"/><Relationship Id="rId528" Type="http://schemas.openxmlformats.org/officeDocument/2006/relationships/hyperlink" Target="https://www.jivi.com.ar/ficha.php?id=1340" TargetMode="External"/><Relationship Id="rId125" Type="http://schemas.openxmlformats.org/officeDocument/2006/relationships/hyperlink" Target="https://www.jivi.com.ar/ficha.php?id=846" TargetMode="External"/><Relationship Id="rId167" Type="http://schemas.openxmlformats.org/officeDocument/2006/relationships/hyperlink" Target="https://www.jivi.com.ar/ficha.php?id=297" TargetMode="External"/><Relationship Id="rId332" Type="http://schemas.openxmlformats.org/officeDocument/2006/relationships/hyperlink" Target="httphttps://www.jivi.com.ar/ficha.php?id=1498" TargetMode="External"/><Relationship Id="rId374" Type="http://schemas.openxmlformats.org/officeDocument/2006/relationships/hyperlink" Target="https://www.jivi.com.ar/ficha.php?id=518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47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18" TargetMode="External"/><Relationship Id="rId441" Type="http://schemas.openxmlformats.org/officeDocument/2006/relationships/hyperlink" Target="https://www.jivi.com.ar/ficha.php?id=1620" TargetMode="External"/><Relationship Id="rId483" Type="http://schemas.openxmlformats.org/officeDocument/2006/relationships/hyperlink" Target="https://www.jivi.com.ar/ficha.php?id=1457" TargetMode="External"/><Relationship Id="rId539" Type="http://schemas.openxmlformats.org/officeDocument/2006/relationships/hyperlink" Target="https://www.jivi.com.ar/ficha.php?id=1451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26" TargetMode="External"/><Relationship Id="rId178" Type="http://schemas.openxmlformats.org/officeDocument/2006/relationships/hyperlink" Target="https://www.jivi.com.ar/ficha.php?id=1158" TargetMode="External"/><Relationship Id="rId301" Type="http://schemas.openxmlformats.org/officeDocument/2006/relationships/hyperlink" Target="https://www.jivi.com.ar/ficha.php?id=1560" TargetMode="External"/><Relationship Id="rId343" Type="http://schemas.openxmlformats.org/officeDocument/2006/relationships/hyperlink" Target="https://www.jivi.com.ar/ficha.php?id=1515" TargetMode="External"/><Relationship Id="rId550" Type="http://schemas.openxmlformats.org/officeDocument/2006/relationships/hyperlink" Target="https://www.jivi.com.ar/ficha.php?id=1774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225" TargetMode="External"/><Relationship Id="rId385" Type="http://schemas.openxmlformats.org/officeDocument/2006/relationships/hyperlink" Target="https://www.jivi.com.ar/ficha.php?id=1564" TargetMode="External"/><Relationship Id="rId245" Type="http://schemas.openxmlformats.org/officeDocument/2006/relationships/hyperlink" Target="https://www.jivi.com.ar/ficha.php?id=1383" TargetMode="External"/><Relationship Id="rId287" Type="http://schemas.openxmlformats.org/officeDocument/2006/relationships/hyperlink" Target="https://www.jivi.com.ar/ficha.php?id=1436" TargetMode="External"/><Relationship Id="rId410" Type="http://schemas.openxmlformats.org/officeDocument/2006/relationships/hyperlink" Target="https://www.jivi.com.ar/ficha.php?id=1589" TargetMode="External"/><Relationship Id="rId452" Type="http://schemas.openxmlformats.org/officeDocument/2006/relationships/hyperlink" Target="https://www.jivi.com.ar/ficha.php?id=1639" TargetMode="External"/><Relationship Id="rId494" Type="http://schemas.openxmlformats.org/officeDocument/2006/relationships/hyperlink" Target="https://www.jivi.com.ar/ficha.php?id=1730" TargetMode="External"/><Relationship Id="rId508" Type="http://schemas.openxmlformats.org/officeDocument/2006/relationships/hyperlink" Target="https://www.jivi.com.ar/ficha.php?id=1749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1006" TargetMode="External"/><Relationship Id="rId312" Type="http://schemas.openxmlformats.org/officeDocument/2006/relationships/hyperlink" Target="https://www.jivi.com.ar/ficha.php?id=1470" TargetMode="External"/><Relationship Id="rId354" Type="http://schemas.openxmlformats.org/officeDocument/2006/relationships/hyperlink" Target="https://www.jivi.com.ar/ficha.php?id=1539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82" TargetMode="External"/><Relationship Id="rId396" Type="http://schemas.openxmlformats.org/officeDocument/2006/relationships/hyperlink" Target="https://www.jivi.com.ar/ficha.php?id=1271" TargetMode="External"/><Relationship Id="rId561" Type="http://schemas.openxmlformats.org/officeDocument/2006/relationships/hyperlink" Target="https://www.jivi.com.ar/ficha.php?id=1152" TargetMode="External"/><Relationship Id="rId214" Type="http://schemas.openxmlformats.org/officeDocument/2006/relationships/hyperlink" Target="https://www.jivi.com.ar/ficha.php?id=1261" TargetMode="External"/><Relationship Id="rId256" Type="http://schemas.openxmlformats.org/officeDocument/2006/relationships/hyperlink" Target="https://www.jivi.com.ar/ficha.php?id=872" TargetMode="External"/><Relationship Id="rId298" Type="http://schemas.openxmlformats.org/officeDocument/2006/relationships/hyperlink" Target="https://www.jivi.com.ar/ficha.php?id=1354" TargetMode="External"/><Relationship Id="rId421" Type="http://schemas.openxmlformats.org/officeDocument/2006/relationships/hyperlink" Target="https://www.jivi.com.ar/ficha.php?id=1701" TargetMode="External"/><Relationship Id="rId463" Type="http://schemas.openxmlformats.org/officeDocument/2006/relationships/hyperlink" Target="https://www.jivi.com.ar/ficha.php?id=1667" TargetMode="External"/><Relationship Id="rId519" Type="http://schemas.openxmlformats.org/officeDocument/2006/relationships/hyperlink" Target="https://www.jivi.com.ar/ficha.php?id=1778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364" TargetMode="External"/><Relationship Id="rId323" Type="http://schemas.openxmlformats.org/officeDocument/2006/relationships/hyperlink" Target="https://www.jivi.com.ar/ficha.php?id=1483" TargetMode="External"/><Relationship Id="rId530" Type="http://schemas.openxmlformats.org/officeDocument/2006/relationships/hyperlink" Target="https://www.jivi.com.ar/ficha.php?id=1487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51" TargetMode="External"/><Relationship Id="rId225" Type="http://schemas.openxmlformats.org/officeDocument/2006/relationships/hyperlink" Target="https://www.jivi.com.ar/ficha.php?id=1306" TargetMode="External"/><Relationship Id="rId267" Type="http://schemas.openxmlformats.org/officeDocument/2006/relationships/hyperlink" Target="https://www.jivi.com.ar/ficha.php?id=1402" TargetMode="External"/><Relationship Id="rId432" Type="http://schemas.openxmlformats.org/officeDocument/2006/relationships/hyperlink" Target="https://www.jivi.com.ar/ficha.php?id=1612" TargetMode="External"/><Relationship Id="rId474" Type="http://schemas.openxmlformats.org/officeDocument/2006/relationships/hyperlink" Target="https://www.jivi.com.ar/ficha.php?id=1697" TargetMode="External"/><Relationship Id="rId127" Type="http://schemas.openxmlformats.org/officeDocument/2006/relationships/hyperlink" Target="https://www.jivi.com.ar/ficha.php?id=854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98" TargetMode="External"/><Relationship Id="rId334" Type="http://schemas.openxmlformats.org/officeDocument/2006/relationships/hyperlink" Target="https://www.jivi.com.ar/ficha.php?id=1500" TargetMode="External"/><Relationship Id="rId376" Type="http://schemas.openxmlformats.org/officeDocument/2006/relationships/hyperlink" Target="https://www.jivi.com.ar/ficha.php?id=26" TargetMode="External"/><Relationship Id="rId541" Type="http://schemas.openxmlformats.org/officeDocument/2006/relationships/hyperlink" Target="https://www.jivi.com.ar/ficha.php?id=1804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https://www.jivi.com.ar/ficha.php?id=1155" TargetMode="External"/><Relationship Id="rId236" Type="http://schemas.openxmlformats.org/officeDocument/2006/relationships/hyperlink" Target="https://www.jivi.com.ar/ficha.php?id=1359" TargetMode="External"/><Relationship Id="rId278" Type="http://schemas.openxmlformats.org/officeDocument/2006/relationships/hyperlink" Target="https://www.jivi.com.ar/ficha.php?id=1420" TargetMode="External"/><Relationship Id="rId401" Type="http://schemas.openxmlformats.org/officeDocument/2006/relationships/hyperlink" Target="https://www.jivi.com.ar/ficha.php?id=1576" TargetMode="External"/><Relationship Id="rId443" Type="http://schemas.openxmlformats.org/officeDocument/2006/relationships/hyperlink" Target="https://www.jivi.com.ar/ficha.php?id=1204" TargetMode="External"/><Relationship Id="rId303" Type="http://schemas.openxmlformats.org/officeDocument/2006/relationships/hyperlink" Target="https://www.jivi.com.ar/ficha.php?id=1063" TargetMode="External"/><Relationship Id="rId485" Type="http://schemas.openxmlformats.org/officeDocument/2006/relationships/hyperlink" Target="https://www.jivi.com.ar/ficha.php?id=1707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247" TargetMode="External"/><Relationship Id="rId345" Type="http://schemas.openxmlformats.org/officeDocument/2006/relationships/hyperlink" Target="https://www.jivi.com.ar/ficha.php?id=1517" TargetMode="External"/><Relationship Id="rId387" Type="http://schemas.openxmlformats.org/officeDocument/2006/relationships/hyperlink" Target="https://www.jivi.com.ar/ficha.php?id=1567" TargetMode="External"/><Relationship Id="rId510" Type="http://schemas.openxmlformats.org/officeDocument/2006/relationships/hyperlink" Target="https://www.jivi.com.ar/ficha.php?id=1750" TargetMode="External"/><Relationship Id="rId552" Type="http://schemas.openxmlformats.org/officeDocument/2006/relationships/hyperlink" Target="https://www.jivi.com.ar/ficha.php?id=1544" TargetMode="External"/><Relationship Id="rId191" Type="http://schemas.openxmlformats.org/officeDocument/2006/relationships/hyperlink" Target="https://www.jivi.com.ar/ficha.php?id=1185" TargetMode="External"/><Relationship Id="rId205" Type="http://schemas.openxmlformats.org/officeDocument/2006/relationships/hyperlink" Target="https://www.jivi.com.ar/ficha.php?id=919" TargetMode="External"/><Relationship Id="rId247" Type="http://schemas.openxmlformats.org/officeDocument/2006/relationships/hyperlink" Target="https://www.jivi.com.ar/ficha.php?id=1428" TargetMode="External"/><Relationship Id="rId412" Type="http://schemas.openxmlformats.org/officeDocument/2006/relationships/hyperlink" Target="https://www.jivi.com.ar/ficha.php?id=1591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702" TargetMode="External"/><Relationship Id="rId454" Type="http://schemas.openxmlformats.org/officeDocument/2006/relationships/hyperlink" Target="https://www.jivi.com.ar/ficha.php?id=1652" TargetMode="External"/><Relationship Id="rId496" Type="http://schemas.openxmlformats.org/officeDocument/2006/relationships/hyperlink" Target="https://www.jivi.com.ar/ficha.php?id=1732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251" TargetMode="External"/><Relationship Id="rId314" Type="http://schemas.openxmlformats.org/officeDocument/2006/relationships/hyperlink" Target="https://www.jivi.com.ar/ficha.php?id=1472" TargetMode="External"/><Relationship Id="rId356" Type="http://schemas.openxmlformats.org/officeDocument/2006/relationships/hyperlink" Target="https://www.jivi.com.ar/ficha.php?id=1541" TargetMode="External"/><Relationship Id="rId398" Type="http://schemas.openxmlformats.org/officeDocument/2006/relationships/hyperlink" Target="https://www.jivi.com.ar/ficha.php?id=1139" TargetMode="External"/><Relationship Id="rId521" Type="http://schemas.openxmlformats.org/officeDocument/2006/relationships/hyperlink" Target="https://www.jivi.com.ar/ficha.php?id=1710" TargetMode="External"/><Relationship Id="rId563" Type="http://schemas.openxmlformats.org/officeDocument/2006/relationships/printerSettings" Target="../printerSettings/printerSettings1.bin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79" TargetMode="External"/><Relationship Id="rId216" Type="http://schemas.openxmlformats.org/officeDocument/2006/relationships/hyperlink" Target="https://www.jivi.com.ar/ficha.php?id=1268" TargetMode="External"/><Relationship Id="rId423" Type="http://schemas.openxmlformats.org/officeDocument/2006/relationships/hyperlink" Target="https://www.jivi.com.ar/ficha.php?id=1606" TargetMode="External"/><Relationship Id="rId258" Type="http://schemas.openxmlformats.org/officeDocument/2006/relationships/hyperlink" Target="https://www.jivi.com.ar/ficha.php?id=1262" TargetMode="External"/><Relationship Id="rId465" Type="http://schemas.openxmlformats.org/officeDocument/2006/relationships/hyperlink" Target="https://www.jivi.com.ar/ficha.php?id=1272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88" TargetMode="External"/><Relationship Id="rId367" Type="http://schemas.openxmlformats.org/officeDocument/2006/relationships/hyperlink" Target="https://www.jivi.com.ar/ficha.php?id=1311" TargetMode="External"/><Relationship Id="rId532" Type="http://schemas.openxmlformats.org/officeDocument/2006/relationships/hyperlink" Target="https://www.jivi.com.ar/ficha.php?id=1186" TargetMode="External"/><Relationship Id="rId171" Type="http://schemas.openxmlformats.org/officeDocument/2006/relationships/hyperlink" Target="https://www.jivi.com.ar/ficha.php?id=1104" TargetMode="External"/><Relationship Id="rId227" Type="http://schemas.openxmlformats.org/officeDocument/2006/relationships/hyperlink" Target="https://www.jivi.com.ar/ficha.php?id=1290" TargetMode="External"/><Relationship Id="rId269" Type="http://schemas.openxmlformats.org/officeDocument/2006/relationships/hyperlink" Target="https://www.jivi.com.ar/ficha.php?id=1405" TargetMode="External"/><Relationship Id="rId434" Type="http://schemas.openxmlformats.org/officeDocument/2006/relationships/hyperlink" Target="https://www.jivi.com.ar/ficha.php?id=1614" TargetMode="External"/><Relationship Id="rId476" Type="http://schemas.openxmlformats.org/officeDocument/2006/relationships/hyperlink" Target="https://www.jivi.com.ar/ficha.php?id=1699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8" TargetMode="External"/><Relationship Id="rId280" Type="http://schemas.openxmlformats.org/officeDocument/2006/relationships/hyperlink" Target="https://www.jivi.com.ar/ficha.php?id=1422" TargetMode="External"/><Relationship Id="rId336" Type="http://schemas.openxmlformats.org/officeDocument/2006/relationships/hyperlink" Target="https://www.jivi.com.ar/ficha.php?id=1504" TargetMode="External"/><Relationship Id="rId501" Type="http://schemas.openxmlformats.org/officeDocument/2006/relationships/hyperlink" Target="https://www.jivi.com.ar/ficha.php?id=1575" TargetMode="External"/><Relationship Id="rId543" Type="http://schemas.openxmlformats.org/officeDocument/2006/relationships/hyperlink" Target="https://www.jivi.com.ar/ficha.php?id=1342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4" TargetMode="External"/><Relationship Id="rId182" Type="http://schemas.openxmlformats.org/officeDocument/2006/relationships/hyperlink" Target="https://www.jivi.com.ar/ficha.php?id=1153" TargetMode="External"/><Relationship Id="rId378" Type="http://schemas.openxmlformats.org/officeDocument/2006/relationships/hyperlink" Target="https://www.jivi.com.ar/ficha.php?id=1562" TargetMode="External"/><Relationship Id="rId403" Type="http://schemas.openxmlformats.org/officeDocument/2006/relationships/hyperlink" Target="https://www.jivi.com.ar/ficha.php?id=1581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65" TargetMode="External"/><Relationship Id="rId445" Type="http://schemas.openxmlformats.org/officeDocument/2006/relationships/hyperlink" Target="https://www.jivi.com.ar/ficha.php?id=1634" TargetMode="External"/><Relationship Id="rId487" Type="http://schemas.openxmlformats.org/officeDocument/2006/relationships/hyperlink" Target="https://www.jivi.com.ar/ficha.php?id=1721" TargetMode="External"/><Relationship Id="rId291" Type="http://schemas.openxmlformats.org/officeDocument/2006/relationships/hyperlink" Target="https://www.jivi.com.ar/ficha.php?id=1442" TargetMode="External"/><Relationship Id="rId305" Type="http://schemas.openxmlformats.org/officeDocument/2006/relationships/hyperlink" Target="https://www.jivi.com.ar/ficha.php?id=969" TargetMode="External"/><Relationship Id="rId347" Type="http://schemas.openxmlformats.org/officeDocument/2006/relationships/hyperlink" Target="https://www.jivi.com.ar/ficha.php?id=1665" TargetMode="External"/><Relationship Id="rId512" Type="http://schemas.openxmlformats.org/officeDocument/2006/relationships/hyperlink" Target="https://www.jivi.com.ar/ficha.php?id=1461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25" TargetMode="External"/><Relationship Id="rId389" Type="http://schemas.openxmlformats.org/officeDocument/2006/relationships/hyperlink" Target="https://www.jivi.com.ar/ficha.php?id=1569" TargetMode="External"/><Relationship Id="rId554" Type="http://schemas.openxmlformats.org/officeDocument/2006/relationships/hyperlink" Target="https://www.jivi.com.ar/ficha.php?id=1556" TargetMode="External"/><Relationship Id="rId193" Type="http://schemas.openxmlformats.org/officeDocument/2006/relationships/hyperlink" Target="https://www.jivi.com.ar/ficha.php?id=1190" TargetMode="External"/><Relationship Id="rId207" Type="http://schemas.openxmlformats.org/officeDocument/2006/relationships/hyperlink" Target="https://www.jivi.com.ar/ficha.php?id=1232" TargetMode="External"/><Relationship Id="rId249" Type="http://schemas.openxmlformats.org/officeDocument/2006/relationships/hyperlink" Target="https://www.jivi.com.ar/ficha.php?id=1387" TargetMode="External"/><Relationship Id="rId414" Type="http://schemas.openxmlformats.org/officeDocument/2006/relationships/hyperlink" Target="https://www.jivi.com.ar/ficha.php?id=1593" TargetMode="External"/><Relationship Id="rId456" Type="http://schemas.openxmlformats.org/officeDocument/2006/relationships/hyperlink" Target="https://www.jivi.com.ar/ficha.php?id=1640" TargetMode="External"/><Relationship Id="rId498" Type="http://schemas.openxmlformats.org/officeDocument/2006/relationships/hyperlink" Target="https://www.jivi.com.ar/ficha.php?id=1738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401" TargetMode="External"/><Relationship Id="rId316" Type="http://schemas.openxmlformats.org/officeDocument/2006/relationships/hyperlink" Target="https://www.jivi.com.ar/ficha.php?id=995" TargetMode="External"/><Relationship Id="rId523" Type="http://schemas.openxmlformats.org/officeDocument/2006/relationships/hyperlink" Target="https://www.jivi.com.ar/ficha.php?id=173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809" TargetMode="External"/><Relationship Id="rId358" Type="http://schemas.openxmlformats.org/officeDocument/2006/relationships/hyperlink" Target="https://www.jivi.com.ar/ficha.php?id=1363" TargetMode="External"/><Relationship Id="rId565" Type="http://schemas.openxmlformats.org/officeDocument/2006/relationships/vmlDrawing" Target="../drawings/vmlDrawing1.vml"/><Relationship Id="rId162" Type="http://schemas.openxmlformats.org/officeDocument/2006/relationships/hyperlink" Target="https://www.jivi.com.ar/ficha.php?id=1089" TargetMode="External"/><Relationship Id="rId218" Type="http://schemas.openxmlformats.org/officeDocument/2006/relationships/hyperlink" Target="https://www.jivi.com.ar/ficha.php?id=1278" TargetMode="External"/><Relationship Id="rId425" Type="http://schemas.openxmlformats.org/officeDocument/2006/relationships/hyperlink" Target="https://www.jivi.com.ar/ficha.php?id=1270" TargetMode="External"/><Relationship Id="rId467" Type="http://schemas.openxmlformats.org/officeDocument/2006/relationships/hyperlink" Target="https://www.jivi.com.ar/ficha.php?id=1672" TargetMode="External"/><Relationship Id="rId271" Type="http://schemas.openxmlformats.org/officeDocument/2006/relationships/hyperlink" Target="https://www.jivi.com.ar/ficha.php?id=1415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1" TargetMode="External"/><Relationship Id="rId327" Type="http://schemas.openxmlformats.org/officeDocument/2006/relationships/hyperlink" Target="https://www.jivi.com.ar/ficha.php?id=1493" TargetMode="External"/><Relationship Id="rId369" Type="http://schemas.openxmlformats.org/officeDocument/2006/relationships/hyperlink" Target="https://www.jivi.com.ar/ficha.php?id=1554" TargetMode="External"/><Relationship Id="rId534" Type="http://schemas.openxmlformats.org/officeDocument/2006/relationships/hyperlink" Target="https://www.jivi.com.ar/ficha.php?id=1319" TargetMode="External"/><Relationship Id="rId173" Type="http://schemas.openxmlformats.org/officeDocument/2006/relationships/hyperlink" Target="https://www.jivi.com.ar/ficha.php?id=1116" TargetMode="External"/><Relationship Id="rId229" Type="http://schemas.openxmlformats.org/officeDocument/2006/relationships/hyperlink" Target="https://www.jivi.com.ar/ficha.php?id=1314" TargetMode="External"/><Relationship Id="rId380" Type="http://schemas.openxmlformats.org/officeDocument/2006/relationships/hyperlink" Target="https://www.jivi.com.ar/ficha.php?id=1414" TargetMode="External"/><Relationship Id="rId436" Type="http://schemas.openxmlformats.org/officeDocument/2006/relationships/hyperlink" Target="https://www.jivi.com.ar/ficha.php?id=608" TargetMode="External"/><Relationship Id="rId240" Type="http://schemas.openxmlformats.org/officeDocument/2006/relationships/hyperlink" Target="https://www.jivi.com.ar/registro.php" TargetMode="External"/><Relationship Id="rId478" Type="http://schemas.openxmlformats.org/officeDocument/2006/relationships/hyperlink" Target="https://www.jivi.com.ar/ficha.php?id=1462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25" TargetMode="External"/><Relationship Id="rId338" Type="http://schemas.openxmlformats.org/officeDocument/2006/relationships/hyperlink" Target="https://www.jivi.com.ar/ficha.php?id=1506" TargetMode="External"/><Relationship Id="rId503" Type="http://schemas.openxmlformats.org/officeDocument/2006/relationships/hyperlink" Target="https://www.jivi.com.ar/ficha.php?id=1744" TargetMode="External"/><Relationship Id="rId545" Type="http://schemas.openxmlformats.org/officeDocument/2006/relationships/hyperlink" Target="https://www.jivi.com.ar/ficha.php?id=1377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6" TargetMode="External"/><Relationship Id="rId184" Type="http://schemas.openxmlformats.org/officeDocument/2006/relationships/hyperlink" Target="https://www.jivi.com.ar/ficha.php?id=1172" TargetMode="External"/><Relationship Id="rId391" Type="http://schemas.openxmlformats.org/officeDocument/2006/relationships/hyperlink" Target="https://www.jivi.com.ar/ficha.php?id=1571" TargetMode="External"/><Relationship Id="rId405" Type="http://schemas.openxmlformats.org/officeDocument/2006/relationships/hyperlink" Target="https://www.jivi.com.ar/ficha.php?id=1584" TargetMode="External"/><Relationship Id="rId447" Type="http://schemas.openxmlformats.org/officeDocument/2006/relationships/hyperlink" Target="https://www.jivi.com.ar/ficha.php?id=968" TargetMode="External"/><Relationship Id="rId251" Type="http://schemas.openxmlformats.org/officeDocument/2006/relationships/hyperlink" Target="https://www.jivi.com.ar/ficha.php?id=1390" TargetMode="External"/><Relationship Id="rId489" Type="http://schemas.openxmlformats.org/officeDocument/2006/relationships/hyperlink" Target="https://www.jivi.com.ar/ficha.php?id=1723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216" TargetMode="External"/><Relationship Id="rId307" Type="http://schemas.openxmlformats.org/officeDocument/2006/relationships/hyperlink" Target="https://www.jivi.com.ar/ficha.php?id=1464" TargetMode="External"/><Relationship Id="rId349" Type="http://schemas.openxmlformats.org/officeDocument/2006/relationships/hyperlink" Target="https://www.jivi.com.ar/ficha.php?id=1527" TargetMode="External"/><Relationship Id="rId514" Type="http://schemas.openxmlformats.org/officeDocument/2006/relationships/hyperlink" Target="https://www.jivi.com.ar/ficha.php?id=1776" TargetMode="External"/><Relationship Id="rId556" Type="http://schemas.openxmlformats.org/officeDocument/2006/relationships/hyperlink" Target="https://www.jivi.com.ar/ficha.php?id=1491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49" TargetMode="External"/><Relationship Id="rId195" Type="http://schemas.openxmlformats.org/officeDocument/2006/relationships/hyperlink" Target="https://www.jivi.com.ar/ficha.php?id=1209" TargetMode="External"/><Relationship Id="rId209" Type="http://schemas.openxmlformats.org/officeDocument/2006/relationships/hyperlink" Target="https://www.jivi.com.ar/ficha.php?id=920" TargetMode="External"/><Relationship Id="rId360" Type="http://schemas.openxmlformats.org/officeDocument/2006/relationships/hyperlink" Target="https://www.jivi.com.ar/ficha.php?id=1546" TargetMode="External"/><Relationship Id="rId416" Type="http://schemas.openxmlformats.org/officeDocument/2006/relationships/hyperlink" Target="https://www.jivi.com.ar/ficha.php?id=1596" TargetMode="External"/><Relationship Id="rId220" Type="http://schemas.openxmlformats.org/officeDocument/2006/relationships/hyperlink" Target="https://www.jivi.com.ar/ficha.php?id=378" TargetMode="External"/><Relationship Id="rId458" Type="http://schemas.openxmlformats.org/officeDocument/2006/relationships/hyperlink" Target="https://www.jivi.com.ar/ficha.php?id=1660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230" TargetMode="External"/><Relationship Id="rId318" Type="http://schemas.openxmlformats.org/officeDocument/2006/relationships/hyperlink" Target="https://www.jivi.com.ar/ficha.php?id=835" TargetMode="External"/><Relationship Id="rId525" Type="http://schemas.openxmlformats.org/officeDocument/2006/relationships/hyperlink" Target="https://www.jivi.com.ar/ficha.php?id=1780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8" TargetMode="External"/><Relationship Id="rId164" Type="http://schemas.openxmlformats.org/officeDocument/2006/relationships/hyperlink" Target="https://www.jivi.com.ar/ficha.php?id=1091" TargetMode="External"/><Relationship Id="rId371" Type="http://schemas.openxmlformats.org/officeDocument/2006/relationships/hyperlink" Target="https://www.jivi.com.ar/ficha.php?id=1555" TargetMode="External"/><Relationship Id="rId427" Type="http://schemas.openxmlformats.org/officeDocument/2006/relationships/hyperlink" Target="https://www.jivi.com.ar/ficha.php?id=1608" TargetMode="External"/><Relationship Id="rId469" Type="http://schemas.openxmlformats.org/officeDocument/2006/relationships/hyperlink" Target="https://www.jivi.com.ar/ficha.php?id=1691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44" TargetMode="External"/><Relationship Id="rId273" Type="http://schemas.openxmlformats.org/officeDocument/2006/relationships/hyperlink" Target="https://www.jivi.com.ar/ficha.php?id=1084" TargetMode="External"/><Relationship Id="rId329" Type="http://schemas.openxmlformats.org/officeDocument/2006/relationships/hyperlink" Target="https://www.jivi.com.ar/ficha.php?id=1495" TargetMode="External"/><Relationship Id="rId480" Type="http://schemas.openxmlformats.org/officeDocument/2006/relationships/hyperlink" Target="https://www.jivi.com.ar/ficha.php?id=1528" TargetMode="External"/><Relationship Id="rId536" Type="http://schemas.openxmlformats.org/officeDocument/2006/relationships/hyperlink" Target="https://www.jivi.com.ar/ficha.php?id=1447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86" TargetMode="External"/><Relationship Id="rId175" Type="http://schemas.openxmlformats.org/officeDocument/2006/relationships/hyperlink" Target="https://www.jivi.com.ar/ficha.php?id=1120" TargetMode="External"/><Relationship Id="rId340" Type="http://schemas.openxmlformats.org/officeDocument/2006/relationships/hyperlink" Target="https://www.jivi.com.ar/ficha.php?id=1508" TargetMode="External"/><Relationship Id="rId200" Type="http://schemas.openxmlformats.org/officeDocument/2006/relationships/hyperlink" Target="https://www.jivi.com.ar/ficha.php?id=1223" TargetMode="External"/><Relationship Id="rId382" Type="http://schemas.openxmlformats.org/officeDocument/2006/relationships/hyperlink" Target="https://www.jivi.com.ar/ficha.php?id=1407" TargetMode="External"/><Relationship Id="rId438" Type="http://schemas.openxmlformats.org/officeDocument/2006/relationships/hyperlink" Target="https://www.jivi.com.ar/ficha.php?id=1617" TargetMode="External"/><Relationship Id="rId242" Type="http://schemas.openxmlformats.org/officeDocument/2006/relationships/hyperlink" Target="https://www.jivi.com.ar/ficha.php?id=1372" TargetMode="External"/><Relationship Id="rId284" Type="http://schemas.openxmlformats.org/officeDocument/2006/relationships/hyperlink" Target="https://www.jivi.com.ar/ficha.php?id=1429" TargetMode="External"/><Relationship Id="rId491" Type="http://schemas.openxmlformats.org/officeDocument/2006/relationships/hyperlink" Target="https://www.jivi.com.ar/ficha.php?id=1727" TargetMode="External"/><Relationship Id="rId505" Type="http://schemas.openxmlformats.org/officeDocument/2006/relationships/hyperlink" Target="https://www.jivi.com.ar/ficha.php?id=1746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67" TargetMode="External"/><Relationship Id="rId547" Type="http://schemas.openxmlformats.org/officeDocument/2006/relationships/hyperlink" Target="https://www.jivi.com.ar/ficha.php?id=1453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488" TargetMode="External"/><Relationship Id="rId351" Type="http://schemas.openxmlformats.org/officeDocument/2006/relationships/hyperlink" Target="https://www.jivi.com.ar/ficha.php?id=1534" TargetMode="External"/><Relationship Id="rId393" Type="http://schemas.openxmlformats.org/officeDocument/2006/relationships/hyperlink" Target="https://www.jivi.com.ar/ficha.php?id=1572" TargetMode="External"/><Relationship Id="rId407" Type="http://schemas.openxmlformats.org/officeDocument/2006/relationships/hyperlink" Target="https://www.jivi.com.ar/ficha.php?id=1587" TargetMode="External"/><Relationship Id="rId449" Type="http://schemas.openxmlformats.org/officeDocument/2006/relationships/hyperlink" Target="https://www.jivi.com.ar/ficha.php?id=1642" TargetMode="External"/><Relationship Id="rId211" Type="http://schemas.openxmlformats.org/officeDocument/2006/relationships/hyperlink" Target="https://www.jivi.com.ar/ficha.php?id=1248" TargetMode="External"/><Relationship Id="rId253" Type="http://schemas.openxmlformats.org/officeDocument/2006/relationships/hyperlink" Target="https://www.jivi.com.ar/ficha.php?id=236" TargetMode="External"/><Relationship Id="rId295" Type="http://schemas.openxmlformats.org/officeDocument/2006/relationships/hyperlink" Target="https://www.jivi.com.ar/ficha.php?id=1334" TargetMode="External"/><Relationship Id="rId309" Type="http://schemas.openxmlformats.org/officeDocument/2006/relationships/hyperlink" Target="https://www.jivi.com.ar/ficha.php?id=1466" TargetMode="External"/><Relationship Id="rId460" Type="http://schemas.openxmlformats.org/officeDocument/2006/relationships/hyperlink" Target="https://www.jivi.com.ar/ficha.php?id=440" TargetMode="External"/><Relationship Id="rId516" Type="http://schemas.openxmlformats.org/officeDocument/2006/relationships/hyperlink" Target="https://www.jivi.com.ar/ficha.php?id=1304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1479" TargetMode="External"/><Relationship Id="rId558" Type="http://schemas.openxmlformats.org/officeDocument/2006/relationships/hyperlink" Target="https://www.jivi.com.ar/ficha.php?id=1594" TargetMode="External"/><Relationship Id="rId155" Type="http://schemas.openxmlformats.org/officeDocument/2006/relationships/hyperlink" Target="https://www.jivi.com.ar/ficha.php?id=1059" TargetMode="External"/><Relationship Id="rId197" Type="http://schemas.openxmlformats.org/officeDocument/2006/relationships/hyperlink" Target="https://www.jivi.com.ar/ficha.php?id=1219" TargetMode="External"/><Relationship Id="rId362" Type="http://schemas.openxmlformats.org/officeDocument/2006/relationships/hyperlink" Target="https://www.jivi.com.ar/ficha.php?id=981" TargetMode="External"/><Relationship Id="rId418" Type="http://schemas.openxmlformats.org/officeDocument/2006/relationships/hyperlink" Target="https://www.jivi.com.ar/ficha.php?id=1599" TargetMode="External"/><Relationship Id="rId222" Type="http://schemas.openxmlformats.org/officeDocument/2006/relationships/hyperlink" Target="https://www.jivi.com.ar/ficha.php?id=1302" TargetMode="External"/><Relationship Id="rId264" Type="http://schemas.openxmlformats.org/officeDocument/2006/relationships/hyperlink" Target="https://www.jivi.com.ar/ficha.php?id=1111" TargetMode="External"/><Relationship Id="rId471" Type="http://schemas.openxmlformats.org/officeDocument/2006/relationships/hyperlink" Target="https://www.jivi.com.ar/ficha.php?id=1438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0" TargetMode="External"/><Relationship Id="rId527" Type="http://schemas.openxmlformats.org/officeDocument/2006/relationships/hyperlink" Target="https://www.jivi.com.ar/ficha.php?id=1293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4" TargetMode="External"/><Relationship Id="rId331" Type="http://schemas.openxmlformats.org/officeDocument/2006/relationships/hyperlink" Target="https://www.jivi.com.ar/ficha.php?id=1497" TargetMode="External"/><Relationship Id="rId373" Type="http://schemas.openxmlformats.org/officeDocument/2006/relationships/hyperlink" Target="https://www.jivi.com.ar/ficha.php?id=1558" TargetMode="External"/><Relationship Id="rId429" Type="http://schemas.openxmlformats.org/officeDocument/2006/relationships/hyperlink" Target="https://www.jivi.com.ar/ficha.php?id=127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46" TargetMode="External"/><Relationship Id="rId440" Type="http://schemas.openxmlformats.org/officeDocument/2006/relationships/hyperlink" Target="https://www.jivi.com.ar/ficha.php?id=1619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19" TargetMode="External"/><Relationship Id="rId300" Type="http://schemas.openxmlformats.org/officeDocument/2006/relationships/hyperlink" Target="https://www.jivi.com.ar/ficha.php?id=1450" TargetMode="External"/><Relationship Id="rId482" Type="http://schemas.openxmlformats.org/officeDocument/2006/relationships/hyperlink" Target="https://www.jivi.com.ar/ficha.php?id=977" TargetMode="External"/><Relationship Id="rId538" Type="http://schemas.openxmlformats.org/officeDocument/2006/relationships/hyperlink" Target="https://www.jivi.com.ar/ficha.php?id=1128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18" TargetMode="External"/><Relationship Id="rId177" Type="http://schemas.openxmlformats.org/officeDocument/2006/relationships/hyperlink" Target="https://www.jivi.com.ar/ficha.php?id=1157" TargetMode="External"/><Relationship Id="rId342" Type="http://schemas.openxmlformats.org/officeDocument/2006/relationships/hyperlink" Target="https://www.jivi.com.ar/ficha.php?id=1511" TargetMode="External"/><Relationship Id="rId384" Type="http://schemas.openxmlformats.org/officeDocument/2006/relationships/hyperlink" Target="https://www.jivi.com.ar/ficha.php?id=1408" TargetMode="External"/><Relationship Id="rId202" Type="http://schemas.openxmlformats.org/officeDocument/2006/relationships/hyperlink" Target="https://www.jivi.com.ar/ficha.php?id=1224" TargetMode="External"/><Relationship Id="rId244" Type="http://schemas.openxmlformats.org/officeDocument/2006/relationships/hyperlink" Target="https://www.jivi.com.ar/ficha.php?id=1382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32" TargetMode="External"/><Relationship Id="rId451" Type="http://schemas.openxmlformats.org/officeDocument/2006/relationships/hyperlink" Target="https://www.jivi.com.ar/ficha.php?id=1641" TargetMode="External"/><Relationship Id="rId493" Type="http://schemas.openxmlformats.org/officeDocument/2006/relationships/hyperlink" Target="https://www.jivi.com.ar/ficha.php?id=1729" TargetMode="External"/><Relationship Id="rId507" Type="http://schemas.openxmlformats.org/officeDocument/2006/relationships/hyperlink" Target="https://www.jivi.com.ar/ficha.php?id=1748" TargetMode="External"/><Relationship Id="rId549" Type="http://schemas.openxmlformats.org/officeDocument/2006/relationships/hyperlink" Target="https://www.jivi.com.ar/ficha.php?id=1131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850" TargetMode="External"/><Relationship Id="rId188" Type="http://schemas.openxmlformats.org/officeDocument/2006/relationships/hyperlink" Target="https://www.jivi.com.ar/ficha.php?id=915" TargetMode="External"/><Relationship Id="rId311" Type="http://schemas.openxmlformats.org/officeDocument/2006/relationships/hyperlink" Target="https://www.jivi.com.ar/ficha.php?id=1468" TargetMode="External"/><Relationship Id="rId353" Type="http://schemas.openxmlformats.org/officeDocument/2006/relationships/hyperlink" Target="https://www.jivi.com.ar/ficha.php?id=1536" TargetMode="External"/><Relationship Id="rId395" Type="http://schemas.openxmlformats.org/officeDocument/2006/relationships/hyperlink" Target="https://www.jivi.com.ar/ficha.php?id=1294" TargetMode="External"/><Relationship Id="rId409" Type="http://schemas.openxmlformats.org/officeDocument/2006/relationships/hyperlink" Target="https://www.jivi.com.ar/ficha.php?id=1588" TargetMode="External"/><Relationship Id="rId560" Type="http://schemas.openxmlformats.org/officeDocument/2006/relationships/hyperlink" Target="https://www.jivi.com.ar/ficha.php?id=1799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124" TargetMode="External"/><Relationship Id="rId420" Type="http://schemas.openxmlformats.org/officeDocument/2006/relationships/hyperlink" Target="https://www.jivi.com.ar/ficha.php?id=1603" TargetMode="External"/><Relationship Id="rId255" Type="http://schemas.openxmlformats.org/officeDocument/2006/relationships/hyperlink" Target="https://www.jivi.com.ar/ficha.php?id=1394" TargetMode="External"/><Relationship Id="rId297" Type="http://schemas.openxmlformats.org/officeDocument/2006/relationships/hyperlink" Target="https://www.jivi.com.ar/ficha.php?id=1446" TargetMode="External"/><Relationship Id="rId462" Type="http://schemas.openxmlformats.org/officeDocument/2006/relationships/hyperlink" Target="https://www.jivi.com.ar/ficha.php?id=1666" TargetMode="External"/><Relationship Id="rId518" Type="http://schemas.openxmlformats.org/officeDocument/2006/relationships/hyperlink" Target="https://www.jivi.com.ar/ficha.php?id=1777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1062" TargetMode="External"/><Relationship Id="rId322" Type="http://schemas.openxmlformats.org/officeDocument/2006/relationships/hyperlink" Target="https://www.jivi.com.ar/ficha.php?id=1481" TargetMode="External"/><Relationship Id="rId364" Type="http://schemas.openxmlformats.org/officeDocument/2006/relationships/hyperlink" Target="https://www.jivi.com.ar/ficha.php?id=1549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22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05" TargetMode="External"/><Relationship Id="rId266" Type="http://schemas.openxmlformats.org/officeDocument/2006/relationships/hyperlink" Target="https://www.jivi.com.ar/ficha.php?id=376" TargetMode="External"/><Relationship Id="rId431" Type="http://schemas.openxmlformats.org/officeDocument/2006/relationships/hyperlink" Target="https://www.jivi.com.ar/ficha.php?id=1611" TargetMode="External"/><Relationship Id="rId473" Type="http://schemas.openxmlformats.org/officeDocument/2006/relationships/hyperlink" Target="https://www.jivi.com.ar/ficha.php?id=36" TargetMode="External"/><Relationship Id="rId529" Type="http://schemas.openxmlformats.org/officeDocument/2006/relationships/hyperlink" Target="https://www.jivi.com.ar/ficha.php?id=1265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48" TargetMode="External"/><Relationship Id="rId168" Type="http://schemas.openxmlformats.org/officeDocument/2006/relationships/hyperlink" Target="https://www.jivi.com.ar/ficha.php?id=1097" TargetMode="External"/><Relationship Id="rId333" Type="http://schemas.openxmlformats.org/officeDocument/2006/relationships/hyperlink" Target="https://www.jivi.com.ar/ficha.php?id=1499" TargetMode="External"/><Relationship Id="rId540" Type="http://schemas.openxmlformats.org/officeDocument/2006/relationships/hyperlink" Target="https://www.jivi.com.ar/ficha.php?id=1654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61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48" TargetMode="External"/><Relationship Id="rId277" Type="http://schemas.openxmlformats.org/officeDocument/2006/relationships/hyperlink" Target="https://www.jivi.com.ar/ficha.php?id=1281" TargetMode="External"/><Relationship Id="rId400" Type="http://schemas.openxmlformats.org/officeDocument/2006/relationships/hyperlink" Target="https://www.jivi.com.ar/ficha.php?id=1574" TargetMode="External"/><Relationship Id="rId442" Type="http://schemas.openxmlformats.org/officeDocument/2006/relationships/hyperlink" Target="https://www.jivi.com.ar/ficha.php?id=1355" TargetMode="External"/><Relationship Id="rId484" Type="http://schemas.openxmlformats.org/officeDocument/2006/relationships/hyperlink" Target="https://www.jivi.com.ar/ficha.php?id=1456" TargetMode="External"/><Relationship Id="rId137" Type="http://schemas.openxmlformats.org/officeDocument/2006/relationships/hyperlink" Target="https://www.jivi.com.ar/ficha.php?id=938" TargetMode="External"/><Relationship Id="rId302" Type="http://schemas.openxmlformats.org/officeDocument/2006/relationships/hyperlink" Target="https://www.jivi.com.ar/ficha.php?id=1064" TargetMode="External"/><Relationship Id="rId344" Type="http://schemas.openxmlformats.org/officeDocument/2006/relationships/hyperlink" Target="https://www.jivi.com.ar/ficha.php?id=1516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41" TargetMode="External"/><Relationship Id="rId386" Type="http://schemas.openxmlformats.org/officeDocument/2006/relationships/hyperlink" Target="https://www.jivi.com.ar/ficha.php?id=1434" TargetMode="External"/><Relationship Id="rId551" Type="http://schemas.openxmlformats.org/officeDocument/2006/relationships/hyperlink" Target="https://www.jivi.com.ar/ficha.php?id=1820" TargetMode="External"/><Relationship Id="rId190" Type="http://schemas.openxmlformats.org/officeDocument/2006/relationships/hyperlink" Target="https://www.jivi.com.ar/ficha.php?id=1183" TargetMode="External"/><Relationship Id="rId204" Type="http://schemas.openxmlformats.org/officeDocument/2006/relationships/hyperlink" Target="https://www.jivi.com.ar/ficha.php?id=1226" TargetMode="External"/><Relationship Id="rId246" Type="http://schemas.openxmlformats.org/officeDocument/2006/relationships/hyperlink" Target="https://www.jivi.com.ar/ficha.php?id=1384" TargetMode="External"/><Relationship Id="rId288" Type="http://schemas.openxmlformats.org/officeDocument/2006/relationships/hyperlink" Target="https://www.jivi.com.ar/ficha.php?id=1437" TargetMode="External"/><Relationship Id="rId411" Type="http://schemas.openxmlformats.org/officeDocument/2006/relationships/hyperlink" Target="https://www.jivi.com.ar/ficha.php?id=1590" TargetMode="External"/><Relationship Id="rId453" Type="http://schemas.openxmlformats.org/officeDocument/2006/relationships/hyperlink" Target="https://www.jivi.com.ar/ficha.php?id=1637" TargetMode="External"/><Relationship Id="rId509" Type="http://schemas.openxmlformats.org/officeDocument/2006/relationships/hyperlink" Target="https://www.jivi.com.ar/ficha.php?id=1787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71" TargetMode="External"/><Relationship Id="rId495" Type="http://schemas.openxmlformats.org/officeDocument/2006/relationships/hyperlink" Target="https://www.jivi.com.ar/ficha.php?id=1731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0" TargetMode="External"/><Relationship Id="rId355" Type="http://schemas.openxmlformats.org/officeDocument/2006/relationships/hyperlink" Target="https://www.jivi.com.ar/ficha.php?id=1540" TargetMode="External"/><Relationship Id="rId397" Type="http://schemas.openxmlformats.org/officeDocument/2006/relationships/hyperlink" Target="https://www.jivi.com.ar/ficha.php?id=1296" TargetMode="External"/><Relationship Id="rId520" Type="http://schemas.openxmlformats.org/officeDocument/2006/relationships/hyperlink" Target="https://www.jivi.com.ar/ficha.php?id=1709" TargetMode="External"/><Relationship Id="rId562" Type="http://schemas.openxmlformats.org/officeDocument/2006/relationships/hyperlink" Target="https://www.jivi.com.ar/ficha.php?id=666" TargetMode="External"/><Relationship Id="rId215" Type="http://schemas.openxmlformats.org/officeDocument/2006/relationships/hyperlink" Target="https://www.jivi.com.ar/ficha.php?id=1267" TargetMode="External"/><Relationship Id="rId257" Type="http://schemas.openxmlformats.org/officeDocument/2006/relationships/hyperlink" Target="https://www.jivi.com.ar/ficha.php?id=1399" TargetMode="External"/><Relationship Id="rId422" Type="http://schemas.openxmlformats.org/officeDocument/2006/relationships/hyperlink" Target="https://www.jivi.com.ar/ficha.php?id=1604" TargetMode="External"/><Relationship Id="rId464" Type="http://schemas.openxmlformats.org/officeDocument/2006/relationships/hyperlink" Target="https://www.jivi.com.ar/ficha.php?id=1684" TargetMode="External"/><Relationship Id="rId299" Type="http://schemas.openxmlformats.org/officeDocument/2006/relationships/hyperlink" Target="https://www.jivi.com.ar/ficha.php?id=1448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80" TargetMode="External"/><Relationship Id="rId366" Type="http://schemas.openxmlformats.org/officeDocument/2006/relationships/hyperlink" Target="https://www.jivi.com.ar/ficha.php?id=1552" TargetMode="External"/><Relationship Id="rId226" Type="http://schemas.openxmlformats.org/officeDocument/2006/relationships/hyperlink" Target="https://www.jivi.com.ar/ficha.php?id=1287" TargetMode="External"/><Relationship Id="rId433" Type="http://schemas.openxmlformats.org/officeDocument/2006/relationships/hyperlink" Target="https://www.jivi.com.ar/ficha.php?id=1613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066" TargetMode="External"/><Relationship Id="rId500" Type="http://schemas.openxmlformats.org/officeDocument/2006/relationships/hyperlink" Target="https://www.jivi.com.ar/ficha.php?id=174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60" TargetMode="External"/><Relationship Id="rId444" Type="http://schemas.openxmlformats.org/officeDocument/2006/relationships/hyperlink" Target="https://www.jivi.com.ar/ficha.php?id=1621" TargetMode="External"/><Relationship Id="rId290" Type="http://schemas.openxmlformats.org/officeDocument/2006/relationships/hyperlink" Target="https://www.jivi.com.ar/ficha.php?id=1439" TargetMode="External"/><Relationship Id="rId304" Type="http://schemas.openxmlformats.org/officeDocument/2006/relationships/hyperlink" Target="https://www.jivi.com.ar/ficha.php?id=1454" TargetMode="External"/><Relationship Id="rId388" Type="http://schemas.openxmlformats.org/officeDocument/2006/relationships/hyperlink" Target="https://www.jivi.com.ar/ficha.php?id=1568" TargetMode="External"/><Relationship Id="rId511" Type="http://schemas.openxmlformats.org/officeDocument/2006/relationships/hyperlink" Target="https://www.jivi.com.ar/ficha.php?id=1751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3" TargetMode="External"/><Relationship Id="rId248" Type="http://schemas.openxmlformats.org/officeDocument/2006/relationships/hyperlink" Target="https://www.jivi.com.ar/ficha.php?id=1385" TargetMode="External"/><Relationship Id="rId455" Type="http://schemas.openxmlformats.org/officeDocument/2006/relationships/hyperlink" Target="https://www.jivi.com.ar/ficha.php?id=1655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https://www.jivi.com.ar/ficha.php?id=1476" TargetMode="External"/><Relationship Id="rId522" Type="http://schemas.openxmlformats.org/officeDocument/2006/relationships/hyperlink" Target="https://www.jivi.com.ar/ficha.php?id=1736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88" TargetMode="External"/><Relationship Id="rId399" Type="http://schemas.openxmlformats.org/officeDocument/2006/relationships/hyperlink" Target="https://www.jivi.com.ar/ficha.php?id=1249" TargetMode="External"/><Relationship Id="rId259" Type="http://schemas.openxmlformats.org/officeDocument/2006/relationships/hyperlink" Target="https://www.jivi.com.ar/ficha.php?id=1400" TargetMode="External"/><Relationship Id="rId466" Type="http://schemas.openxmlformats.org/officeDocument/2006/relationships/hyperlink" Target="https://www.jivi.com.ar/ficha.php?id=168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83" TargetMode="External"/><Relationship Id="rId326" Type="http://schemas.openxmlformats.org/officeDocument/2006/relationships/hyperlink" Target="https://www.jivi.com.ar/ficha.php?id=1492" TargetMode="External"/><Relationship Id="rId533" Type="http://schemas.openxmlformats.org/officeDocument/2006/relationships/hyperlink" Target="https://www.jivi.com.ar/ficha.php?id=1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32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10" t="s">
        <v>0</v>
      </c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2"/>
      <c r="X1" s="564">
        <v>1</v>
      </c>
      <c r="Y1" s="801" t="s">
        <v>1</v>
      </c>
      <c r="Z1" s="802"/>
      <c r="AA1" s="802"/>
      <c r="AB1" s="802"/>
      <c r="AC1" s="802"/>
      <c r="AD1" s="803"/>
      <c r="AE1" s="798" t="s">
        <v>2</v>
      </c>
      <c r="AF1" s="799"/>
      <c r="AG1" s="799"/>
      <c r="AH1" s="799"/>
      <c r="AI1" s="800"/>
      <c r="AJ1" s="796" t="s">
        <v>3</v>
      </c>
      <c r="AK1" s="56"/>
      <c r="AL1" s="56"/>
      <c r="AM1" s="54"/>
    </row>
    <row r="2" spans="1:39" ht="14.25" customHeight="1" x14ac:dyDescent="0.2">
      <c r="A2" s="18"/>
      <c r="B2" s="735" t="s">
        <v>906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7"/>
      <c r="W2" s="738"/>
      <c r="X2" s="565">
        <v>986</v>
      </c>
      <c r="Y2" s="819" t="s">
        <v>4</v>
      </c>
      <c r="Z2" s="820"/>
      <c r="AA2" s="820"/>
      <c r="AB2" s="820"/>
      <c r="AC2" s="820"/>
      <c r="AD2" s="821"/>
      <c r="AE2" s="808" t="s">
        <v>5</v>
      </c>
      <c r="AF2" s="809"/>
      <c r="AG2" s="809"/>
      <c r="AH2" s="566"/>
      <c r="AI2" s="567"/>
      <c r="AJ2" s="797"/>
      <c r="AK2" s="181"/>
      <c r="AL2" s="181"/>
      <c r="AM2" s="54"/>
    </row>
    <row r="3" spans="1:39" ht="15.75" customHeight="1" x14ac:dyDescent="0.2">
      <c r="A3" s="18"/>
      <c r="B3" s="771"/>
      <c r="C3" s="772"/>
      <c r="D3" s="773"/>
      <c r="E3" s="829" t="s">
        <v>6</v>
      </c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1"/>
      <c r="W3" s="832"/>
      <c r="X3" s="813" t="s">
        <v>395</v>
      </c>
      <c r="Y3" s="814"/>
      <c r="Z3" s="814"/>
      <c r="AA3" s="814"/>
      <c r="AB3" s="814"/>
      <c r="AC3" s="814"/>
      <c r="AD3" s="815"/>
      <c r="AE3" s="804"/>
      <c r="AF3" s="805"/>
      <c r="AG3" s="805"/>
      <c r="AH3" s="805"/>
      <c r="AI3" s="805"/>
      <c r="AJ3" s="13"/>
      <c r="AK3" s="13"/>
      <c r="AL3" s="13"/>
      <c r="AM3" s="55"/>
    </row>
    <row r="4" spans="1:39" ht="21.75" customHeight="1" x14ac:dyDescent="0.2">
      <c r="A4" s="18"/>
      <c r="B4" s="774"/>
      <c r="C4" s="775"/>
      <c r="D4" s="776"/>
      <c r="E4" s="833" t="s">
        <v>7</v>
      </c>
      <c r="F4" s="834"/>
      <c r="G4" s="834"/>
      <c r="H4" s="834"/>
      <c r="I4" s="834"/>
      <c r="J4" s="834"/>
      <c r="K4" s="834"/>
      <c r="L4" s="834"/>
      <c r="M4" s="834"/>
      <c r="N4" s="834"/>
      <c r="O4" s="834"/>
      <c r="P4" s="834"/>
      <c r="Q4" s="834"/>
      <c r="R4" s="834"/>
      <c r="S4" s="834"/>
      <c r="T4" s="834"/>
      <c r="U4" s="834"/>
      <c r="V4" s="834"/>
      <c r="W4" s="835"/>
      <c r="X4" s="816"/>
      <c r="Y4" s="817"/>
      <c r="Z4" s="817"/>
      <c r="AA4" s="817"/>
      <c r="AB4" s="817"/>
      <c r="AC4" s="817"/>
      <c r="AD4" s="818"/>
      <c r="AE4" s="805"/>
      <c r="AF4" s="805"/>
      <c r="AG4" s="805"/>
      <c r="AH4" s="805"/>
      <c r="AI4" s="805"/>
      <c r="AJ4" s="13"/>
      <c r="AK4" s="13"/>
      <c r="AL4" s="13"/>
      <c r="AM4" s="55"/>
    </row>
    <row r="5" spans="1:39" ht="23.25" customHeight="1" x14ac:dyDescent="0.2">
      <c r="A5" s="18"/>
      <c r="B5" s="777"/>
      <c r="C5" s="778"/>
      <c r="D5" s="779"/>
      <c r="E5" s="780" t="s">
        <v>8</v>
      </c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2"/>
      <c r="X5" s="786"/>
      <c r="Y5" s="787"/>
      <c r="Z5" s="787"/>
      <c r="AA5" s="787"/>
      <c r="AB5" s="787"/>
      <c r="AC5" s="787"/>
      <c r="AD5" s="788"/>
      <c r="AE5" s="758"/>
      <c r="AF5" s="758"/>
      <c r="AG5" s="758"/>
      <c r="AH5" s="758"/>
      <c r="AI5" s="758"/>
      <c r="AJ5" s="13"/>
      <c r="AK5" s="13"/>
      <c r="AL5" s="13"/>
      <c r="AM5" s="55"/>
    </row>
    <row r="6" spans="1:39" ht="12" customHeight="1" x14ac:dyDescent="0.2">
      <c r="A6" s="18"/>
      <c r="B6" s="783" t="s">
        <v>9</v>
      </c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5"/>
      <c r="X6" s="789"/>
      <c r="Y6" s="790"/>
      <c r="Z6" s="790"/>
      <c r="AA6" s="790"/>
      <c r="AB6" s="790"/>
      <c r="AC6" s="790"/>
      <c r="AD6" s="791"/>
      <c r="AE6" s="758"/>
      <c r="AF6" s="758"/>
      <c r="AG6" s="758"/>
      <c r="AH6" s="758"/>
      <c r="AI6" s="758"/>
      <c r="AJ6" s="13"/>
      <c r="AK6" s="13"/>
      <c r="AL6" s="13"/>
      <c r="AM6" s="55"/>
    </row>
    <row r="7" spans="1:39" ht="13.5" customHeight="1" x14ac:dyDescent="0.2">
      <c r="A7" s="18"/>
      <c r="B7" s="755" t="s">
        <v>10</v>
      </c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756"/>
      <c r="R7" s="756"/>
      <c r="S7" s="756"/>
      <c r="T7" s="756"/>
      <c r="U7" s="756"/>
      <c r="V7" s="756"/>
      <c r="W7" s="757"/>
      <c r="X7" s="792"/>
      <c r="Y7" s="793"/>
      <c r="Z7" s="793"/>
      <c r="AA7" s="793"/>
      <c r="AB7" s="793"/>
      <c r="AC7" s="793"/>
      <c r="AD7" s="794"/>
      <c r="AE7" s="758"/>
      <c r="AF7" s="758"/>
      <c r="AG7" s="758"/>
      <c r="AH7" s="758"/>
      <c r="AI7" s="758"/>
    </row>
    <row r="8" spans="1:39" ht="14.25" customHeight="1" x14ac:dyDescent="0.2">
      <c r="A8" s="18"/>
      <c r="B8" s="653" t="s">
        <v>11</v>
      </c>
      <c r="C8" s="731" t="s">
        <v>12</v>
      </c>
      <c r="D8" s="732"/>
      <c r="E8" s="732"/>
      <c r="F8" s="806" t="s">
        <v>13</v>
      </c>
      <c r="G8" s="806" t="s">
        <v>13</v>
      </c>
      <c r="H8" s="660" t="s">
        <v>856</v>
      </c>
      <c r="I8" s="660"/>
      <c r="J8" s="661"/>
      <c r="K8" s="661"/>
      <c r="L8" s="661"/>
      <c r="M8" s="661"/>
      <c r="N8" s="661"/>
      <c r="O8" s="661"/>
      <c r="P8" s="661"/>
      <c r="Q8" s="661"/>
      <c r="R8" s="661"/>
      <c r="S8" s="661"/>
      <c r="T8" s="661"/>
      <c r="U8" s="661"/>
      <c r="V8" s="661"/>
      <c r="W8" s="661"/>
      <c r="X8" s="635" t="s">
        <v>14</v>
      </c>
      <c r="Y8" s="636"/>
      <c r="Z8" s="636"/>
      <c r="AA8" s="637"/>
      <c r="AB8" s="633" t="s">
        <v>15</v>
      </c>
      <c r="AC8" s="760" t="s">
        <v>16</v>
      </c>
      <c r="AD8" s="761"/>
      <c r="AE8" s="761"/>
      <c r="AF8" s="761"/>
      <c r="AG8" s="761"/>
      <c r="AH8" s="761"/>
      <c r="AI8" s="762"/>
    </row>
    <row r="9" spans="1:39" ht="11.25" customHeight="1" x14ac:dyDescent="0.2">
      <c r="A9" s="18"/>
      <c r="B9" s="653"/>
      <c r="C9" s="732"/>
      <c r="D9" s="732"/>
      <c r="E9" s="732"/>
      <c r="F9" s="807"/>
      <c r="G9" s="807"/>
      <c r="H9" s="562"/>
      <c r="I9" s="560" t="s">
        <v>298</v>
      </c>
      <c r="J9" s="562"/>
      <c r="K9" s="560" t="s">
        <v>17</v>
      </c>
      <c r="L9" s="563"/>
      <c r="M9" s="563" t="s">
        <v>18</v>
      </c>
      <c r="N9" s="563"/>
      <c r="O9" s="560" t="s">
        <v>19</v>
      </c>
      <c r="P9" s="563"/>
      <c r="Q9" s="563" t="s">
        <v>300</v>
      </c>
      <c r="R9" s="563"/>
      <c r="S9" s="563" t="s">
        <v>20</v>
      </c>
      <c r="T9" s="563"/>
      <c r="U9" s="563" t="s">
        <v>21</v>
      </c>
      <c r="V9" s="563"/>
      <c r="W9" s="563" t="s">
        <v>22</v>
      </c>
      <c r="X9" s="638"/>
      <c r="Y9" s="639"/>
      <c r="Z9" s="639"/>
      <c r="AA9" s="640"/>
      <c r="AB9" s="634"/>
      <c r="AC9" s="763"/>
      <c r="AD9" s="764"/>
      <c r="AE9" s="764"/>
      <c r="AF9" s="764"/>
      <c r="AG9" s="764"/>
      <c r="AH9" s="764"/>
      <c r="AI9" s="765"/>
    </row>
    <row r="10" spans="1:39" ht="12.6" customHeight="1" x14ac:dyDescent="0.2">
      <c r="A10" s="18"/>
      <c r="B10" s="747" t="s">
        <v>740</v>
      </c>
      <c r="C10" s="748"/>
      <c r="D10" s="748"/>
      <c r="E10" s="749"/>
      <c r="F10" s="326">
        <v>557</v>
      </c>
      <c r="G10" s="333">
        <f t="shared" ref="G10" si="0">+F10*$X$1</f>
        <v>557</v>
      </c>
      <c r="H10" s="569"/>
      <c r="I10" s="589"/>
      <c r="J10" s="87">
        <f>F10+120</f>
        <v>677</v>
      </c>
      <c r="K10" s="326"/>
      <c r="L10" s="105"/>
      <c r="M10" s="326"/>
      <c r="N10" s="590">
        <f>F10+55</f>
        <v>612</v>
      </c>
      <c r="O10" s="303">
        <f t="shared" ref="O10" si="1">+N10*$X$1</f>
        <v>612</v>
      </c>
      <c r="P10" s="590">
        <f>F10+50</f>
        <v>607</v>
      </c>
      <c r="Q10" s="303">
        <f t="shared" ref="Q10" si="2">+P10*$X$1</f>
        <v>607</v>
      </c>
      <c r="R10" s="590">
        <f>F10+42</f>
        <v>599</v>
      </c>
      <c r="S10" s="303">
        <f t="shared" ref="S10" si="3">+R10*$X$1</f>
        <v>599</v>
      </c>
      <c r="T10" s="590">
        <f>F10+35</f>
        <v>592</v>
      </c>
      <c r="U10" s="303">
        <f t="shared" ref="U10" si="4">+T10*$X$1</f>
        <v>592</v>
      </c>
      <c r="V10" s="590">
        <f>F10+30</f>
        <v>587</v>
      </c>
      <c r="W10" s="303">
        <f t="shared" ref="W10" si="5">+V10*$X$1</f>
        <v>587</v>
      </c>
      <c r="X10" s="136"/>
      <c r="Y10" s="136"/>
      <c r="Z10" s="136"/>
      <c r="AA10" s="136"/>
      <c r="AB10" s="443">
        <v>13</v>
      </c>
      <c r="AE10" s="62"/>
      <c r="AF10" s="759" t="s">
        <v>896</v>
      </c>
      <c r="AG10" s="759"/>
      <c r="AH10" s="759"/>
    </row>
    <row r="11" spans="1:39" ht="12.6" customHeight="1" x14ac:dyDescent="0.2">
      <c r="A11" s="18"/>
      <c r="B11" s="669" t="s">
        <v>870</v>
      </c>
      <c r="C11" s="683"/>
      <c r="D11" s="683"/>
      <c r="E11" s="684"/>
      <c r="F11" s="304">
        <v>1063</v>
      </c>
      <c r="G11" s="332">
        <f t="shared" ref="G11" si="6">+F11*$X$1</f>
        <v>1063</v>
      </c>
      <c r="H11" s="294"/>
      <c r="I11" s="369"/>
      <c r="J11" s="90">
        <f>F11+120</f>
        <v>1183</v>
      </c>
      <c r="K11" s="304"/>
      <c r="L11" s="529"/>
      <c r="M11" s="304"/>
      <c r="N11" s="529">
        <f>F11+55</f>
        <v>1118</v>
      </c>
      <c r="O11" s="304">
        <f t="shared" ref="O11:O12" si="7">+N11*$X$1</f>
        <v>1118</v>
      </c>
      <c r="P11" s="529">
        <f>F11+50</f>
        <v>1113</v>
      </c>
      <c r="Q11" s="304">
        <f t="shared" ref="Q11:Q12" si="8">+P11*$X$1</f>
        <v>1113</v>
      </c>
      <c r="R11" s="529">
        <f>F11+42</f>
        <v>1105</v>
      </c>
      <c r="S11" s="304">
        <f t="shared" ref="S11:S12" si="9">+R11*$X$1</f>
        <v>1105</v>
      </c>
      <c r="T11" s="529">
        <f>F11+35</f>
        <v>1098</v>
      </c>
      <c r="U11" s="304">
        <f t="shared" ref="U11:U12" si="10">+T11*$X$1</f>
        <v>1098</v>
      </c>
      <c r="V11" s="529">
        <f>F11+30</f>
        <v>1093</v>
      </c>
      <c r="W11" s="304">
        <f t="shared" ref="W11:W12" si="11">+V11*$X$1</f>
        <v>1093</v>
      </c>
      <c r="X11" s="136"/>
      <c r="Y11" s="136"/>
      <c r="Z11" s="136"/>
      <c r="AA11" s="136"/>
      <c r="AB11" s="35"/>
      <c r="AE11" s="62"/>
      <c r="AF11" s="759" t="s">
        <v>23</v>
      </c>
      <c r="AG11" s="759"/>
      <c r="AH11" s="759"/>
    </row>
    <row r="12" spans="1:39" ht="12.6" customHeight="1" x14ac:dyDescent="0.2">
      <c r="A12" s="18"/>
      <c r="B12" s="703" t="s">
        <v>739</v>
      </c>
      <c r="C12" s="629"/>
      <c r="D12" s="629"/>
      <c r="E12" s="629"/>
      <c r="F12" s="303">
        <v>1163</v>
      </c>
      <c r="G12" s="333">
        <f t="shared" ref="G12:G13" si="12">+F12*$X$1</f>
        <v>1163</v>
      </c>
      <c r="H12" s="295"/>
      <c r="I12" s="368"/>
      <c r="J12" s="72"/>
      <c r="K12" s="303"/>
      <c r="L12" s="590"/>
      <c r="M12" s="303"/>
      <c r="N12" s="590">
        <f>F12+55</f>
        <v>1218</v>
      </c>
      <c r="O12" s="303">
        <f t="shared" si="7"/>
        <v>1218</v>
      </c>
      <c r="P12" s="590">
        <f>F12+50</f>
        <v>1213</v>
      </c>
      <c r="Q12" s="303">
        <f t="shared" si="8"/>
        <v>1213</v>
      </c>
      <c r="R12" s="590">
        <f>F12+42</f>
        <v>1205</v>
      </c>
      <c r="S12" s="303">
        <f t="shared" si="9"/>
        <v>1205</v>
      </c>
      <c r="T12" s="590">
        <f>F12+35</f>
        <v>1198</v>
      </c>
      <c r="U12" s="303">
        <f t="shared" si="10"/>
        <v>1198</v>
      </c>
      <c r="V12" s="590">
        <f>F12+30</f>
        <v>1193</v>
      </c>
      <c r="W12" s="303">
        <f t="shared" si="11"/>
        <v>1193</v>
      </c>
      <c r="X12" s="136"/>
      <c r="Y12" s="136"/>
      <c r="Z12" s="136"/>
      <c r="AA12" s="136"/>
      <c r="AB12" s="443">
        <v>15</v>
      </c>
      <c r="AE12" s="62"/>
      <c r="AF12" s="759" t="s">
        <v>435</v>
      </c>
      <c r="AG12" s="759"/>
      <c r="AH12" s="759"/>
    </row>
    <row r="13" spans="1:39" ht="12.6" customHeight="1" x14ac:dyDescent="0.2">
      <c r="A13" s="18"/>
      <c r="B13" s="669" t="s">
        <v>437</v>
      </c>
      <c r="C13" s="683"/>
      <c r="D13" s="683"/>
      <c r="E13" s="684"/>
      <c r="F13" s="304">
        <v>510</v>
      </c>
      <c r="G13" s="332">
        <f t="shared" si="12"/>
        <v>510</v>
      </c>
      <c r="H13" s="294"/>
      <c r="I13" s="369"/>
      <c r="J13" s="529">
        <f>F13+120</f>
        <v>630</v>
      </c>
      <c r="K13" s="304">
        <f t="shared" ref="K13:K14" si="13">+J13*$X$1</f>
        <v>630</v>
      </c>
      <c r="L13" s="529">
        <f>F13+90</f>
        <v>600</v>
      </c>
      <c r="M13" s="304">
        <f t="shared" ref="M13:M14" si="14">+L13*$X$1</f>
        <v>600</v>
      </c>
      <c r="N13" s="529">
        <f>F13+55</f>
        <v>565</v>
      </c>
      <c r="O13" s="304">
        <f t="shared" ref="O13:O14" si="15">+N13*$X$1</f>
        <v>565</v>
      </c>
      <c r="P13" s="529">
        <f>F13+49</f>
        <v>559</v>
      </c>
      <c r="Q13" s="304">
        <f t="shared" ref="Q13:Q14" si="16">+P13*$X$1</f>
        <v>559</v>
      </c>
      <c r="R13" s="529">
        <f>F13+42</f>
        <v>552</v>
      </c>
      <c r="S13" s="304">
        <f t="shared" ref="S13:S14" si="17">+R13*$X$1</f>
        <v>552</v>
      </c>
      <c r="T13" s="529">
        <f>F13+34</f>
        <v>544</v>
      </c>
      <c r="U13" s="304">
        <f t="shared" ref="U13:U14" si="18">+T13*$X$1</f>
        <v>544</v>
      </c>
      <c r="V13" s="529"/>
      <c r="W13" s="304"/>
      <c r="X13" s="136"/>
      <c r="Y13" s="136"/>
      <c r="Z13" s="136"/>
      <c r="AA13" s="136"/>
      <c r="AB13" s="443">
        <v>17</v>
      </c>
      <c r="AE13" s="62"/>
      <c r="AF13" s="759" t="s">
        <v>387</v>
      </c>
      <c r="AG13" s="759"/>
      <c r="AH13" s="759"/>
      <c r="AI13" s="62"/>
    </row>
    <row r="14" spans="1:39" ht="12.6" customHeight="1" x14ac:dyDescent="0.2">
      <c r="A14" s="18"/>
      <c r="B14" s="952" t="s">
        <v>755</v>
      </c>
      <c r="C14" s="953"/>
      <c r="D14" s="953"/>
      <c r="E14" s="954"/>
      <c r="F14" s="418">
        <f>27.94*X2</f>
        <v>27548.84</v>
      </c>
      <c r="G14" s="333">
        <f>+F14*$X$1</f>
        <v>27548.84</v>
      </c>
      <c r="H14" s="594">
        <f>F14+400</f>
        <v>27948.84</v>
      </c>
      <c r="I14" s="303">
        <f t="shared" ref="I14" si="19">+H14*$X$1</f>
        <v>27948.84</v>
      </c>
      <c r="J14" s="590">
        <f>F14+150</f>
        <v>27698.84</v>
      </c>
      <c r="K14" s="303">
        <f t="shared" si="13"/>
        <v>27698.84</v>
      </c>
      <c r="L14" s="590">
        <f>F14+100</f>
        <v>27648.84</v>
      </c>
      <c r="M14" s="303">
        <f t="shared" si="14"/>
        <v>27648.84</v>
      </c>
      <c r="N14" s="590">
        <f>F14+70</f>
        <v>27618.84</v>
      </c>
      <c r="O14" s="303">
        <f t="shared" si="15"/>
        <v>27618.84</v>
      </c>
      <c r="P14" s="590">
        <f>F14+60</f>
        <v>27608.84</v>
      </c>
      <c r="Q14" s="303">
        <f t="shared" si="16"/>
        <v>27608.84</v>
      </c>
      <c r="R14" s="590">
        <f>F14+55</f>
        <v>27603.84</v>
      </c>
      <c r="S14" s="303">
        <f t="shared" si="17"/>
        <v>27603.84</v>
      </c>
      <c r="T14" s="590">
        <f>F14+49</f>
        <v>27597.84</v>
      </c>
      <c r="U14" s="303">
        <f t="shared" si="18"/>
        <v>27597.84</v>
      </c>
      <c r="V14" s="590"/>
      <c r="W14" s="303"/>
      <c r="X14" s="626"/>
      <c r="Y14" s="753"/>
      <c r="Z14" s="753"/>
      <c r="AA14" s="627"/>
      <c r="AB14" s="443">
        <v>18</v>
      </c>
      <c r="AE14" s="73"/>
      <c r="AF14" s="759" t="s">
        <v>388</v>
      </c>
      <c r="AG14" s="759"/>
      <c r="AH14" s="759"/>
      <c r="AI14" s="62"/>
    </row>
    <row r="15" spans="1:39" ht="12.6" customHeight="1" x14ac:dyDescent="0.2">
      <c r="A15" s="98"/>
      <c r="B15" s="669" t="s">
        <v>25</v>
      </c>
      <c r="C15" s="683"/>
      <c r="D15" s="683"/>
      <c r="E15" s="684"/>
      <c r="F15" s="417">
        <f>4.1*X2</f>
        <v>4042.5999999999995</v>
      </c>
      <c r="G15" s="332">
        <f>+F15*$X$1</f>
        <v>4042.5999999999995</v>
      </c>
      <c r="H15" s="534">
        <f>F15+400</f>
        <v>4442.5999999999995</v>
      </c>
      <c r="I15" s="304">
        <f t="shared" ref="I15:I16" si="20">+H15*$X$1</f>
        <v>4442.5999999999995</v>
      </c>
      <c r="J15" s="529"/>
      <c r="K15" s="306"/>
      <c r="L15" s="529"/>
      <c r="M15" s="304"/>
      <c r="N15" s="529"/>
      <c r="O15" s="304"/>
      <c r="P15" s="104"/>
      <c r="Q15" s="823" t="s">
        <v>152</v>
      </c>
      <c r="R15" s="824"/>
      <c r="S15" s="824"/>
      <c r="T15" s="824"/>
      <c r="U15" s="824"/>
      <c r="V15" s="824"/>
      <c r="W15" s="825"/>
      <c r="X15" s="626"/>
      <c r="Y15" s="753"/>
      <c r="Z15" s="753"/>
      <c r="AA15" s="627"/>
      <c r="AB15" s="443">
        <v>24</v>
      </c>
      <c r="AE15" s="73"/>
      <c r="AF15" s="766" t="s">
        <v>24</v>
      </c>
      <c r="AG15" s="766"/>
      <c r="AH15" s="766"/>
      <c r="AI15" s="766"/>
      <c r="AJ15" s="100"/>
    </row>
    <row r="16" spans="1:39" ht="12.6" customHeight="1" x14ac:dyDescent="0.2">
      <c r="A16" s="131"/>
      <c r="B16" s="750" t="s">
        <v>580</v>
      </c>
      <c r="C16" s="751"/>
      <c r="D16" s="751"/>
      <c r="E16" s="752"/>
      <c r="F16" s="418">
        <f>4.1*X2</f>
        <v>4042.5999999999995</v>
      </c>
      <c r="G16" s="333">
        <f>+F16*$X$1</f>
        <v>4042.5999999999995</v>
      </c>
      <c r="H16" s="348">
        <f>F16+400</f>
        <v>4442.5999999999995</v>
      </c>
      <c r="I16" s="303">
        <f t="shared" si="20"/>
        <v>4442.5999999999995</v>
      </c>
      <c r="J16" s="590"/>
      <c r="K16" s="305"/>
      <c r="L16" s="116"/>
      <c r="M16" s="305"/>
      <c r="N16" s="116">
        <f>F16+40</f>
        <v>4082.5999999999995</v>
      </c>
      <c r="O16" s="303"/>
      <c r="P16" s="295"/>
      <c r="Q16" s="836" t="s">
        <v>152</v>
      </c>
      <c r="R16" s="837"/>
      <c r="S16" s="837"/>
      <c r="T16" s="837"/>
      <c r="U16" s="837"/>
      <c r="V16" s="837"/>
      <c r="W16" s="838"/>
      <c r="X16" s="253"/>
      <c r="Y16" s="200"/>
      <c r="Z16" s="200"/>
      <c r="AA16" s="199"/>
      <c r="AB16" s="443">
        <v>25</v>
      </c>
      <c r="AE16" s="73"/>
      <c r="AI16" s="99"/>
      <c r="AJ16" s="100"/>
    </row>
    <row r="17" spans="1:37" ht="12.6" customHeight="1" x14ac:dyDescent="0.2">
      <c r="A17" s="130"/>
      <c r="B17" s="669" t="s">
        <v>26</v>
      </c>
      <c r="C17" s="683"/>
      <c r="D17" s="683"/>
      <c r="E17" s="684"/>
      <c r="F17" s="304"/>
      <c r="G17" s="364"/>
      <c r="H17" s="294"/>
      <c r="I17" s="369"/>
      <c r="J17" s="529"/>
      <c r="K17" s="306"/>
      <c r="L17" s="529"/>
      <c r="M17" s="304"/>
      <c r="N17" s="529"/>
      <c r="O17" s="304"/>
      <c r="P17" s="104"/>
      <c r="Q17" s="304"/>
      <c r="R17" s="529"/>
      <c r="S17" s="304"/>
      <c r="T17" s="529"/>
      <c r="U17" s="304"/>
      <c r="V17" s="96"/>
      <c r="W17" s="304"/>
      <c r="X17" s="626"/>
      <c r="Y17" s="753"/>
      <c r="Z17" s="753"/>
      <c r="AA17" s="627"/>
      <c r="AB17" s="35"/>
      <c r="AF17" s="766" t="s">
        <v>400</v>
      </c>
      <c r="AG17" s="766"/>
      <c r="AH17" s="766"/>
      <c r="AI17" s="767"/>
      <c r="AJ17" s="767"/>
    </row>
    <row r="18" spans="1:37" ht="12.6" customHeight="1" x14ac:dyDescent="0.2">
      <c r="A18" s="18"/>
      <c r="B18" s="750" t="s">
        <v>27</v>
      </c>
      <c r="C18" s="623"/>
      <c r="D18" s="623"/>
      <c r="E18" s="624"/>
      <c r="F18" s="303">
        <v>4171</v>
      </c>
      <c r="G18" s="333">
        <f t="shared" ref="G18:G24" si="21">+F18*$X$1</f>
        <v>4171</v>
      </c>
      <c r="H18" s="594">
        <f>F18+400</f>
        <v>4571</v>
      </c>
      <c r="I18" s="303">
        <f t="shared" ref="I18:I19" si="22">+H18*$X$1</f>
        <v>4571</v>
      </c>
      <c r="J18" s="590">
        <f>F18+150</f>
        <v>4321</v>
      </c>
      <c r="K18" s="303">
        <f t="shared" ref="K18:K19" si="23">+J18*$X$1</f>
        <v>4321</v>
      </c>
      <c r="L18" s="590">
        <f>F18+100</f>
        <v>4271</v>
      </c>
      <c r="M18" s="303">
        <f t="shared" ref="M18:M19" si="24">+L18*$X$1</f>
        <v>4271</v>
      </c>
      <c r="N18" s="590">
        <f>F18+70</f>
        <v>4241</v>
      </c>
      <c r="O18" s="303">
        <f t="shared" ref="O18:O19" si="25">+N18*$X$1</f>
        <v>4241</v>
      </c>
      <c r="P18" s="590">
        <f>F18+60</f>
        <v>4231</v>
      </c>
      <c r="Q18" s="303">
        <f t="shared" ref="Q18:Q19" si="26">+P18*$X$1</f>
        <v>4231</v>
      </c>
      <c r="R18" s="590">
        <f>F18+55</f>
        <v>4226</v>
      </c>
      <c r="S18" s="303">
        <f t="shared" ref="S18:S19" si="27">+R18*$X$1</f>
        <v>4226</v>
      </c>
      <c r="T18" s="590">
        <f>F18+49</f>
        <v>4220</v>
      </c>
      <c r="U18" s="303">
        <f t="shared" ref="U18:U19" si="28">+T18*$X$1</f>
        <v>4220</v>
      </c>
      <c r="V18" s="590"/>
      <c r="W18" s="303"/>
      <c r="X18" s="626"/>
      <c r="Y18" s="753"/>
      <c r="Z18" s="753"/>
      <c r="AA18" s="627"/>
      <c r="AB18" s="443" t="s">
        <v>28</v>
      </c>
      <c r="AE18" s="73"/>
      <c r="AF18" s="766" t="s">
        <v>401</v>
      </c>
      <c r="AG18" s="766"/>
      <c r="AH18" s="766"/>
      <c r="AI18" s="766"/>
      <c r="AJ18" s="74"/>
    </row>
    <row r="19" spans="1:37" ht="12.6" customHeight="1" x14ac:dyDescent="0.2">
      <c r="A19" s="18"/>
      <c r="B19" s="730" t="s">
        <v>29</v>
      </c>
      <c r="C19" s="675"/>
      <c r="D19" s="675"/>
      <c r="E19" s="675"/>
      <c r="F19" s="304">
        <v>4171</v>
      </c>
      <c r="G19" s="332">
        <f t="shared" ref="G19" si="29">+F19*$X$1</f>
        <v>4171</v>
      </c>
      <c r="H19" s="595">
        <f>F19+400</f>
        <v>4571</v>
      </c>
      <c r="I19" s="304">
        <f t="shared" si="22"/>
        <v>4571</v>
      </c>
      <c r="J19" s="529">
        <f>F19+150</f>
        <v>4321</v>
      </c>
      <c r="K19" s="304">
        <f t="shared" si="23"/>
        <v>4321</v>
      </c>
      <c r="L19" s="529">
        <f>F19+100</f>
        <v>4271</v>
      </c>
      <c r="M19" s="304">
        <f t="shared" si="24"/>
        <v>4271</v>
      </c>
      <c r="N19" s="529">
        <f>F19+70</f>
        <v>4241</v>
      </c>
      <c r="O19" s="304">
        <f t="shared" si="25"/>
        <v>4241</v>
      </c>
      <c r="P19" s="529">
        <f>F19+60</f>
        <v>4231</v>
      </c>
      <c r="Q19" s="304">
        <f t="shared" si="26"/>
        <v>4231</v>
      </c>
      <c r="R19" s="529">
        <f>F19+55</f>
        <v>4226</v>
      </c>
      <c r="S19" s="304">
        <f t="shared" si="27"/>
        <v>4226</v>
      </c>
      <c r="T19" s="529">
        <f>F19+49</f>
        <v>4220</v>
      </c>
      <c r="U19" s="304">
        <f t="shared" si="28"/>
        <v>4220</v>
      </c>
      <c r="V19" s="529"/>
      <c r="W19" s="304"/>
      <c r="X19" s="626"/>
      <c r="Y19" s="753"/>
      <c r="Z19" s="753"/>
      <c r="AA19" s="627"/>
      <c r="AB19" s="443" t="s">
        <v>30</v>
      </c>
      <c r="AE19" s="73"/>
      <c r="AF19" s="766" t="s">
        <v>421</v>
      </c>
      <c r="AG19" s="766"/>
      <c r="AH19" s="766"/>
      <c r="AI19" s="766"/>
      <c r="AJ19" s="767"/>
    </row>
    <row r="20" spans="1:37" ht="12.6" customHeight="1" x14ac:dyDescent="0.2">
      <c r="A20" s="18"/>
      <c r="B20" s="703" t="s">
        <v>366</v>
      </c>
      <c r="C20" s="629"/>
      <c r="D20" s="629"/>
      <c r="E20" s="629"/>
      <c r="F20" s="303">
        <v>595</v>
      </c>
      <c r="G20" s="378">
        <f t="shared" si="21"/>
        <v>595</v>
      </c>
      <c r="H20" s="300"/>
      <c r="I20" s="390"/>
      <c r="J20" s="217"/>
      <c r="K20" s="305"/>
      <c r="L20" s="116"/>
      <c r="M20" s="305"/>
      <c r="N20" s="116"/>
      <c r="O20" s="303"/>
      <c r="P20" s="295"/>
      <c r="Q20" s="368"/>
      <c r="R20" s="590"/>
      <c r="S20" s="303"/>
      <c r="T20" s="590"/>
      <c r="U20" s="303"/>
      <c r="V20" s="590"/>
      <c r="W20" s="303"/>
      <c r="X20" s="136"/>
      <c r="Y20" s="136"/>
      <c r="Z20" s="136"/>
      <c r="AA20" s="136"/>
      <c r="AB20" s="443">
        <v>35</v>
      </c>
      <c r="AE20" s="73"/>
      <c r="AF20" s="766" t="s">
        <v>367</v>
      </c>
      <c r="AG20" s="767"/>
      <c r="AH20" s="767"/>
      <c r="AI20" s="767"/>
      <c r="AJ20" s="74"/>
    </row>
    <row r="21" spans="1:37" ht="12.6" customHeight="1" x14ac:dyDescent="0.2">
      <c r="A21" s="18"/>
      <c r="B21" s="730" t="s">
        <v>365</v>
      </c>
      <c r="C21" s="675"/>
      <c r="D21" s="675"/>
      <c r="E21" s="675"/>
      <c r="F21" s="304">
        <v>1930</v>
      </c>
      <c r="G21" s="364">
        <f t="shared" si="21"/>
        <v>1930</v>
      </c>
      <c r="H21" s="294"/>
      <c r="I21" s="369"/>
      <c r="J21" s="125"/>
      <c r="K21" s="304"/>
      <c r="L21" s="529"/>
      <c r="M21" s="304"/>
      <c r="N21" s="529"/>
      <c r="O21" s="304"/>
      <c r="P21" s="294"/>
      <c r="Q21" s="369"/>
      <c r="R21" s="529"/>
      <c r="S21" s="391"/>
      <c r="T21" s="104"/>
      <c r="U21" s="340"/>
      <c r="V21" s="104"/>
      <c r="W21" s="304"/>
      <c r="X21" s="136"/>
      <c r="Y21" s="136"/>
      <c r="Z21" s="136"/>
      <c r="AA21" s="136"/>
      <c r="AB21" s="443">
        <v>36</v>
      </c>
      <c r="AE21" s="73"/>
      <c r="AF21" s="766" t="s">
        <v>523</v>
      </c>
      <c r="AG21" s="766"/>
      <c r="AH21" s="766"/>
      <c r="AI21" s="766"/>
      <c r="AJ21" s="74"/>
    </row>
    <row r="22" spans="1:37" ht="12.6" customHeight="1" x14ac:dyDescent="0.2">
      <c r="A22" s="18"/>
      <c r="B22" s="703" t="s">
        <v>31</v>
      </c>
      <c r="C22" s="629"/>
      <c r="D22" s="629"/>
      <c r="E22" s="629"/>
      <c r="F22" s="303">
        <v>1930</v>
      </c>
      <c r="G22" s="327">
        <f t="shared" si="21"/>
        <v>1930</v>
      </c>
      <c r="H22" s="300"/>
      <c r="I22" s="372"/>
      <c r="J22" s="126"/>
      <c r="K22" s="303"/>
      <c r="L22" s="590"/>
      <c r="M22" s="303"/>
      <c r="N22" s="590"/>
      <c r="O22" s="303"/>
      <c r="P22" s="300"/>
      <c r="Q22" s="372"/>
      <c r="R22" s="590"/>
      <c r="S22" s="344"/>
      <c r="T22" s="590"/>
      <c r="U22" s="303"/>
      <c r="V22" s="590"/>
      <c r="W22" s="303"/>
      <c r="X22" s="136"/>
      <c r="Y22" s="136"/>
      <c r="Z22" s="136"/>
      <c r="AA22" s="136"/>
      <c r="AB22" s="443" t="s">
        <v>32</v>
      </c>
      <c r="AE22" s="73"/>
      <c r="AF22" s="766" t="s">
        <v>33</v>
      </c>
      <c r="AG22" s="766"/>
      <c r="AH22" s="766"/>
      <c r="AI22" s="766"/>
      <c r="AJ22" s="74"/>
    </row>
    <row r="23" spans="1:37" ht="12.6" customHeight="1" x14ac:dyDescent="0.2">
      <c r="A23" s="18"/>
      <c r="B23" s="730" t="s">
        <v>34</v>
      </c>
      <c r="C23" s="675"/>
      <c r="D23" s="675"/>
      <c r="E23" s="675"/>
      <c r="F23" s="304"/>
      <c r="G23" s="364"/>
      <c r="H23" s="294"/>
      <c r="I23" s="369"/>
      <c r="J23" s="125"/>
      <c r="K23" s="306"/>
      <c r="L23" s="96"/>
      <c r="M23" s="306"/>
      <c r="N23" s="96"/>
      <c r="O23" s="306"/>
      <c r="P23" s="96"/>
      <c r="Q23" s="306"/>
      <c r="R23" s="96"/>
      <c r="S23" s="411"/>
      <c r="T23" s="96"/>
      <c r="U23" s="374"/>
      <c r="V23" s="96"/>
      <c r="W23" s="306"/>
      <c r="X23" s="136"/>
      <c r="Y23" s="136"/>
      <c r="Z23" s="136"/>
      <c r="AA23" s="136"/>
      <c r="AB23" s="443" t="s">
        <v>35</v>
      </c>
      <c r="AD23" s="23"/>
      <c r="AE23" s="75"/>
      <c r="AF23" s="766" t="s">
        <v>36</v>
      </c>
      <c r="AG23" s="767"/>
      <c r="AH23" s="767"/>
      <c r="AI23" s="767"/>
      <c r="AJ23" s="74"/>
    </row>
    <row r="24" spans="1:37" ht="12.6" customHeight="1" x14ac:dyDescent="0.2">
      <c r="A24" s="18"/>
      <c r="B24" s="750" t="s">
        <v>37</v>
      </c>
      <c r="C24" s="623"/>
      <c r="D24" s="623"/>
      <c r="E24" s="624"/>
      <c r="F24" s="412">
        <f>6.35*X2</f>
        <v>6261.0999999999995</v>
      </c>
      <c r="G24" s="303">
        <f t="shared" si="21"/>
        <v>6261.0999999999995</v>
      </c>
      <c r="H24" s="594"/>
      <c r="I24" s="303"/>
      <c r="J24" s="590"/>
      <c r="K24" s="303"/>
      <c r="L24" s="590">
        <f>F24+100</f>
        <v>6361.0999999999995</v>
      </c>
      <c r="M24" s="303">
        <f t="shared" ref="M24" si="30">+L24*$X$1</f>
        <v>6361.0999999999995</v>
      </c>
      <c r="N24" s="590">
        <f>F24+70</f>
        <v>6331.0999999999995</v>
      </c>
      <c r="O24" s="303">
        <f t="shared" ref="O24" si="31">+N24*$X$1</f>
        <v>6331.0999999999995</v>
      </c>
      <c r="P24" s="590">
        <f>F24+60</f>
        <v>6321.0999999999995</v>
      </c>
      <c r="Q24" s="303">
        <f t="shared" ref="Q24" si="32">+P24*$X$1</f>
        <v>6321.0999999999995</v>
      </c>
      <c r="R24" s="590">
        <f>F24+55</f>
        <v>6316.0999999999995</v>
      </c>
      <c r="S24" s="303">
        <f t="shared" ref="S24" si="33">+R24*$X$1</f>
        <v>6316.0999999999995</v>
      </c>
      <c r="T24" s="590">
        <f>F24+49</f>
        <v>6310.0999999999995</v>
      </c>
      <c r="U24" s="303">
        <f t="shared" ref="U24" si="34">+T24*$X$1</f>
        <v>6310.0999999999995</v>
      </c>
      <c r="V24" s="590"/>
      <c r="W24" s="303"/>
      <c r="X24" s="626"/>
      <c r="Y24" s="672"/>
      <c r="Z24" s="672"/>
      <c r="AA24" s="673"/>
      <c r="AB24" s="443">
        <v>39</v>
      </c>
      <c r="AE24" s="73"/>
      <c r="AF24" s="766" t="s">
        <v>794</v>
      </c>
      <c r="AG24" s="766"/>
      <c r="AH24" s="766"/>
      <c r="AI24" s="767"/>
      <c r="AJ24" s="767"/>
    </row>
    <row r="25" spans="1:37" ht="12.6" customHeight="1" x14ac:dyDescent="0.2">
      <c r="A25" s="18"/>
      <c r="B25" s="768" t="s">
        <v>38</v>
      </c>
      <c r="C25" s="769"/>
      <c r="D25" s="769"/>
      <c r="E25" s="770"/>
      <c r="F25" s="306"/>
      <c r="G25" s="304"/>
      <c r="H25" s="294"/>
      <c r="I25" s="369"/>
      <c r="J25" s="125"/>
      <c r="K25" s="304"/>
      <c r="L25" s="529"/>
      <c r="M25" s="304"/>
      <c r="N25" s="529"/>
      <c r="O25" s="304"/>
      <c r="P25" s="296"/>
      <c r="Q25" s="304"/>
      <c r="R25" s="529"/>
      <c r="S25" s="304"/>
      <c r="T25" s="529"/>
      <c r="U25" s="304"/>
      <c r="V25" s="529"/>
      <c r="W25" s="304"/>
      <c r="X25" s="135"/>
      <c r="Y25" s="136"/>
      <c r="Z25" s="136"/>
      <c r="AA25" s="136"/>
      <c r="AB25" s="443" t="s">
        <v>39</v>
      </c>
      <c r="AE25" s="73"/>
      <c r="AF25" s="766" t="s">
        <v>40</v>
      </c>
      <c r="AG25" s="766"/>
      <c r="AH25" s="766"/>
      <c r="AI25" s="766"/>
      <c r="AJ25" s="74"/>
    </row>
    <row r="26" spans="1:37" ht="12.6" customHeight="1" x14ac:dyDescent="0.2">
      <c r="A26" s="18"/>
      <c r="B26" s="703" t="s">
        <v>41</v>
      </c>
      <c r="C26" s="629"/>
      <c r="D26" s="629"/>
      <c r="E26" s="629"/>
      <c r="F26" s="412"/>
      <c r="G26" s="303"/>
      <c r="H26" s="295"/>
      <c r="I26" s="368"/>
      <c r="J26" s="590"/>
      <c r="K26" s="303"/>
      <c r="L26" s="590">
        <f>6.7*X2</f>
        <v>6606.2</v>
      </c>
      <c r="M26" s="303">
        <f t="shared" ref="M26:M27" si="35">+L26*$X$1</f>
        <v>6606.2</v>
      </c>
      <c r="N26" s="590">
        <f>6.5*X2</f>
        <v>6409</v>
      </c>
      <c r="O26" s="303">
        <f t="shared" ref="O26:O27" si="36">+N26*$X$1</f>
        <v>6409</v>
      </c>
      <c r="P26" s="342">
        <f>6.3*X2</f>
        <v>6211.8</v>
      </c>
      <c r="Q26" s="303">
        <f t="shared" ref="Q26:Q27" si="37">+P26*$X$1</f>
        <v>6211.8</v>
      </c>
      <c r="R26" s="590">
        <f>6.1*X2</f>
        <v>6014.5999999999995</v>
      </c>
      <c r="S26" s="303">
        <f t="shared" ref="S26:S27" si="38">+R26*$X$1</f>
        <v>6014.5999999999995</v>
      </c>
      <c r="T26" s="590">
        <f>6*X2</f>
        <v>5916</v>
      </c>
      <c r="U26" s="303">
        <f t="shared" ref="U26:U27" si="39">+T26*$X$1</f>
        <v>5916</v>
      </c>
      <c r="V26" s="590"/>
      <c r="W26" s="303"/>
      <c r="X26" s="630"/>
      <c r="Y26" s="672"/>
      <c r="Z26" s="672"/>
      <c r="AA26" s="673"/>
      <c r="AB26" s="443">
        <v>40</v>
      </c>
      <c r="AE26" s="73"/>
      <c r="AF26" s="766" t="s">
        <v>42</v>
      </c>
      <c r="AG26" s="766"/>
      <c r="AH26" s="766"/>
      <c r="AI26" s="766"/>
      <c r="AJ26" s="767"/>
    </row>
    <row r="27" spans="1:37" ht="12.6" customHeight="1" x14ac:dyDescent="0.2">
      <c r="A27" s="18"/>
      <c r="B27" s="669" t="s">
        <v>376</v>
      </c>
      <c r="C27" s="683"/>
      <c r="D27" s="683"/>
      <c r="E27" s="684"/>
      <c r="F27" s="417">
        <f>8.3*X2</f>
        <v>8183.8000000000011</v>
      </c>
      <c r="G27" s="304">
        <f>+F27*$X$1</f>
        <v>8183.8000000000011</v>
      </c>
      <c r="H27" s="294"/>
      <c r="I27" s="369"/>
      <c r="J27" s="529">
        <f>F27+120</f>
        <v>8303.8000000000011</v>
      </c>
      <c r="K27" s="304">
        <f t="shared" ref="K27" si="40">+J27*$X$1</f>
        <v>8303.8000000000011</v>
      </c>
      <c r="L27" s="529">
        <f>F27+100</f>
        <v>8283.8000000000011</v>
      </c>
      <c r="M27" s="304">
        <f t="shared" si="35"/>
        <v>8283.8000000000011</v>
      </c>
      <c r="N27" s="529">
        <f>F27+70</f>
        <v>8253.8000000000011</v>
      </c>
      <c r="O27" s="304">
        <f t="shared" si="36"/>
        <v>8253.8000000000011</v>
      </c>
      <c r="P27" s="529">
        <f>F27+60</f>
        <v>8243.8000000000011</v>
      </c>
      <c r="Q27" s="304">
        <f t="shared" si="37"/>
        <v>8243.8000000000011</v>
      </c>
      <c r="R27" s="529">
        <f>F27+55</f>
        <v>8238.8000000000011</v>
      </c>
      <c r="S27" s="304">
        <f t="shared" si="38"/>
        <v>8238.8000000000011</v>
      </c>
      <c r="T27" s="529">
        <f>F27+49</f>
        <v>8232.8000000000011</v>
      </c>
      <c r="U27" s="304">
        <f t="shared" si="39"/>
        <v>8232.8000000000011</v>
      </c>
      <c r="V27" s="529"/>
      <c r="W27" s="304"/>
      <c r="X27" s="221"/>
      <c r="Y27" s="171"/>
      <c r="Z27" s="171"/>
      <c r="AA27" s="172"/>
      <c r="AB27" s="443">
        <v>44</v>
      </c>
      <c r="AE27" s="73"/>
      <c r="AF27" s="766" t="s">
        <v>442</v>
      </c>
      <c r="AG27" s="766"/>
      <c r="AH27" s="766"/>
      <c r="AI27" s="767"/>
      <c r="AJ27" s="767"/>
      <c r="AK27" s="66"/>
    </row>
    <row r="28" spans="1:37" ht="12.6" customHeight="1" x14ac:dyDescent="0.2">
      <c r="A28" s="18"/>
      <c r="B28" s="881" t="s">
        <v>714</v>
      </c>
      <c r="C28" s="715"/>
      <c r="D28" s="715"/>
      <c r="E28" s="715"/>
      <c r="F28" s="412">
        <f>0.5*X2</f>
        <v>493</v>
      </c>
      <c r="G28" s="303">
        <f>+F28*$X$1</f>
        <v>493</v>
      </c>
      <c r="H28" s="295"/>
      <c r="I28" s="368"/>
      <c r="J28" s="72"/>
      <c r="K28" s="303"/>
      <c r="L28" s="590">
        <f>F28+90</f>
        <v>583</v>
      </c>
      <c r="M28" s="303">
        <f t="shared" ref="M28" si="41">+L28*$X$1</f>
        <v>583</v>
      </c>
      <c r="N28" s="590">
        <f>F28+55</f>
        <v>548</v>
      </c>
      <c r="O28" s="303">
        <f t="shared" ref="O28" si="42">+N28*$X$1</f>
        <v>548</v>
      </c>
      <c r="P28" s="590">
        <f>F28+50</f>
        <v>543</v>
      </c>
      <c r="Q28" s="303">
        <f t="shared" ref="Q28" si="43">+P28*$X$1</f>
        <v>543</v>
      </c>
      <c r="R28" s="590">
        <f>F28+42</f>
        <v>535</v>
      </c>
      <c r="S28" s="303">
        <f t="shared" ref="S28" si="44">+R28*$X$1</f>
        <v>535</v>
      </c>
      <c r="T28" s="590">
        <f>F28+35</f>
        <v>528</v>
      </c>
      <c r="U28" s="303">
        <f t="shared" ref="U28" si="45">+T28*$X$1</f>
        <v>528</v>
      </c>
      <c r="V28" s="590">
        <f>F28+30</f>
        <v>523</v>
      </c>
      <c r="W28" s="303">
        <f t="shared" ref="W28" si="46">+V28*$X$1</f>
        <v>523</v>
      </c>
      <c r="X28" s="136"/>
      <c r="Y28" s="136"/>
      <c r="Z28" s="136"/>
      <c r="AA28" s="136"/>
      <c r="AB28" s="443">
        <v>45</v>
      </c>
      <c r="AF28" s="766" t="s">
        <v>793</v>
      </c>
      <c r="AG28" s="766"/>
      <c r="AH28" s="766"/>
      <c r="AI28" s="766"/>
      <c r="AJ28" s="766"/>
    </row>
    <row r="29" spans="1:37" ht="12.6" customHeight="1" x14ac:dyDescent="0.2">
      <c r="A29" s="18"/>
      <c r="B29" s="730" t="s">
        <v>43</v>
      </c>
      <c r="C29" s="675"/>
      <c r="D29" s="675"/>
      <c r="E29" s="675"/>
      <c r="F29" s="304">
        <v>570</v>
      </c>
      <c r="G29" s="332">
        <f t="shared" ref="G29:G37" si="47">+F29*$X$1</f>
        <v>570</v>
      </c>
      <c r="H29" s="826" t="s">
        <v>44</v>
      </c>
      <c r="I29" s="826"/>
      <c r="J29" s="827"/>
      <c r="K29" s="828"/>
      <c r="L29" s="294"/>
      <c r="M29" s="369"/>
      <c r="N29" s="91">
        <v>1710</v>
      </c>
      <c r="O29" s="332">
        <f t="shared" ref="O29:O40" si="48">+N29*$X$1</f>
        <v>1710</v>
      </c>
      <c r="P29" s="296">
        <v>1572</v>
      </c>
      <c r="Q29" s="612">
        <f t="shared" ref="Q29:S53" si="49">+P29*$X$1</f>
        <v>1572</v>
      </c>
      <c r="R29" s="104">
        <v>1460</v>
      </c>
      <c r="S29" s="325">
        <f t="shared" si="49"/>
        <v>1460</v>
      </c>
      <c r="T29" s="529">
        <v>1350</v>
      </c>
      <c r="U29" s="325">
        <f t="shared" ref="U29:U46" si="50">+T29*$X$1</f>
        <v>1350</v>
      </c>
      <c r="V29" s="529">
        <v>1311</v>
      </c>
      <c r="W29" s="304">
        <f t="shared" ref="W29:W46" si="51">+V29*$X$1</f>
        <v>1311</v>
      </c>
      <c r="X29" s="626"/>
      <c r="Y29" s="672"/>
      <c r="Z29" s="672"/>
      <c r="AA29" s="673"/>
      <c r="AB29" s="443" t="s">
        <v>45</v>
      </c>
      <c r="AE29" s="73"/>
      <c r="AF29" s="766" t="s">
        <v>618</v>
      </c>
      <c r="AG29" s="766"/>
      <c r="AH29" s="766"/>
      <c r="AI29" s="766"/>
      <c r="AJ29" s="766"/>
    </row>
    <row r="30" spans="1:37" ht="12.6" customHeight="1" x14ac:dyDescent="0.2">
      <c r="A30" s="18"/>
      <c r="B30" s="703" t="s">
        <v>46</v>
      </c>
      <c r="C30" s="629"/>
      <c r="D30" s="629"/>
      <c r="E30" s="629"/>
      <c r="F30" s="303">
        <v>570</v>
      </c>
      <c r="G30" s="333">
        <f t="shared" si="47"/>
        <v>570</v>
      </c>
      <c r="H30" s="744" t="s">
        <v>44</v>
      </c>
      <c r="I30" s="744"/>
      <c r="J30" s="745"/>
      <c r="K30" s="746"/>
      <c r="L30" s="295"/>
      <c r="M30" s="368"/>
      <c r="N30" s="87">
        <v>1710</v>
      </c>
      <c r="O30" s="333">
        <f t="shared" ref="O30:O33" si="52">+N30*$X$1</f>
        <v>1710</v>
      </c>
      <c r="P30" s="342">
        <v>1572</v>
      </c>
      <c r="Q30" s="613">
        <f t="shared" ref="Q30:Q33" si="53">+P30*$X$1</f>
        <v>1572</v>
      </c>
      <c r="R30" s="105">
        <v>1460</v>
      </c>
      <c r="S30" s="268">
        <f t="shared" ref="S30:S33" si="54">+R30*$X$1</f>
        <v>1460</v>
      </c>
      <c r="T30" s="609">
        <v>1350</v>
      </c>
      <c r="U30" s="268">
        <f t="shared" ref="U30:U33" si="55">+T30*$X$1</f>
        <v>1350</v>
      </c>
      <c r="V30" s="609">
        <v>1311</v>
      </c>
      <c r="W30" s="303">
        <f t="shared" ref="W30:W33" si="56">+V30*$X$1</f>
        <v>1311</v>
      </c>
      <c r="X30" s="626"/>
      <c r="Y30" s="672"/>
      <c r="Z30" s="672"/>
      <c r="AA30" s="673"/>
      <c r="AB30" s="443" t="s">
        <v>47</v>
      </c>
    </row>
    <row r="31" spans="1:37" ht="12.6" customHeight="1" x14ac:dyDescent="0.2">
      <c r="A31" s="18"/>
      <c r="B31" s="730" t="s">
        <v>48</v>
      </c>
      <c r="C31" s="675"/>
      <c r="D31" s="675"/>
      <c r="E31" s="675"/>
      <c r="F31" s="304">
        <v>570</v>
      </c>
      <c r="G31" s="332">
        <f t="shared" si="47"/>
        <v>570</v>
      </c>
      <c r="H31" s="741" t="s">
        <v>44</v>
      </c>
      <c r="I31" s="741"/>
      <c r="J31" s="742"/>
      <c r="K31" s="743"/>
      <c r="L31" s="294"/>
      <c r="M31" s="369"/>
      <c r="N31" s="91">
        <v>1710</v>
      </c>
      <c r="O31" s="332">
        <f t="shared" si="52"/>
        <v>1710</v>
      </c>
      <c r="P31" s="296">
        <v>1572</v>
      </c>
      <c r="Q31" s="612">
        <f t="shared" si="53"/>
        <v>1572</v>
      </c>
      <c r="R31" s="104">
        <v>1460</v>
      </c>
      <c r="S31" s="325">
        <f t="shared" si="54"/>
        <v>1460</v>
      </c>
      <c r="T31" s="529">
        <v>1350</v>
      </c>
      <c r="U31" s="325">
        <f t="shared" si="55"/>
        <v>1350</v>
      </c>
      <c r="V31" s="529">
        <v>1311</v>
      </c>
      <c r="W31" s="304">
        <f t="shared" si="56"/>
        <v>1311</v>
      </c>
      <c r="X31" s="626"/>
      <c r="Y31" s="672"/>
      <c r="Z31" s="672"/>
      <c r="AA31" s="673"/>
      <c r="AB31" s="443" t="s">
        <v>49</v>
      </c>
    </row>
    <row r="32" spans="1:37" ht="12.6" customHeight="1" x14ac:dyDescent="0.2">
      <c r="A32" s="18"/>
      <c r="B32" s="703" t="s">
        <v>50</v>
      </c>
      <c r="C32" s="629"/>
      <c r="D32" s="629"/>
      <c r="E32" s="629"/>
      <c r="F32" s="303">
        <v>570</v>
      </c>
      <c r="G32" s="333">
        <f t="shared" si="47"/>
        <v>570</v>
      </c>
      <c r="H32" s="744" t="s">
        <v>44</v>
      </c>
      <c r="I32" s="744"/>
      <c r="J32" s="745"/>
      <c r="K32" s="746"/>
      <c r="L32" s="295"/>
      <c r="M32" s="368"/>
      <c r="N32" s="87">
        <v>1710</v>
      </c>
      <c r="O32" s="333">
        <f t="shared" si="52"/>
        <v>1710</v>
      </c>
      <c r="P32" s="342">
        <v>1572</v>
      </c>
      <c r="Q32" s="613">
        <f t="shared" si="53"/>
        <v>1572</v>
      </c>
      <c r="R32" s="105">
        <v>1460</v>
      </c>
      <c r="S32" s="268">
        <f t="shared" si="54"/>
        <v>1460</v>
      </c>
      <c r="T32" s="609">
        <v>1350</v>
      </c>
      <c r="U32" s="268">
        <f t="shared" si="55"/>
        <v>1350</v>
      </c>
      <c r="V32" s="609">
        <v>1311</v>
      </c>
      <c r="W32" s="303">
        <f t="shared" si="56"/>
        <v>1311</v>
      </c>
      <c r="X32" s="626"/>
      <c r="Y32" s="672"/>
      <c r="Z32" s="672"/>
      <c r="AA32" s="673"/>
      <c r="AB32" s="443" t="s">
        <v>51</v>
      </c>
    </row>
    <row r="33" spans="1:28" ht="12.6" customHeight="1" x14ac:dyDescent="0.2">
      <c r="A33" s="18"/>
      <c r="B33" s="730" t="s">
        <v>52</v>
      </c>
      <c r="C33" s="675"/>
      <c r="D33" s="675"/>
      <c r="E33" s="675"/>
      <c r="F33" s="304">
        <v>570</v>
      </c>
      <c r="G33" s="332">
        <f t="shared" si="47"/>
        <v>570</v>
      </c>
      <c r="H33" s="741" t="s">
        <v>44</v>
      </c>
      <c r="I33" s="741"/>
      <c r="J33" s="742"/>
      <c r="K33" s="743"/>
      <c r="L33" s="294"/>
      <c r="M33" s="369"/>
      <c r="N33" s="91">
        <v>1710</v>
      </c>
      <c r="O33" s="332">
        <f t="shared" si="52"/>
        <v>1710</v>
      </c>
      <c r="P33" s="296">
        <v>1572</v>
      </c>
      <c r="Q33" s="612">
        <f t="shared" si="53"/>
        <v>1572</v>
      </c>
      <c r="R33" s="104">
        <v>1460</v>
      </c>
      <c r="S33" s="325">
        <f t="shared" si="54"/>
        <v>1460</v>
      </c>
      <c r="T33" s="529">
        <v>1350</v>
      </c>
      <c r="U33" s="325">
        <f t="shared" si="55"/>
        <v>1350</v>
      </c>
      <c r="V33" s="529">
        <v>1311</v>
      </c>
      <c r="W33" s="304">
        <f t="shared" si="56"/>
        <v>1311</v>
      </c>
      <c r="X33" s="626"/>
      <c r="Y33" s="672"/>
      <c r="Z33" s="672"/>
      <c r="AA33" s="673"/>
      <c r="AB33" s="443" t="s">
        <v>53</v>
      </c>
    </row>
    <row r="34" spans="1:28" ht="12.6" customHeight="1" x14ac:dyDescent="0.25">
      <c r="A34" s="18"/>
      <c r="B34" s="703" t="s">
        <v>54</v>
      </c>
      <c r="C34" s="629"/>
      <c r="D34" s="629"/>
      <c r="E34" s="629"/>
      <c r="F34" s="303">
        <v>570</v>
      </c>
      <c r="G34" s="333">
        <f t="shared" si="47"/>
        <v>570</v>
      </c>
      <c r="H34" s="744" t="s">
        <v>44</v>
      </c>
      <c r="I34" s="744"/>
      <c r="J34" s="745"/>
      <c r="K34" s="746"/>
      <c r="L34" s="295"/>
      <c r="M34" s="368"/>
      <c r="N34" s="87">
        <v>1480</v>
      </c>
      <c r="O34" s="333">
        <f t="shared" si="48"/>
        <v>1480</v>
      </c>
      <c r="P34" s="342">
        <v>1360</v>
      </c>
      <c r="Q34" s="613">
        <f t="shared" si="49"/>
        <v>1360</v>
      </c>
      <c r="R34" s="609">
        <v>1251</v>
      </c>
      <c r="S34" s="268">
        <f t="shared" si="49"/>
        <v>1251</v>
      </c>
      <c r="T34" s="609">
        <v>1167</v>
      </c>
      <c r="U34" s="268">
        <f t="shared" si="50"/>
        <v>1167</v>
      </c>
      <c r="V34" s="609">
        <v>1114</v>
      </c>
      <c r="W34" s="303">
        <f t="shared" si="51"/>
        <v>1114</v>
      </c>
      <c r="X34" s="626"/>
      <c r="Y34" s="725"/>
      <c r="Z34" s="725"/>
      <c r="AA34" s="726"/>
      <c r="AB34" s="443" t="s">
        <v>481</v>
      </c>
    </row>
    <row r="35" spans="1:28" ht="12.6" customHeight="1" x14ac:dyDescent="0.2">
      <c r="A35" s="18"/>
      <c r="B35" s="730" t="s">
        <v>55</v>
      </c>
      <c r="C35" s="675"/>
      <c r="D35" s="675"/>
      <c r="E35" s="675"/>
      <c r="F35" s="304">
        <v>570</v>
      </c>
      <c r="G35" s="332">
        <f t="shared" si="47"/>
        <v>570</v>
      </c>
      <c r="H35" s="741" t="s">
        <v>44</v>
      </c>
      <c r="I35" s="741"/>
      <c r="J35" s="742"/>
      <c r="K35" s="743"/>
      <c r="L35" s="294"/>
      <c r="M35" s="369"/>
      <c r="N35" s="91">
        <v>1300</v>
      </c>
      <c r="O35" s="332">
        <f t="shared" ref="O35" si="57">+N35*$X$1</f>
        <v>1300</v>
      </c>
      <c r="P35" s="296">
        <v>1195</v>
      </c>
      <c r="Q35" s="612">
        <f t="shared" ref="Q35" si="58">+P35*$X$1</f>
        <v>1195</v>
      </c>
      <c r="R35" s="104">
        <v>1097</v>
      </c>
      <c r="S35" s="325">
        <f t="shared" ref="S35" si="59">+R35*$X$1</f>
        <v>1097</v>
      </c>
      <c r="T35" s="529">
        <v>1010</v>
      </c>
      <c r="U35" s="325">
        <f t="shared" ref="U35" si="60">+T35*$X$1</f>
        <v>1010</v>
      </c>
      <c r="V35" s="529">
        <v>909</v>
      </c>
      <c r="W35" s="304">
        <f t="shared" ref="W35" si="61">+V35*$X$1</f>
        <v>909</v>
      </c>
      <c r="X35" s="626"/>
      <c r="Y35" s="725"/>
      <c r="Z35" s="725"/>
      <c r="AA35" s="726"/>
      <c r="AB35" s="443" t="s">
        <v>479</v>
      </c>
    </row>
    <row r="36" spans="1:28" ht="12.6" customHeight="1" x14ac:dyDescent="0.25">
      <c r="A36" s="18"/>
      <c r="B36" s="703" t="s">
        <v>56</v>
      </c>
      <c r="C36" s="629"/>
      <c r="D36" s="629"/>
      <c r="E36" s="629"/>
      <c r="F36" s="303">
        <v>570</v>
      </c>
      <c r="G36" s="333">
        <f t="shared" si="47"/>
        <v>570</v>
      </c>
      <c r="H36" s="744" t="s">
        <v>44</v>
      </c>
      <c r="I36" s="744"/>
      <c r="J36" s="745"/>
      <c r="K36" s="746"/>
      <c r="L36" s="295"/>
      <c r="M36" s="368"/>
      <c r="N36" s="87">
        <v>1300</v>
      </c>
      <c r="O36" s="333">
        <f t="shared" ref="O36" si="62">+N36*$X$1</f>
        <v>1300</v>
      </c>
      <c r="P36" s="342">
        <v>1195</v>
      </c>
      <c r="Q36" s="613">
        <f t="shared" ref="Q36" si="63">+P36*$X$1</f>
        <v>1195</v>
      </c>
      <c r="R36" s="105">
        <v>1097</v>
      </c>
      <c r="S36" s="268">
        <f t="shared" ref="S36" si="64">+R36*$X$1</f>
        <v>1097</v>
      </c>
      <c r="T36" s="609">
        <v>1010</v>
      </c>
      <c r="U36" s="268">
        <f t="shared" ref="U36" si="65">+T36*$X$1</f>
        <v>1010</v>
      </c>
      <c r="V36" s="609">
        <v>909</v>
      </c>
      <c r="W36" s="303">
        <f t="shared" ref="W36" si="66">+V36*$X$1</f>
        <v>909</v>
      </c>
      <c r="X36" s="626"/>
      <c r="Y36" s="725"/>
      <c r="Z36" s="725"/>
      <c r="AA36" s="726"/>
      <c r="AB36" s="443" t="s">
        <v>482</v>
      </c>
    </row>
    <row r="37" spans="1:28" ht="12.6" customHeight="1" x14ac:dyDescent="0.25">
      <c r="A37" s="18"/>
      <c r="B37" s="730" t="s">
        <v>57</v>
      </c>
      <c r="C37" s="675"/>
      <c r="D37" s="675"/>
      <c r="E37" s="675"/>
      <c r="F37" s="304">
        <v>570</v>
      </c>
      <c r="G37" s="332">
        <f t="shared" si="47"/>
        <v>570</v>
      </c>
      <c r="H37" s="741" t="s">
        <v>44</v>
      </c>
      <c r="I37" s="741"/>
      <c r="J37" s="742"/>
      <c r="K37" s="743"/>
      <c r="L37" s="294"/>
      <c r="M37" s="369"/>
      <c r="N37" s="91">
        <v>1767</v>
      </c>
      <c r="O37" s="332">
        <f t="shared" si="48"/>
        <v>1767</v>
      </c>
      <c r="P37" s="296">
        <v>1634</v>
      </c>
      <c r="Q37" s="612">
        <f t="shared" si="49"/>
        <v>1634</v>
      </c>
      <c r="R37" s="529">
        <v>1513</v>
      </c>
      <c r="S37" s="325">
        <f t="shared" si="49"/>
        <v>1513</v>
      </c>
      <c r="T37" s="529">
        <v>1415</v>
      </c>
      <c r="U37" s="325">
        <f t="shared" si="50"/>
        <v>1415</v>
      </c>
      <c r="V37" s="529">
        <v>1362</v>
      </c>
      <c r="W37" s="304">
        <f t="shared" si="51"/>
        <v>1362</v>
      </c>
      <c r="X37" s="626"/>
      <c r="Y37" s="725"/>
      <c r="Z37" s="725"/>
      <c r="AA37" s="726"/>
      <c r="AB37" s="443" t="s">
        <v>480</v>
      </c>
    </row>
    <row r="38" spans="1:28" ht="12.6" customHeight="1" x14ac:dyDescent="0.2">
      <c r="A38" s="18"/>
      <c r="B38" s="703" t="s">
        <v>483</v>
      </c>
      <c r="C38" s="629"/>
      <c r="D38" s="629"/>
      <c r="E38" s="629"/>
      <c r="F38" s="303">
        <v>570</v>
      </c>
      <c r="G38" s="333">
        <f t="shared" ref="G38" si="67">+F38*$X$1</f>
        <v>570</v>
      </c>
      <c r="H38" s="744" t="s">
        <v>44</v>
      </c>
      <c r="I38" s="744"/>
      <c r="J38" s="745"/>
      <c r="K38" s="746"/>
      <c r="L38" s="295"/>
      <c r="M38" s="368"/>
      <c r="N38" s="87">
        <v>1737</v>
      </c>
      <c r="O38" s="333">
        <f t="shared" ref="O38:O39" si="68">+N38*$X$1</f>
        <v>1737</v>
      </c>
      <c r="P38" s="342">
        <v>1606</v>
      </c>
      <c r="Q38" s="613">
        <f t="shared" si="49"/>
        <v>1606</v>
      </c>
      <c r="R38" s="609">
        <v>1488</v>
      </c>
      <c r="S38" s="268">
        <f t="shared" si="49"/>
        <v>1488</v>
      </c>
      <c r="T38" s="609">
        <v>1408</v>
      </c>
      <c r="U38" s="268">
        <f t="shared" si="50"/>
        <v>1408</v>
      </c>
      <c r="V38" s="609">
        <v>1332</v>
      </c>
      <c r="W38" s="303">
        <f t="shared" si="51"/>
        <v>1332</v>
      </c>
      <c r="X38" s="626"/>
      <c r="Y38" s="725"/>
      <c r="Z38" s="725"/>
      <c r="AA38" s="726"/>
      <c r="AB38" s="443" t="s">
        <v>485</v>
      </c>
    </row>
    <row r="39" spans="1:28" ht="12.6" customHeight="1" x14ac:dyDescent="0.2">
      <c r="A39" s="18"/>
      <c r="B39" s="730" t="s">
        <v>484</v>
      </c>
      <c r="C39" s="675"/>
      <c r="D39" s="675"/>
      <c r="E39" s="675"/>
      <c r="F39" s="304">
        <v>570</v>
      </c>
      <c r="G39" s="332">
        <f t="shared" ref="G39" si="69">+F39*$X$1</f>
        <v>570</v>
      </c>
      <c r="H39" s="741" t="s">
        <v>44</v>
      </c>
      <c r="I39" s="741"/>
      <c r="J39" s="742"/>
      <c r="K39" s="743"/>
      <c r="L39" s="294"/>
      <c r="M39" s="369"/>
      <c r="N39" s="91">
        <v>1480</v>
      </c>
      <c r="O39" s="332">
        <f t="shared" si="68"/>
        <v>1480</v>
      </c>
      <c r="P39" s="296">
        <v>1360</v>
      </c>
      <c r="Q39" s="612">
        <f t="shared" ref="Q39" si="70">+P39*$X$1</f>
        <v>1360</v>
      </c>
      <c r="R39" s="529">
        <v>1251</v>
      </c>
      <c r="S39" s="325">
        <f t="shared" ref="S39" si="71">+R39*$X$1</f>
        <v>1251</v>
      </c>
      <c r="T39" s="529">
        <v>1167</v>
      </c>
      <c r="U39" s="325">
        <f t="shared" ref="U39" si="72">+T39*$X$1</f>
        <v>1167</v>
      </c>
      <c r="V39" s="529">
        <v>1114</v>
      </c>
      <c r="W39" s="304">
        <f t="shared" ref="W39" si="73">+V39*$X$1</f>
        <v>1114</v>
      </c>
      <c r="X39" s="626"/>
      <c r="Y39" s="725"/>
      <c r="Z39" s="725"/>
      <c r="AA39" s="726"/>
      <c r="AB39" s="443" t="s">
        <v>486</v>
      </c>
    </row>
    <row r="40" spans="1:28" ht="12.6" customHeight="1" x14ac:dyDescent="0.2">
      <c r="A40" s="18"/>
      <c r="B40" s="703" t="s">
        <v>58</v>
      </c>
      <c r="C40" s="629"/>
      <c r="D40" s="629"/>
      <c r="E40" s="629"/>
      <c r="F40" s="303">
        <v>1193</v>
      </c>
      <c r="G40" s="333">
        <f t="shared" ref="G40:G48" si="74">+F40*$X$1</f>
        <v>1193</v>
      </c>
      <c r="H40" s="1015" t="s">
        <v>59</v>
      </c>
      <c r="I40" s="1015"/>
      <c r="J40" s="1016"/>
      <c r="K40" s="1017"/>
      <c r="L40" s="295"/>
      <c r="M40" s="368"/>
      <c r="N40" s="87">
        <v>2110</v>
      </c>
      <c r="O40" s="333">
        <f t="shared" si="48"/>
        <v>2110</v>
      </c>
      <c r="P40" s="342">
        <v>1957</v>
      </c>
      <c r="Q40" s="613">
        <f t="shared" si="49"/>
        <v>1957</v>
      </c>
      <c r="R40" s="609">
        <v>1808</v>
      </c>
      <c r="S40" s="268">
        <f t="shared" si="49"/>
        <v>1808</v>
      </c>
      <c r="T40" s="609">
        <v>1685</v>
      </c>
      <c r="U40" s="268">
        <f t="shared" si="50"/>
        <v>1685</v>
      </c>
      <c r="V40" s="609">
        <v>1622</v>
      </c>
      <c r="W40" s="303">
        <f t="shared" si="51"/>
        <v>1622</v>
      </c>
      <c r="X40" s="626"/>
      <c r="Y40" s="725"/>
      <c r="Z40" s="725"/>
      <c r="AA40" s="726"/>
      <c r="AB40" s="444" t="s">
        <v>60</v>
      </c>
    </row>
    <row r="41" spans="1:28" ht="12.6" customHeight="1" x14ac:dyDescent="0.2">
      <c r="A41" s="18"/>
      <c r="B41" s="730" t="s">
        <v>61</v>
      </c>
      <c r="C41" s="675"/>
      <c r="D41" s="675"/>
      <c r="E41" s="675"/>
      <c r="F41" s="304">
        <v>1193</v>
      </c>
      <c r="G41" s="332">
        <f t="shared" si="74"/>
        <v>1193</v>
      </c>
      <c r="H41" s="1019" t="s">
        <v>59</v>
      </c>
      <c r="I41" s="1019"/>
      <c r="J41" s="1020"/>
      <c r="K41" s="1021"/>
      <c r="L41" s="294"/>
      <c r="M41" s="369"/>
      <c r="N41" s="91">
        <v>2110</v>
      </c>
      <c r="O41" s="332">
        <f t="shared" ref="O41:O42" si="75">+N41*$X$1</f>
        <v>2110</v>
      </c>
      <c r="P41" s="296">
        <v>1957</v>
      </c>
      <c r="Q41" s="612">
        <f t="shared" ref="Q41:Q42" si="76">+P41*$X$1</f>
        <v>1957</v>
      </c>
      <c r="R41" s="529">
        <v>1808</v>
      </c>
      <c r="S41" s="325">
        <f t="shared" ref="S41:S42" si="77">+R41*$X$1</f>
        <v>1808</v>
      </c>
      <c r="T41" s="529">
        <v>1685</v>
      </c>
      <c r="U41" s="325">
        <f t="shared" ref="U41:U42" si="78">+T41*$X$1</f>
        <v>1685</v>
      </c>
      <c r="V41" s="529">
        <v>1622</v>
      </c>
      <c r="W41" s="304">
        <f t="shared" ref="W41:W42" si="79">+V41*$X$1</f>
        <v>1622</v>
      </c>
      <c r="X41" s="626"/>
      <c r="Y41" s="725"/>
      <c r="Z41" s="725"/>
      <c r="AA41" s="726"/>
      <c r="AB41" s="444" t="s">
        <v>62</v>
      </c>
    </row>
    <row r="42" spans="1:28" ht="12.6" customHeight="1" x14ac:dyDescent="0.2">
      <c r="A42" s="18"/>
      <c r="B42" s="703" t="s">
        <v>63</v>
      </c>
      <c r="C42" s="629"/>
      <c r="D42" s="629"/>
      <c r="E42" s="629"/>
      <c r="F42" s="303">
        <v>1193</v>
      </c>
      <c r="G42" s="333">
        <f t="shared" si="74"/>
        <v>1193</v>
      </c>
      <c r="H42" s="744" t="s">
        <v>59</v>
      </c>
      <c r="I42" s="744"/>
      <c r="J42" s="745"/>
      <c r="K42" s="746"/>
      <c r="L42" s="295"/>
      <c r="M42" s="368"/>
      <c r="N42" s="87">
        <v>2110</v>
      </c>
      <c r="O42" s="333">
        <f t="shared" si="75"/>
        <v>2110</v>
      </c>
      <c r="P42" s="342">
        <v>1957</v>
      </c>
      <c r="Q42" s="613">
        <f t="shared" si="76"/>
        <v>1957</v>
      </c>
      <c r="R42" s="609">
        <v>1808</v>
      </c>
      <c r="S42" s="268">
        <f t="shared" si="77"/>
        <v>1808</v>
      </c>
      <c r="T42" s="609">
        <v>1685</v>
      </c>
      <c r="U42" s="268">
        <f t="shared" si="78"/>
        <v>1685</v>
      </c>
      <c r="V42" s="609">
        <v>1622</v>
      </c>
      <c r="W42" s="303">
        <f t="shared" si="79"/>
        <v>1622</v>
      </c>
      <c r="X42" s="626"/>
      <c r="Y42" s="725"/>
      <c r="Z42" s="725"/>
      <c r="AA42" s="726"/>
      <c r="AB42" s="444" t="s">
        <v>64</v>
      </c>
    </row>
    <row r="43" spans="1:28" ht="12.6" customHeight="1" x14ac:dyDescent="0.2">
      <c r="A43" s="18"/>
      <c r="B43" s="730" t="s">
        <v>577</v>
      </c>
      <c r="C43" s="675"/>
      <c r="D43" s="675"/>
      <c r="E43" s="675"/>
      <c r="F43" s="304">
        <v>1287</v>
      </c>
      <c r="G43" s="332">
        <f t="shared" ref="G43" si="80">+F43*$X$1</f>
        <v>1287</v>
      </c>
      <c r="H43" s="826" t="s">
        <v>59</v>
      </c>
      <c r="I43" s="826"/>
      <c r="J43" s="827"/>
      <c r="K43" s="828"/>
      <c r="L43" s="294"/>
      <c r="M43" s="369"/>
      <c r="N43" s="91">
        <v>2232</v>
      </c>
      <c r="O43" s="332">
        <f t="shared" ref="O43" si="81">+N43*$X$1</f>
        <v>2232</v>
      </c>
      <c r="P43" s="296">
        <v>2083</v>
      </c>
      <c r="Q43" s="612">
        <f t="shared" ref="Q43" si="82">+P43*$X$1</f>
        <v>2083</v>
      </c>
      <c r="R43" s="529">
        <v>1909</v>
      </c>
      <c r="S43" s="325">
        <f t="shared" ref="S43" si="83">+R43*$X$1</f>
        <v>1909</v>
      </c>
      <c r="T43" s="529">
        <v>1794</v>
      </c>
      <c r="U43" s="325">
        <f t="shared" ref="U43" si="84">+T43*$X$1</f>
        <v>1794</v>
      </c>
      <c r="V43" s="529">
        <v>1716</v>
      </c>
      <c r="W43" s="304">
        <f t="shared" ref="W43" si="85">+V43*$X$1</f>
        <v>1716</v>
      </c>
      <c r="X43" s="626"/>
      <c r="Y43" s="725"/>
      <c r="Z43" s="725"/>
      <c r="AA43" s="726"/>
      <c r="AB43" s="445" t="s">
        <v>587</v>
      </c>
    </row>
    <row r="44" spans="1:28" ht="12.6" customHeight="1" x14ac:dyDescent="0.2">
      <c r="A44" s="18"/>
      <c r="B44" s="703" t="s">
        <v>578</v>
      </c>
      <c r="C44" s="629"/>
      <c r="D44" s="629"/>
      <c r="E44" s="629"/>
      <c r="F44" s="303">
        <v>1278</v>
      </c>
      <c r="G44" s="333">
        <f t="shared" ref="G44" si="86">+F44*$X$1</f>
        <v>1278</v>
      </c>
      <c r="H44" s="1015" t="s">
        <v>59</v>
      </c>
      <c r="I44" s="1015"/>
      <c r="J44" s="1016"/>
      <c r="K44" s="1017"/>
      <c r="L44" s="295"/>
      <c r="M44" s="368"/>
      <c r="N44" s="87">
        <v>2232</v>
      </c>
      <c r="O44" s="333">
        <f t="shared" ref="O44:O45" si="87">+N44*$X$1</f>
        <v>2232</v>
      </c>
      <c r="P44" s="342">
        <v>2083</v>
      </c>
      <c r="Q44" s="613">
        <f t="shared" ref="Q44:Q45" si="88">+P44*$X$1</f>
        <v>2083</v>
      </c>
      <c r="R44" s="609">
        <v>1909</v>
      </c>
      <c r="S44" s="268">
        <f t="shared" ref="S44:S45" si="89">+R44*$X$1</f>
        <v>1909</v>
      </c>
      <c r="T44" s="609">
        <v>1794</v>
      </c>
      <c r="U44" s="268">
        <f t="shared" ref="U44:U45" si="90">+T44*$X$1</f>
        <v>1794</v>
      </c>
      <c r="V44" s="609">
        <v>1716</v>
      </c>
      <c r="W44" s="303">
        <f t="shared" ref="W44:W45" si="91">+V44*$X$1</f>
        <v>1716</v>
      </c>
      <c r="X44" s="626"/>
      <c r="Y44" s="725"/>
      <c r="Z44" s="725"/>
      <c r="AA44" s="726"/>
      <c r="AB44" s="445" t="s">
        <v>588</v>
      </c>
    </row>
    <row r="45" spans="1:28" ht="12.6" customHeight="1" x14ac:dyDescent="0.2">
      <c r="A45" s="18"/>
      <c r="B45" s="730" t="s">
        <v>579</v>
      </c>
      <c r="C45" s="675"/>
      <c r="D45" s="675"/>
      <c r="E45" s="675"/>
      <c r="F45" s="304">
        <v>1278</v>
      </c>
      <c r="G45" s="332">
        <f t="shared" ref="G45" si="92">+F45*$X$1</f>
        <v>1278</v>
      </c>
      <c r="H45" s="826" t="s">
        <v>59</v>
      </c>
      <c r="I45" s="826"/>
      <c r="J45" s="827"/>
      <c r="K45" s="828"/>
      <c r="L45" s="294"/>
      <c r="M45" s="369"/>
      <c r="N45" s="91">
        <v>2232</v>
      </c>
      <c r="O45" s="332">
        <f t="shared" si="87"/>
        <v>2232</v>
      </c>
      <c r="P45" s="296">
        <v>2083</v>
      </c>
      <c r="Q45" s="612">
        <f t="shared" si="88"/>
        <v>2083</v>
      </c>
      <c r="R45" s="529">
        <v>1909</v>
      </c>
      <c r="S45" s="325">
        <f t="shared" si="89"/>
        <v>1909</v>
      </c>
      <c r="T45" s="529">
        <v>1794</v>
      </c>
      <c r="U45" s="325">
        <f t="shared" si="90"/>
        <v>1794</v>
      </c>
      <c r="V45" s="529">
        <v>1716</v>
      </c>
      <c r="W45" s="304">
        <f t="shared" si="91"/>
        <v>1716</v>
      </c>
      <c r="X45" s="626"/>
      <c r="Y45" s="725"/>
      <c r="Z45" s="725"/>
      <c r="AA45" s="726"/>
      <c r="AB45" s="445" t="s">
        <v>589</v>
      </c>
    </row>
    <row r="46" spans="1:28" ht="12.6" customHeight="1" x14ac:dyDescent="0.2">
      <c r="A46" s="18"/>
      <c r="B46" s="703" t="s">
        <v>65</v>
      </c>
      <c r="C46" s="629"/>
      <c r="D46" s="629"/>
      <c r="E46" s="629"/>
      <c r="F46" s="303">
        <v>1601</v>
      </c>
      <c r="G46" s="333">
        <f t="shared" si="74"/>
        <v>1601</v>
      </c>
      <c r="H46" s="744" t="s">
        <v>59</v>
      </c>
      <c r="I46" s="744"/>
      <c r="J46" s="745"/>
      <c r="K46" s="746"/>
      <c r="L46" s="295"/>
      <c r="M46" s="368"/>
      <c r="N46" s="72">
        <v>2938</v>
      </c>
      <c r="O46" s="327">
        <f t="shared" ref="O46" si="93">+N46*$X$1</f>
        <v>2938</v>
      </c>
      <c r="P46" s="342">
        <v>2718</v>
      </c>
      <c r="Q46" s="344">
        <f t="shared" si="49"/>
        <v>2718</v>
      </c>
      <c r="R46" s="609">
        <v>2517</v>
      </c>
      <c r="S46" s="303">
        <f t="shared" si="49"/>
        <v>2517</v>
      </c>
      <c r="T46" s="609">
        <v>2341</v>
      </c>
      <c r="U46" s="303">
        <f t="shared" si="50"/>
        <v>2341</v>
      </c>
      <c r="V46" s="609">
        <v>2267</v>
      </c>
      <c r="W46" s="303">
        <f t="shared" si="51"/>
        <v>2267</v>
      </c>
      <c r="X46" s="626"/>
      <c r="Y46" s="725"/>
      <c r="Z46" s="725"/>
      <c r="AA46" s="726"/>
      <c r="AB46" s="445" t="s">
        <v>66</v>
      </c>
    </row>
    <row r="47" spans="1:28" ht="12.6" customHeight="1" x14ac:dyDescent="0.2">
      <c r="A47" s="18"/>
      <c r="B47" s="730" t="s">
        <v>67</v>
      </c>
      <c r="C47" s="675"/>
      <c r="D47" s="675"/>
      <c r="E47" s="675"/>
      <c r="F47" s="304">
        <v>1601</v>
      </c>
      <c r="G47" s="332">
        <f t="shared" si="74"/>
        <v>1601</v>
      </c>
      <c r="H47" s="826" t="s">
        <v>59</v>
      </c>
      <c r="I47" s="826"/>
      <c r="J47" s="827"/>
      <c r="K47" s="828"/>
      <c r="L47" s="294"/>
      <c r="M47" s="369"/>
      <c r="N47" s="90">
        <v>2938</v>
      </c>
      <c r="O47" s="364">
        <f t="shared" ref="O47:O48" si="94">+N47*$X$1</f>
        <v>2938</v>
      </c>
      <c r="P47" s="296">
        <v>2718</v>
      </c>
      <c r="Q47" s="343">
        <f t="shared" ref="Q47:Q48" si="95">+P47*$X$1</f>
        <v>2718</v>
      </c>
      <c r="R47" s="529">
        <v>2517</v>
      </c>
      <c r="S47" s="304">
        <f t="shared" ref="S47:S48" si="96">+R47*$X$1</f>
        <v>2517</v>
      </c>
      <c r="T47" s="529">
        <v>2341</v>
      </c>
      <c r="U47" s="304">
        <f t="shared" ref="U47:U48" si="97">+T47*$X$1</f>
        <v>2341</v>
      </c>
      <c r="V47" s="529">
        <v>2267</v>
      </c>
      <c r="W47" s="304">
        <f t="shared" ref="W47:W48" si="98">+V47*$X$1</f>
        <v>2267</v>
      </c>
      <c r="X47" s="626"/>
      <c r="Y47" s="725"/>
      <c r="Z47" s="725"/>
      <c r="AA47" s="726"/>
      <c r="AB47" s="445" t="s">
        <v>68</v>
      </c>
    </row>
    <row r="48" spans="1:28" ht="12.6" customHeight="1" x14ac:dyDescent="0.2">
      <c r="A48" s="18"/>
      <c r="B48" s="703" t="s">
        <v>69</v>
      </c>
      <c r="C48" s="629"/>
      <c r="D48" s="629"/>
      <c r="E48" s="629"/>
      <c r="F48" s="303">
        <v>1601</v>
      </c>
      <c r="G48" s="363">
        <f t="shared" si="74"/>
        <v>1601</v>
      </c>
      <c r="H48" s="744" t="s">
        <v>59</v>
      </c>
      <c r="I48" s="744"/>
      <c r="J48" s="745"/>
      <c r="K48" s="795"/>
      <c r="L48" s="295"/>
      <c r="M48" s="368"/>
      <c r="N48" s="72">
        <v>2938</v>
      </c>
      <c r="O48" s="327">
        <f t="shared" si="94"/>
        <v>2938</v>
      </c>
      <c r="P48" s="342">
        <v>2718</v>
      </c>
      <c r="Q48" s="344">
        <f t="shared" si="95"/>
        <v>2718</v>
      </c>
      <c r="R48" s="609">
        <v>2517</v>
      </c>
      <c r="S48" s="303">
        <f t="shared" si="96"/>
        <v>2517</v>
      </c>
      <c r="T48" s="609">
        <v>2341</v>
      </c>
      <c r="U48" s="303">
        <f t="shared" si="97"/>
        <v>2341</v>
      </c>
      <c r="V48" s="609">
        <v>2267</v>
      </c>
      <c r="W48" s="303">
        <f t="shared" si="98"/>
        <v>2267</v>
      </c>
      <c r="X48" s="626"/>
      <c r="Y48" s="725"/>
      <c r="Z48" s="725"/>
      <c r="AA48" s="726"/>
      <c r="AB48" s="445" t="s">
        <v>70</v>
      </c>
    </row>
    <row r="49" spans="1:35" ht="12.6" customHeight="1" x14ac:dyDescent="0.2">
      <c r="A49" s="18"/>
      <c r="B49" s="730" t="s">
        <v>71</v>
      </c>
      <c r="C49" s="675"/>
      <c r="D49" s="675"/>
      <c r="E49" s="679"/>
      <c r="F49" s="822" t="s">
        <v>439</v>
      </c>
      <c r="G49" s="745"/>
      <c r="H49" s="745"/>
      <c r="I49" s="745"/>
      <c r="J49" s="273"/>
      <c r="K49" s="421"/>
      <c r="L49" s="422"/>
      <c r="M49" s="304"/>
      <c r="N49" s="424"/>
      <c r="O49" s="332"/>
      <c r="P49" s="294"/>
      <c r="Q49" s="343"/>
      <c r="R49" s="104"/>
      <c r="S49" s="325"/>
      <c r="T49" s="104"/>
      <c r="U49" s="325"/>
      <c r="V49" s="104"/>
      <c r="W49" s="304"/>
      <c r="X49" s="136"/>
      <c r="Y49" s="136"/>
      <c r="Z49" s="136"/>
      <c r="AA49" s="136"/>
      <c r="AB49" s="443" t="s">
        <v>72</v>
      </c>
    </row>
    <row r="50" spans="1:35" ht="12.6" customHeight="1" x14ac:dyDescent="0.2">
      <c r="A50" s="18"/>
      <c r="B50" s="703" t="s">
        <v>73</v>
      </c>
      <c r="C50" s="629"/>
      <c r="D50" s="629"/>
      <c r="E50" s="690"/>
      <c r="F50" s="745"/>
      <c r="G50" s="745"/>
      <c r="H50" s="745"/>
      <c r="I50" s="745"/>
      <c r="J50" s="17"/>
      <c r="K50" s="300"/>
      <c r="L50" s="275"/>
      <c r="M50" s="303"/>
      <c r="N50" s="220"/>
      <c r="O50" s="333"/>
      <c r="P50" s="300"/>
      <c r="Q50" s="344"/>
      <c r="R50" s="337"/>
      <c r="S50" s="268"/>
      <c r="T50" s="337"/>
      <c r="U50" s="268"/>
      <c r="V50" s="337"/>
      <c r="W50" s="303"/>
      <c r="X50" s="136"/>
      <c r="Y50" s="136"/>
      <c r="Z50" s="136"/>
      <c r="AA50" s="136"/>
      <c r="AB50" s="443" t="s">
        <v>74</v>
      </c>
    </row>
    <row r="51" spans="1:35" ht="12.6" customHeight="1" x14ac:dyDescent="0.2">
      <c r="A51" s="18"/>
      <c r="B51" s="730" t="s">
        <v>458</v>
      </c>
      <c r="C51" s="675"/>
      <c r="D51" s="675"/>
      <c r="E51" s="679"/>
      <c r="F51" s="745"/>
      <c r="G51" s="745"/>
      <c r="H51" s="745"/>
      <c r="I51" s="745"/>
      <c r="J51" s="273"/>
      <c r="K51" s="294"/>
      <c r="L51" s="320"/>
      <c r="M51" s="304"/>
      <c r="N51" s="321"/>
      <c r="O51" s="379"/>
      <c r="P51" s="294"/>
      <c r="Q51" s="343"/>
      <c r="R51" s="96"/>
      <c r="S51" s="374"/>
      <c r="T51" s="96"/>
      <c r="U51" s="374"/>
      <c r="V51" s="96"/>
      <c r="W51" s="304"/>
      <c r="X51" s="136"/>
      <c r="Y51" s="136"/>
      <c r="Z51" s="136"/>
      <c r="AA51" s="136"/>
      <c r="AB51" s="36">
        <v>48</v>
      </c>
      <c r="AC51" s="446" t="s">
        <v>75</v>
      </c>
      <c r="AD51" s="446" t="s">
        <v>76</v>
      </c>
      <c r="AE51" s="446" t="s">
        <v>77</v>
      </c>
    </row>
    <row r="52" spans="1:35" ht="12.6" customHeight="1" x14ac:dyDescent="0.2">
      <c r="A52" s="18"/>
      <c r="B52" s="862" t="s">
        <v>78</v>
      </c>
      <c r="C52" s="863"/>
      <c r="D52" s="863"/>
      <c r="E52" s="863"/>
      <c r="F52" s="745"/>
      <c r="G52" s="745"/>
      <c r="H52" s="745"/>
      <c r="I52" s="745"/>
      <c r="J52" s="17"/>
      <c r="K52" s="17"/>
      <c r="L52" s="275"/>
      <c r="M52" s="271"/>
      <c r="N52" s="220"/>
      <c r="O52" s="245"/>
      <c r="P52" s="121"/>
      <c r="Q52" s="277"/>
      <c r="R52" s="245"/>
      <c r="S52" s="245"/>
      <c r="T52" s="245"/>
      <c r="U52" s="245"/>
      <c r="V52" s="93"/>
      <c r="W52" s="93"/>
      <c r="X52" s="173"/>
      <c r="Y52" s="173"/>
      <c r="Z52" s="173"/>
      <c r="AA52" s="173"/>
      <c r="AB52" s="201">
        <v>54</v>
      </c>
    </row>
    <row r="53" spans="1:35" ht="12.6" customHeight="1" x14ac:dyDescent="0.2">
      <c r="A53" s="18"/>
      <c r="B53" s="730" t="s">
        <v>79</v>
      </c>
      <c r="C53" s="675"/>
      <c r="D53" s="675"/>
      <c r="E53" s="675"/>
      <c r="F53" s="304">
        <v>820</v>
      </c>
      <c r="G53" s="325">
        <f t="shared" ref="G53:G56" si="99">+F53*$X$1</f>
        <v>820</v>
      </c>
      <c r="H53" s="128"/>
      <c r="I53" s="304"/>
      <c r="J53" s="529">
        <f>F53+225</f>
        <v>1045</v>
      </c>
      <c r="K53" s="304">
        <f t="shared" ref="K53" si="100">+J53*$X$1</f>
        <v>1045</v>
      </c>
      <c r="L53" s="529">
        <f>F53+135</f>
        <v>955</v>
      </c>
      <c r="M53" s="304">
        <f t="shared" ref="M53" si="101">+L53*$X$1</f>
        <v>955</v>
      </c>
      <c r="N53" s="104">
        <f>F53+83</f>
        <v>903</v>
      </c>
      <c r="O53" s="325">
        <f t="shared" ref="O53" si="102">+N53*$X$1</f>
        <v>903</v>
      </c>
      <c r="P53" s="104">
        <f>F53+75</f>
        <v>895</v>
      </c>
      <c r="Q53" s="304">
        <f t="shared" si="49"/>
        <v>895</v>
      </c>
      <c r="R53" s="104">
        <f>F53+63</f>
        <v>883</v>
      </c>
      <c r="S53" s="325">
        <f t="shared" ref="S53" si="103">+R53*$X$1</f>
        <v>883</v>
      </c>
      <c r="T53" s="104">
        <f>F53+53</f>
        <v>873</v>
      </c>
      <c r="U53" s="325">
        <f t="shared" ref="U53" si="104">+T53*$X$1</f>
        <v>873</v>
      </c>
      <c r="V53" s="104">
        <f>F53+45</f>
        <v>865</v>
      </c>
      <c r="W53" s="304">
        <f t="shared" ref="W53" si="105">+V53*$X$1</f>
        <v>865</v>
      </c>
      <c r="X53" s="135"/>
      <c r="Y53" s="136"/>
      <c r="Z53" s="136"/>
      <c r="AA53" s="136"/>
      <c r="AB53" s="443">
        <v>60</v>
      </c>
    </row>
    <row r="54" spans="1:35" ht="12.6" customHeight="1" x14ac:dyDescent="0.2">
      <c r="A54" s="18"/>
      <c r="B54" s="703" t="s">
        <v>557</v>
      </c>
      <c r="C54" s="629"/>
      <c r="D54" s="629"/>
      <c r="E54" s="629"/>
      <c r="F54" s="303">
        <v>880</v>
      </c>
      <c r="G54" s="268">
        <f t="shared" si="99"/>
        <v>880</v>
      </c>
      <c r="H54" s="127"/>
      <c r="I54" s="303"/>
      <c r="J54" s="590">
        <f>F54+225</f>
        <v>1105</v>
      </c>
      <c r="K54" s="303">
        <f t="shared" ref="K54:K56" si="106">+J54*$X$1</f>
        <v>1105</v>
      </c>
      <c r="L54" s="590">
        <f>F54+135</f>
        <v>1015</v>
      </c>
      <c r="M54" s="303">
        <f t="shared" ref="M54:M56" si="107">+L54*$X$1</f>
        <v>1015</v>
      </c>
      <c r="N54" s="105">
        <f>F54+83</f>
        <v>963</v>
      </c>
      <c r="O54" s="268">
        <f t="shared" ref="O54:O56" si="108">+N54*$X$1</f>
        <v>963</v>
      </c>
      <c r="P54" s="105">
        <f>F54+75</f>
        <v>955</v>
      </c>
      <c r="Q54" s="303">
        <f t="shared" ref="Q54:Q56" si="109">+P54*$X$1</f>
        <v>955</v>
      </c>
      <c r="R54" s="105">
        <f>F54+63</f>
        <v>943</v>
      </c>
      <c r="S54" s="268">
        <f t="shared" ref="S54:S56" si="110">+R54*$X$1</f>
        <v>943</v>
      </c>
      <c r="T54" s="105">
        <f>F54+53</f>
        <v>933</v>
      </c>
      <c r="U54" s="268">
        <f t="shared" ref="U54:U56" si="111">+T54*$X$1</f>
        <v>933</v>
      </c>
      <c r="V54" s="105">
        <f>F54+45</f>
        <v>925</v>
      </c>
      <c r="W54" s="303">
        <f t="shared" ref="W54:W56" si="112">+V54*$X$1</f>
        <v>925</v>
      </c>
      <c r="X54" s="135"/>
      <c r="Y54" s="136"/>
      <c r="Z54" s="136"/>
      <c r="AA54" s="136"/>
      <c r="AB54" s="443">
        <v>61</v>
      </c>
    </row>
    <row r="55" spans="1:35" ht="12.6" customHeight="1" x14ac:dyDescent="0.2">
      <c r="A55" s="18"/>
      <c r="B55" s="1018" t="s">
        <v>80</v>
      </c>
      <c r="C55" s="914"/>
      <c r="D55" s="914"/>
      <c r="E55" s="914"/>
      <c r="F55" s="306">
        <v>840</v>
      </c>
      <c r="G55" s="374">
        <f t="shared" si="99"/>
        <v>840</v>
      </c>
      <c r="H55" s="473"/>
      <c r="I55" s="304"/>
      <c r="J55" s="529">
        <f>F55+225</f>
        <v>1065</v>
      </c>
      <c r="K55" s="304">
        <f t="shared" si="106"/>
        <v>1065</v>
      </c>
      <c r="L55" s="529">
        <f>F55+135</f>
        <v>975</v>
      </c>
      <c r="M55" s="304">
        <f t="shared" si="107"/>
        <v>975</v>
      </c>
      <c r="N55" s="104">
        <f>F55+83</f>
        <v>923</v>
      </c>
      <c r="O55" s="325">
        <f t="shared" si="108"/>
        <v>923</v>
      </c>
      <c r="P55" s="104">
        <f>F55+75</f>
        <v>915</v>
      </c>
      <c r="Q55" s="304">
        <f t="shared" si="109"/>
        <v>915</v>
      </c>
      <c r="R55" s="104">
        <f>F55+63</f>
        <v>903</v>
      </c>
      <c r="S55" s="325">
        <f t="shared" si="110"/>
        <v>903</v>
      </c>
      <c r="T55" s="104">
        <f>F55+53</f>
        <v>893</v>
      </c>
      <c r="U55" s="325">
        <f t="shared" si="111"/>
        <v>893</v>
      </c>
      <c r="V55" s="104">
        <f>F55+45</f>
        <v>885</v>
      </c>
      <c r="W55" s="304">
        <f t="shared" si="112"/>
        <v>885</v>
      </c>
      <c r="X55" s="135"/>
      <c r="Y55" s="136"/>
      <c r="Z55" s="136"/>
      <c r="AA55" s="136"/>
      <c r="AB55" s="443">
        <v>62</v>
      </c>
    </row>
    <row r="56" spans="1:35" ht="12.6" customHeight="1" x14ac:dyDescent="0.2">
      <c r="A56" s="18"/>
      <c r="B56" s="703" t="s">
        <v>81</v>
      </c>
      <c r="C56" s="649"/>
      <c r="D56" s="649"/>
      <c r="E56" s="649"/>
      <c r="F56" s="303">
        <v>900</v>
      </c>
      <c r="G56" s="303">
        <f t="shared" si="99"/>
        <v>900</v>
      </c>
      <c r="H56" s="127"/>
      <c r="I56" s="303"/>
      <c r="J56" s="590">
        <f>F56+225</f>
        <v>1125</v>
      </c>
      <c r="K56" s="303">
        <f t="shared" si="106"/>
        <v>1125</v>
      </c>
      <c r="L56" s="590">
        <f>F56+135</f>
        <v>1035</v>
      </c>
      <c r="M56" s="303">
        <f t="shared" si="107"/>
        <v>1035</v>
      </c>
      <c r="N56" s="105">
        <f>F56+83</f>
        <v>983</v>
      </c>
      <c r="O56" s="268">
        <f t="shared" si="108"/>
        <v>983</v>
      </c>
      <c r="P56" s="105">
        <f>F56+75</f>
        <v>975</v>
      </c>
      <c r="Q56" s="303">
        <f t="shared" si="109"/>
        <v>975</v>
      </c>
      <c r="R56" s="105">
        <f>F56+63</f>
        <v>963</v>
      </c>
      <c r="S56" s="268">
        <f t="shared" si="110"/>
        <v>963</v>
      </c>
      <c r="T56" s="105">
        <f>F56+53</f>
        <v>953</v>
      </c>
      <c r="U56" s="268">
        <f t="shared" si="111"/>
        <v>953</v>
      </c>
      <c r="V56" s="105">
        <f>F56+45</f>
        <v>945</v>
      </c>
      <c r="W56" s="303">
        <f t="shared" si="112"/>
        <v>945</v>
      </c>
      <c r="X56" s="135"/>
      <c r="Y56" s="136"/>
      <c r="Z56" s="136"/>
      <c r="AA56" s="136"/>
      <c r="AB56" s="44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30" t="s">
        <v>553</v>
      </c>
      <c r="C57" s="675"/>
      <c r="D57" s="675"/>
      <c r="E57" s="675"/>
      <c r="F57" s="304">
        <v>980</v>
      </c>
      <c r="G57" s="304">
        <f t="shared" ref="G57" si="113">+F57*$X$1</f>
        <v>980</v>
      </c>
      <c r="H57" s="128"/>
      <c r="I57" s="304"/>
      <c r="J57" s="529">
        <f>F57+290</f>
        <v>1270</v>
      </c>
      <c r="K57" s="304">
        <f t="shared" ref="K57" si="114">+J57*$X$1</f>
        <v>1270</v>
      </c>
      <c r="L57" s="529">
        <f>F57+180</f>
        <v>1160</v>
      </c>
      <c r="M57" s="304">
        <f t="shared" ref="M57:M58" si="115">+L57*$X$1</f>
        <v>1160</v>
      </c>
      <c r="N57" s="104">
        <f>F57+140</f>
        <v>1120</v>
      </c>
      <c r="O57" s="325">
        <f t="shared" ref="O57:O58" si="116">+N57*$X$1</f>
        <v>1120</v>
      </c>
      <c r="P57" s="104">
        <f>F57+125</f>
        <v>1105</v>
      </c>
      <c r="Q57" s="304">
        <f t="shared" ref="Q57:Q58" si="117">+P57*$X$1</f>
        <v>1105</v>
      </c>
      <c r="R57" s="104">
        <f>F57+110</f>
        <v>1090</v>
      </c>
      <c r="S57" s="325">
        <f t="shared" ref="S57:S58" si="118">+R57*$X$1</f>
        <v>1090</v>
      </c>
      <c r="T57" s="104">
        <f>F57+100</f>
        <v>1080</v>
      </c>
      <c r="U57" s="325">
        <f t="shared" ref="U57:U58" si="119">+T57*$X$1</f>
        <v>1080</v>
      </c>
      <c r="V57" s="104">
        <f>F57+90</f>
        <v>1070</v>
      </c>
      <c r="W57" s="304">
        <f t="shared" ref="W57:W58" si="120">+V57*$X$1</f>
        <v>1070</v>
      </c>
      <c r="X57" s="135"/>
      <c r="Y57" s="136"/>
      <c r="Z57" s="136"/>
      <c r="AA57" s="136"/>
      <c r="AB57" s="443">
        <v>64</v>
      </c>
    </row>
    <row r="58" spans="1:35" ht="12.6" customHeight="1" x14ac:dyDescent="0.2">
      <c r="A58" s="18"/>
      <c r="B58" s="864" t="s">
        <v>748</v>
      </c>
      <c r="C58" s="865"/>
      <c r="D58" s="865"/>
      <c r="E58" s="865"/>
      <c r="F58" s="362">
        <v>250</v>
      </c>
      <c r="G58" s="362">
        <f t="shared" ref="G58:G68" si="121">+F58*$X$1</f>
        <v>250</v>
      </c>
      <c r="H58" s="301"/>
      <c r="I58" s="367"/>
      <c r="J58" s="487"/>
      <c r="K58" s="362"/>
      <c r="L58" s="591">
        <f>F58+110</f>
        <v>360</v>
      </c>
      <c r="M58" s="361">
        <f t="shared" si="115"/>
        <v>360</v>
      </c>
      <c r="N58" s="591">
        <f>F58+60</f>
        <v>310</v>
      </c>
      <c r="O58" s="361">
        <f t="shared" si="116"/>
        <v>310</v>
      </c>
      <c r="P58" s="591">
        <f>F58+50</f>
        <v>300</v>
      </c>
      <c r="Q58" s="361">
        <f t="shared" si="117"/>
        <v>300</v>
      </c>
      <c r="R58" s="591">
        <f>F58+45</f>
        <v>295</v>
      </c>
      <c r="S58" s="361">
        <f t="shared" si="118"/>
        <v>295</v>
      </c>
      <c r="T58" s="591">
        <f>F58+40</f>
        <v>290</v>
      </c>
      <c r="U58" s="361">
        <f t="shared" si="119"/>
        <v>290</v>
      </c>
      <c r="V58" s="591">
        <f>F58+34</f>
        <v>284</v>
      </c>
      <c r="W58" s="361">
        <f t="shared" si="120"/>
        <v>284</v>
      </c>
      <c r="X58" s="136"/>
      <c r="Y58" s="136"/>
      <c r="Z58" s="136"/>
      <c r="AA58" s="136"/>
      <c r="AB58" s="443">
        <v>85</v>
      </c>
    </row>
    <row r="59" spans="1:35" ht="12.6" customHeight="1" x14ac:dyDescent="0.2">
      <c r="A59" s="18"/>
      <c r="B59" s="872" t="s">
        <v>629</v>
      </c>
      <c r="C59" s="681"/>
      <c r="D59" s="681"/>
      <c r="E59" s="681"/>
      <c r="F59" s="340">
        <v>1004</v>
      </c>
      <c r="G59" s="611">
        <f t="shared" si="121"/>
        <v>1004</v>
      </c>
      <c r="H59" s="294"/>
      <c r="I59" s="369"/>
      <c r="J59" s="489"/>
      <c r="K59" s="340"/>
      <c r="L59" s="529">
        <f>F59+110</f>
        <v>1114</v>
      </c>
      <c r="M59" s="304">
        <f t="shared" ref="M59" si="122">+L59*$X$1</f>
        <v>1114</v>
      </c>
      <c r="N59" s="529">
        <f>F59+60</f>
        <v>1064</v>
      </c>
      <c r="O59" s="304">
        <f t="shared" ref="O59" si="123">+N59*$X$1</f>
        <v>1064</v>
      </c>
      <c r="P59" s="529">
        <f>F59+50</f>
        <v>1054</v>
      </c>
      <c r="Q59" s="304">
        <f t="shared" ref="Q59" si="124">+P59*$X$1</f>
        <v>1054</v>
      </c>
      <c r="R59" s="529">
        <f>F59+45</f>
        <v>1049</v>
      </c>
      <c r="S59" s="304">
        <f t="shared" ref="S59" si="125">+R59*$X$1</f>
        <v>1049</v>
      </c>
      <c r="T59" s="529">
        <f>F59+40</f>
        <v>1044</v>
      </c>
      <c r="U59" s="304">
        <f t="shared" ref="U59" si="126">+T59*$X$1</f>
        <v>1044</v>
      </c>
      <c r="V59" s="529">
        <f>F59+34</f>
        <v>1038</v>
      </c>
      <c r="W59" s="304">
        <f t="shared" ref="W59" si="127">+V59*$X$1</f>
        <v>1038</v>
      </c>
      <c r="X59" s="136"/>
      <c r="Y59" s="136"/>
      <c r="Z59" s="136"/>
      <c r="AA59" s="136"/>
      <c r="AB59" s="443" t="s">
        <v>828</v>
      </c>
    </row>
    <row r="60" spans="1:35" ht="12.6" customHeight="1" x14ac:dyDescent="0.2">
      <c r="A60" s="18"/>
      <c r="B60" s="881" t="s">
        <v>628</v>
      </c>
      <c r="C60" s="715"/>
      <c r="D60" s="715"/>
      <c r="E60" s="715"/>
      <c r="F60" s="326">
        <v>716</v>
      </c>
      <c r="G60" s="363">
        <f t="shared" ref="G60" si="128">+F60*$X$1</f>
        <v>716</v>
      </c>
      <c r="H60" s="295"/>
      <c r="I60" s="368"/>
      <c r="J60" s="488"/>
      <c r="K60" s="326"/>
      <c r="L60" s="590">
        <f>F60+110</f>
        <v>826</v>
      </c>
      <c r="M60" s="303">
        <f t="shared" ref="M60" si="129">+L60*$X$1</f>
        <v>826</v>
      </c>
      <c r="N60" s="590">
        <f>F60+60</f>
        <v>776</v>
      </c>
      <c r="O60" s="303">
        <f t="shared" ref="O60" si="130">+N60*$X$1</f>
        <v>776</v>
      </c>
      <c r="P60" s="590">
        <f>F60+50</f>
        <v>766</v>
      </c>
      <c r="Q60" s="303">
        <f t="shared" ref="Q60" si="131">+P60*$X$1</f>
        <v>766</v>
      </c>
      <c r="R60" s="590">
        <f>F60+45</f>
        <v>761</v>
      </c>
      <c r="S60" s="303">
        <f t="shared" ref="S60" si="132">+R60*$X$1</f>
        <v>761</v>
      </c>
      <c r="T60" s="590">
        <f>F60+40</f>
        <v>756</v>
      </c>
      <c r="U60" s="303">
        <f t="shared" ref="U60" si="133">+T60*$X$1</f>
        <v>756</v>
      </c>
      <c r="V60" s="590">
        <f>F60+34</f>
        <v>750</v>
      </c>
      <c r="W60" s="303">
        <f t="shared" ref="W60" si="134">+V60*$X$1</f>
        <v>750</v>
      </c>
      <c r="X60" s="136"/>
      <c r="Y60" s="136"/>
      <c r="Z60" s="136"/>
      <c r="AA60" s="136"/>
      <c r="AB60" s="443" t="s">
        <v>829</v>
      </c>
    </row>
    <row r="61" spans="1:35" ht="12.6" customHeight="1" x14ac:dyDescent="0.2">
      <c r="A61" s="18"/>
      <c r="B61" s="861" t="s">
        <v>812</v>
      </c>
      <c r="C61" s="668"/>
      <c r="D61" s="668"/>
      <c r="E61" s="668"/>
      <c r="F61" s="340">
        <v>695</v>
      </c>
      <c r="G61" s="611">
        <f t="shared" ref="G61:G62" si="135">+F61*$X$1</f>
        <v>695</v>
      </c>
      <c r="H61" s="294"/>
      <c r="I61" s="369"/>
      <c r="J61" s="489"/>
      <c r="K61" s="340"/>
      <c r="L61" s="529">
        <f>F61+110</f>
        <v>805</v>
      </c>
      <c r="M61" s="304">
        <f t="shared" ref="M61" si="136">+L61*$X$1</f>
        <v>805</v>
      </c>
      <c r="N61" s="529">
        <f>F61+60</f>
        <v>755</v>
      </c>
      <c r="O61" s="304">
        <f t="shared" ref="O61" si="137">+N61*$X$1</f>
        <v>755</v>
      </c>
      <c r="P61" s="529">
        <f>F61+50</f>
        <v>745</v>
      </c>
      <c r="Q61" s="304">
        <f t="shared" ref="Q61" si="138">+P61*$X$1</f>
        <v>745</v>
      </c>
      <c r="R61" s="529">
        <f>F61+45</f>
        <v>740</v>
      </c>
      <c r="S61" s="304">
        <f t="shared" ref="S61" si="139">+R61*$X$1</f>
        <v>740</v>
      </c>
      <c r="T61" s="529">
        <f>F61+40</f>
        <v>735</v>
      </c>
      <c r="U61" s="304">
        <f t="shared" ref="U61" si="140">+T61*$X$1</f>
        <v>735</v>
      </c>
      <c r="V61" s="529">
        <f>F61+34</f>
        <v>729</v>
      </c>
      <c r="W61" s="304">
        <f t="shared" ref="W61" si="141">+V61*$X$1</f>
        <v>729</v>
      </c>
      <c r="X61" s="136"/>
      <c r="Y61" s="136"/>
      <c r="Z61" s="136"/>
      <c r="AA61" s="136"/>
      <c r="AB61" s="443" t="s">
        <v>827</v>
      </c>
    </row>
    <row r="62" spans="1:35" ht="12.6" customHeight="1" x14ac:dyDescent="0.2">
      <c r="A62" s="18"/>
      <c r="B62" s="861" t="s">
        <v>825</v>
      </c>
      <c r="C62" s="668"/>
      <c r="D62" s="668"/>
      <c r="E62" s="668"/>
      <c r="F62" s="412">
        <f>2.55*X2</f>
        <v>2514.2999999999997</v>
      </c>
      <c r="G62" s="303">
        <f t="shared" si="135"/>
        <v>2514.2999999999997</v>
      </c>
      <c r="H62" s="72"/>
      <c r="I62" s="303"/>
      <c r="J62" s="72">
        <f>F62+150</f>
        <v>2664.2999999999997</v>
      </c>
      <c r="K62" s="303">
        <f t="shared" ref="K62" si="142">+J62*$X$1</f>
        <v>2664.2999999999997</v>
      </c>
      <c r="L62" s="590">
        <f>F62+90</f>
        <v>2604.2999999999997</v>
      </c>
      <c r="M62" s="303">
        <f t="shared" ref="M62" si="143">+L62*$X$1</f>
        <v>2604.2999999999997</v>
      </c>
      <c r="N62" s="590">
        <f>F62+55</f>
        <v>2569.2999999999997</v>
      </c>
      <c r="O62" s="303">
        <f t="shared" ref="O62" si="144">+N62*$X$1</f>
        <v>2569.2999999999997</v>
      </c>
      <c r="P62" s="590">
        <f>F62+50</f>
        <v>2564.2999999999997</v>
      </c>
      <c r="Q62" s="303">
        <f t="shared" ref="Q62" si="145">+P62*$X$1</f>
        <v>2564.2999999999997</v>
      </c>
      <c r="R62" s="590">
        <f>F62+42</f>
        <v>2556.2999999999997</v>
      </c>
      <c r="S62" s="303">
        <f t="shared" ref="S62" si="146">+R62*$X$1</f>
        <v>2556.2999999999997</v>
      </c>
      <c r="T62" s="590">
        <f>F62+35</f>
        <v>2549.2999999999997</v>
      </c>
      <c r="U62" s="303">
        <f t="shared" ref="U62" si="147">+T62*$X$1</f>
        <v>2549.2999999999997</v>
      </c>
      <c r="V62" s="590">
        <f>F62+30</f>
        <v>2544.2999999999997</v>
      </c>
      <c r="W62" s="303">
        <f t="shared" ref="W62" si="148">+V62*$X$1</f>
        <v>2544.2999999999997</v>
      </c>
      <c r="X62" s="136"/>
      <c r="Y62" s="136"/>
      <c r="Z62" s="136"/>
      <c r="AA62" s="136"/>
      <c r="AB62" s="443" t="s">
        <v>826</v>
      </c>
    </row>
    <row r="63" spans="1:35" ht="12.6" customHeight="1" x14ac:dyDescent="0.2">
      <c r="A63" s="18"/>
      <c r="B63" s="669" t="s">
        <v>431</v>
      </c>
      <c r="C63" s="670"/>
      <c r="D63" s="670"/>
      <c r="E63" s="671"/>
      <c r="F63" s="340">
        <v>970</v>
      </c>
      <c r="G63" s="611">
        <f t="shared" si="121"/>
        <v>970</v>
      </c>
      <c r="H63" s="294"/>
      <c r="I63" s="369"/>
      <c r="J63" s="90">
        <f>F63+150</f>
        <v>1120</v>
      </c>
      <c r="K63" s="304">
        <f t="shared" ref="K63" si="149">+J63*$X$1</f>
        <v>1120</v>
      </c>
      <c r="L63" s="529">
        <f>F63+110</f>
        <v>1080</v>
      </c>
      <c r="M63" s="304">
        <f t="shared" ref="M63" si="150">+L63*$X$1</f>
        <v>1080</v>
      </c>
      <c r="N63" s="529">
        <f>F63+80</f>
        <v>1050</v>
      </c>
      <c r="O63" s="304">
        <f t="shared" ref="O63:O65" si="151">+N63*$X$1</f>
        <v>1050</v>
      </c>
      <c r="P63" s="529">
        <f>F63+60</f>
        <v>1030</v>
      </c>
      <c r="Q63" s="304">
        <f t="shared" ref="Q63:Q65" si="152">+P63*$X$1</f>
        <v>1030</v>
      </c>
      <c r="R63" s="529">
        <f>F63+50</f>
        <v>1020</v>
      </c>
      <c r="S63" s="304">
        <f t="shared" ref="S63:S65" si="153">+R63*$X$1</f>
        <v>1020</v>
      </c>
      <c r="T63" s="529">
        <f>F63+43</f>
        <v>1013</v>
      </c>
      <c r="U63" s="304">
        <f t="shared" ref="U63:U65" si="154">+T63*$X$1</f>
        <v>1013</v>
      </c>
      <c r="V63" s="529">
        <f>F63+39</f>
        <v>1009</v>
      </c>
      <c r="W63" s="304">
        <f t="shared" ref="W63:W65" si="155">+V63*$X$1</f>
        <v>1009</v>
      </c>
      <c r="X63" s="136"/>
      <c r="Y63" s="136"/>
      <c r="Z63" s="136"/>
      <c r="AA63" s="136"/>
      <c r="AB63" s="443">
        <v>89</v>
      </c>
    </row>
    <row r="64" spans="1:35" ht="12.6" customHeight="1" x14ac:dyDescent="0.2">
      <c r="A64" s="18"/>
      <c r="B64" s="703" t="s">
        <v>530</v>
      </c>
      <c r="C64" s="629"/>
      <c r="D64" s="629"/>
      <c r="E64" s="629"/>
      <c r="F64" s="303">
        <v>484</v>
      </c>
      <c r="G64" s="363">
        <f t="shared" si="121"/>
        <v>484</v>
      </c>
      <c r="H64" s="295"/>
      <c r="I64" s="368"/>
      <c r="J64" s="72"/>
      <c r="K64" s="268"/>
      <c r="L64" s="590"/>
      <c r="M64" s="268"/>
      <c r="N64" s="590">
        <f>F64+55</f>
        <v>539</v>
      </c>
      <c r="O64" s="303">
        <f t="shared" si="151"/>
        <v>539</v>
      </c>
      <c r="P64" s="590">
        <f>F64+50</f>
        <v>534</v>
      </c>
      <c r="Q64" s="303">
        <f t="shared" si="152"/>
        <v>534</v>
      </c>
      <c r="R64" s="590">
        <f>F64+42</f>
        <v>526</v>
      </c>
      <c r="S64" s="303">
        <f t="shared" si="153"/>
        <v>526</v>
      </c>
      <c r="T64" s="590">
        <f>F64+35</f>
        <v>519</v>
      </c>
      <c r="U64" s="303">
        <f t="shared" si="154"/>
        <v>519</v>
      </c>
      <c r="V64" s="590">
        <f>F64+30</f>
        <v>514</v>
      </c>
      <c r="W64" s="303">
        <f t="shared" si="155"/>
        <v>514</v>
      </c>
      <c r="X64" s="152"/>
      <c r="Y64" s="152"/>
      <c r="Z64" s="152" t="s">
        <v>82</v>
      </c>
      <c r="AA64" s="136"/>
      <c r="AB64" s="443">
        <v>91</v>
      </c>
    </row>
    <row r="65" spans="1:38" ht="12.6" customHeight="1" x14ac:dyDescent="0.2">
      <c r="A65" s="18"/>
      <c r="B65" s="727" t="s">
        <v>83</v>
      </c>
      <c r="C65" s="728"/>
      <c r="D65" s="728"/>
      <c r="E65" s="729"/>
      <c r="F65" s="304">
        <v>245</v>
      </c>
      <c r="G65" s="332">
        <f t="shared" si="121"/>
        <v>245</v>
      </c>
      <c r="H65" s="294"/>
      <c r="I65" s="369"/>
      <c r="J65" s="90"/>
      <c r="K65" s="325"/>
      <c r="L65" s="529"/>
      <c r="M65" s="325"/>
      <c r="N65" s="529">
        <f>F65+55</f>
        <v>300</v>
      </c>
      <c r="O65" s="304">
        <f t="shared" si="151"/>
        <v>300</v>
      </c>
      <c r="P65" s="529">
        <f>F65+50</f>
        <v>295</v>
      </c>
      <c r="Q65" s="304">
        <f t="shared" si="152"/>
        <v>295</v>
      </c>
      <c r="R65" s="529">
        <f>F65+42</f>
        <v>287</v>
      </c>
      <c r="S65" s="304">
        <f t="shared" si="153"/>
        <v>287</v>
      </c>
      <c r="T65" s="529">
        <f>F65+35</f>
        <v>280</v>
      </c>
      <c r="U65" s="304">
        <f t="shared" si="154"/>
        <v>280</v>
      </c>
      <c r="V65" s="529">
        <f>F65+30</f>
        <v>275</v>
      </c>
      <c r="W65" s="304">
        <f t="shared" si="155"/>
        <v>275</v>
      </c>
      <c r="X65" s="152"/>
      <c r="Y65" s="152"/>
      <c r="Z65" s="152"/>
      <c r="AA65" s="136"/>
      <c r="AB65" s="443" t="s">
        <v>84</v>
      </c>
    </row>
    <row r="66" spans="1:38" ht="12.6" customHeight="1" x14ac:dyDescent="0.2">
      <c r="A66" s="18"/>
      <c r="B66" s="862" t="s">
        <v>362</v>
      </c>
      <c r="C66" s="863"/>
      <c r="D66" s="863"/>
      <c r="E66" s="874"/>
      <c r="F66" s="303"/>
      <c r="G66" s="333"/>
      <c r="H66" s="295"/>
      <c r="I66" s="295"/>
      <c r="J66" s="72"/>
      <c r="K66" s="97"/>
      <c r="L66" s="590"/>
      <c r="M66" s="268"/>
      <c r="N66" s="105"/>
      <c r="O66" s="268"/>
      <c r="P66" s="105"/>
      <c r="Q66" s="303"/>
      <c r="R66" s="105"/>
      <c r="S66" s="268"/>
      <c r="T66" s="105"/>
      <c r="U66" s="268"/>
      <c r="V66" s="105"/>
      <c r="W66" s="303"/>
      <c r="X66" s="152"/>
      <c r="Y66" s="152"/>
      <c r="Z66" s="152"/>
      <c r="AA66" s="136"/>
      <c r="AB66" s="35"/>
    </row>
    <row r="67" spans="1:38" ht="12.6" customHeight="1" x14ac:dyDescent="0.2">
      <c r="A67" s="18"/>
      <c r="B67" s="727" t="s">
        <v>363</v>
      </c>
      <c r="C67" s="728"/>
      <c r="D67" s="728"/>
      <c r="E67" s="729"/>
      <c r="F67" s="304"/>
      <c r="G67" s="332"/>
      <c r="H67" s="294"/>
      <c r="I67" s="294"/>
      <c r="J67" s="90"/>
      <c r="K67" s="95"/>
      <c r="L67" s="529"/>
      <c r="M67" s="325"/>
      <c r="N67" s="104"/>
      <c r="O67" s="325"/>
      <c r="P67" s="104"/>
      <c r="Q67" s="304"/>
      <c r="R67" s="104"/>
      <c r="S67" s="325"/>
      <c r="T67" s="104"/>
      <c r="U67" s="325"/>
      <c r="V67" s="104"/>
      <c r="W67" s="304"/>
      <c r="X67" s="152"/>
      <c r="Y67" s="152"/>
      <c r="Z67" s="152"/>
      <c r="AA67" s="136"/>
      <c r="AB67" s="35"/>
    </row>
    <row r="68" spans="1:38" ht="12.6" customHeight="1" x14ac:dyDescent="0.2">
      <c r="A68" s="18"/>
      <c r="B68" s="703" t="s">
        <v>85</v>
      </c>
      <c r="C68" s="629"/>
      <c r="D68" s="629"/>
      <c r="E68" s="629"/>
      <c r="F68" s="303">
        <v>5318</v>
      </c>
      <c r="G68" s="333">
        <f t="shared" si="121"/>
        <v>5318</v>
      </c>
      <c r="H68" s="72">
        <f>F68+400</f>
        <v>5718</v>
      </c>
      <c r="I68" s="303">
        <f>+H68*$X$1</f>
        <v>5718</v>
      </c>
      <c r="J68" s="72">
        <f>F68+150</f>
        <v>5468</v>
      </c>
      <c r="K68" s="303">
        <f t="shared" ref="K68" si="156">+J68*$X$1</f>
        <v>5468</v>
      </c>
      <c r="L68" s="590">
        <f>F68+90</f>
        <v>5408</v>
      </c>
      <c r="M68" s="303">
        <f t="shared" ref="M68" si="157">+L68*$X$1</f>
        <v>5408</v>
      </c>
      <c r="N68" s="590">
        <f>F68+55</f>
        <v>5373</v>
      </c>
      <c r="O68" s="303">
        <f t="shared" ref="O68" si="158">+N68*$X$1</f>
        <v>5373</v>
      </c>
      <c r="P68" s="590">
        <f>F68+50</f>
        <v>5368</v>
      </c>
      <c r="Q68" s="303">
        <f t="shared" ref="Q68" si="159">+P68*$X$1</f>
        <v>5368</v>
      </c>
      <c r="R68" s="590">
        <f>F68+42</f>
        <v>5360</v>
      </c>
      <c r="S68" s="303">
        <f t="shared" ref="S68" si="160">+R68*$X$1</f>
        <v>5360</v>
      </c>
      <c r="T68" s="590">
        <f>F68+35</f>
        <v>5353</v>
      </c>
      <c r="U68" s="303">
        <f t="shared" ref="U68" si="161">+T68*$X$1</f>
        <v>5353</v>
      </c>
      <c r="V68" s="590">
        <f>F68+30</f>
        <v>5348</v>
      </c>
      <c r="W68" s="303">
        <f t="shared" ref="W68" si="162">+V68*$X$1</f>
        <v>5348</v>
      </c>
      <c r="X68" s="139"/>
      <c r="Y68" s="136"/>
      <c r="Z68" s="136"/>
      <c r="AA68" s="136"/>
      <c r="AB68" s="443">
        <v>92</v>
      </c>
    </row>
    <row r="69" spans="1:38" ht="12.6" customHeight="1" x14ac:dyDescent="0.25">
      <c r="A69" s="58"/>
      <c r="B69" s="730" t="s">
        <v>496</v>
      </c>
      <c r="C69" s="734"/>
      <c r="D69" s="734"/>
      <c r="E69" s="734"/>
      <c r="F69" s="304"/>
      <c r="G69" s="325"/>
      <c r="H69" s="259"/>
      <c r="I69" s="854" t="s">
        <v>504</v>
      </c>
      <c r="J69" s="855"/>
      <c r="K69" s="855"/>
      <c r="L69" s="856"/>
      <c r="M69" s="857"/>
      <c r="N69" s="529">
        <v>792</v>
      </c>
      <c r="O69" s="332">
        <f>+N69*$X$1</f>
        <v>792</v>
      </c>
      <c r="P69" s="296">
        <v>788</v>
      </c>
      <c r="Q69" s="364">
        <f>+P69*$X$1</f>
        <v>788</v>
      </c>
      <c r="R69" s="529">
        <v>743</v>
      </c>
      <c r="S69" s="325">
        <f>+R69*$X$1</f>
        <v>743</v>
      </c>
      <c r="T69" s="529">
        <v>710</v>
      </c>
      <c r="U69" s="304">
        <f>+T69*$X$1</f>
        <v>710</v>
      </c>
      <c r="V69" s="529">
        <v>646</v>
      </c>
      <c r="W69" s="304">
        <f>+V69*$X$1</f>
        <v>646</v>
      </c>
      <c r="X69" s="754"/>
      <c r="Y69" s="754"/>
      <c r="Z69" s="754"/>
      <c r="AA69" s="754"/>
      <c r="AB69" s="201" t="s">
        <v>497</v>
      </c>
    </row>
    <row r="70" spans="1:38" ht="12.6" customHeight="1" x14ac:dyDescent="0.25">
      <c r="A70" s="58"/>
      <c r="B70" s="703" t="s">
        <v>352</v>
      </c>
      <c r="C70" s="649"/>
      <c r="D70" s="649"/>
      <c r="E70" s="649"/>
      <c r="F70" s="303"/>
      <c r="G70" s="268"/>
      <c r="H70" s="110"/>
      <c r="I70" s="877" t="s">
        <v>504</v>
      </c>
      <c r="J70" s="878"/>
      <c r="K70" s="878"/>
      <c r="L70" s="879"/>
      <c r="M70" s="880"/>
      <c r="N70" s="337">
        <v>850</v>
      </c>
      <c r="O70" s="333">
        <f>+N70*$X$1</f>
        <v>850</v>
      </c>
      <c r="P70" s="315">
        <v>845</v>
      </c>
      <c r="Q70" s="327">
        <f>+P70*$X$1</f>
        <v>845</v>
      </c>
      <c r="R70" s="337">
        <v>796</v>
      </c>
      <c r="S70" s="268">
        <f>+R70*$X$1</f>
        <v>796</v>
      </c>
      <c r="T70" s="337">
        <v>778</v>
      </c>
      <c r="U70" s="303">
        <f>+T70*$X$1</f>
        <v>778</v>
      </c>
      <c r="V70" s="337">
        <v>701</v>
      </c>
      <c r="W70" s="303">
        <f>+V70*$X$1</f>
        <v>701</v>
      </c>
      <c r="X70" s="754"/>
      <c r="Y70" s="754"/>
      <c r="Z70" s="754"/>
      <c r="AA70" s="754"/>
      <c r="AB70" s="201" t="s">
        <v>86</v>
      </c>
    </row>
    <row r="71" spans="1:38" ht="12.6" customHeight="1" x14ac:dyDescent="0.25">
      <c r="A71" s="58"/>
      <c r="B71" s="730" t="s">
        <v>498</v>
      </c>
      <c r="C71" s="734"/>
      <c r="D71" s="734"/>
      <c r="E71" s="734"/>
      <c r="F71" s="304"/>
      <c r="G71" s="325"/>
      <c r="H71" s="259"/>
      <c r="I71" s="854" t="s">
        <v>504</v>
      </c>
      <c r="J71" s="855"/>
      <c r="K71" s="855"/>
      <c r="L71" s="856"/>
      <c r="M71" s="857"/>
      <c r="N71" s="529">
        <v>1210</v>
      </c>
      <c r="O71" s="332">
        <f>+N71*$X$1</f>
        <v>1210</v>
      </c>
      <c r="P71" s="314">
        <v>1199</v>
      </c>
      <c r="Q71" s="364">
        <f>+P71*$X$1</f>
        <v>1199</v>
      </c>
      <c r="R71" s="529">
        <v>1151</v>
      </c>
      <c r="S71" s="325">
        <f>+R71*$X$1</f>
        <v>1151</v>
      </c>
      <c r="T71" s="529">
        <v>1133</v>
      </c>
      <c r="U71" s="304">
        <f>+T71*$X$1</f>
        <v>1133</v>
      </c>
      <c r="V71" s="529">
        <v>1053</v>
      </c>
      <c r="W71" s="304">
        <f>+V71*$X$1</f>
        <v>1053</v>
      </c>
      <c r="X71" s="754"/>
      <c r="Y71" s="754"/>
      <c r="Z71" s="754"/>
      <c r="AA71" s="754"/>
      <c r="AB71" s="201" t="s">
        <v>499</v>
      </c>
    </row>
    <row r="72" spans="1:38" ht="12.6" customHeight="1" x14ac:dyDescent="0.25">
      <c r="A72" s="18"/>
      <c r="B72" s="703" t="s">
        <v>353</v>
      </c>
      <c r="C72" s="649"/>
      <c r="D72" s="649"/>
      <c r="E72" s="649"/>
      <c r="F72" s="303"/>
      <c r="G72" s="268"/>
      <c r="H72" s="110"/>
      <c r="I72" s="710"/>
      <c r="J72" s="711"/>
      <c r="K72" s="711"/>
      <c r="L72" s="295"/>
      <c r="M72" s="368"/>
      <c r="N72" s="337"/>
      <c r="O72" s="333"/>
      <c r="P72" s="337"/>
      <c r="Q72" s="303"/>
      <c r="R72" s="337"/>
      <c r="S72" s="268"/>
      <c r="T72" s="337"/>
      <c r="U72" s="303"/>
      <c r="V72" s="116"/>
      <c r="W72" s="303"/>
      <c r="X72" s="754"/>
      <c r="Y72" s="754"/>
      <c r="Z72" s="754"/>
      <c r="AA72" s="754"/>
      <c r="AB72" s="201" t="s">
        <v>87</v>
      </c>
      <c r="AH72" s="4"/>
      <c r="AI72" s="4"/>
      <c r="AJ72" s="4"/>
    </row>
    <row r="73" spans="1:38" s="6" customFormat="1" ht="12.6" customHeight="1" x14ac:dyDescent="0.25">
      <c r="A73" s="58"/>
      <c r="B73" s="733" t="s">
        <v>419</v>
      </c>
      <c r="C73" s="683"/>
      <c r="D73" s="683"/>
      <c r="E73" s="684"/>
      <c r="F73" s="304"/>
      <c r="G73" s="325"/>
      <c r="H73" s="529"/>
      <c r="I73" s="332"/>
      <c r="J73" s="310"/>
      <c r="K73" s="389"/>
      <c r="L73" s="533">
        <v>2132</v>
      </c>
      <c r="M73" s="304">
        <f>+L73*$X$1</f>
        <v>2132</v>
      </c>
      <c r="N73" s="529">
        <v>1998</v>
      </c>
      <c r="O73" s="332">
        <f>+N73*$X$1</f>
        <v>1998</v>
      </c>
      <c r="P73" s="426">
        <v>1842</v>
      </c>
      <c r="Q73" s="364">
        <f>+P73*$X$1</f>
        <v>1842</v>
      </c>
      <c r="R73" s="529">
        <v>1833</v>
      </c>
      <c r="S73" s="325">
        <f>+R73*$X$1</f>
        <v>1833</v>
      </c>
      <c r="T73" s="529">
        <v>1765</v>
      </c>
      <c r="U73" s="304">
        <f>+T73*$X$1</f>
        <v>1765</v>
      </c>
      <c r="V73" s="528"/>
      <c r="W73" s="387"/>
      <c r="X73" s="257"/>
      <c r="Y73" s="258"/>
      <c r="Z73" s="258"/>
      <c r="AA73" s="258"/>
      <c r="AB73" s="201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858" t="s">
        <v>420</v>
      </c>
      <c r="C74" s="859"/>
      <c r="D74" s="859"/>
      <c r="E74" s="860"/>
      <c r="F74" s="303"/>
      <c r="G74" s="530"/>
      <c r="H74" s="337"/>
      <c r="I74" s="531"/>
      <c r="J74" s="338"/>
      <c r="K74" s="388"/>
      <c r="L74" s="532">
        <v>2990</v>
      </c>
      <c r="M74" s="303">
        <f>+L74*$X$1</f>
        <v>2990</v>
      </c>
      <c r="N74" s="545">
        <v>2801</v>
      </c>
      <c r="O74" s="531">
        <f>+N74*$X$1</f>
        <v>2801</v>
      </c>
      <c r="P74" s="425">
        <v>2736</v>
      </c>
      <c r="Q74" s="327">
        <f>+P74*$X$1</f>
        <v>2736</v>
      </c>
      <c r="R74" s="545">
        <v>2722</v>
      </c>
      <c r="S74" s="530">
        <f>+R74*$X$1</f>
        <v>2722</v>
      </c>
      <c r="T74" s="545">
        <v>2535</v>
      </c>
      <c r="U74" s="303">
        <f>+T74*$X$1</f>
        <v>2535</v>
      </c>
      <c r="V74" s="527"/>
      <c r="W74" s="386"/>
      <c r="X74" s="712"/>
      <c r="Y74" s="713"/>
      <c r="Z74" s="713"/>
      <c r="AA74" s="713"/>
      <c r="AB74" s="201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12"/>
      <c r="C75" s="68"/>
      <c r="D75" s="68"/>
      <c r="E75" s="68"/>
      <c r="F75" s="192"/>
      <c r="G75" s="192"/>
      <c r="H75" s="192"/>
      <c r="I75" s="192"/>
      <c r="J75" s="192"/>
      <c r="K75" s="192"/>
      <c r="L75" s="113"/>
      <c r="M75" s="113"/>
      <c r="N75" s="114"/>
      <c r="O75" s="114"/>
      <c r="P75" s="114"/>
      <c r="Q75" s="115"/>
      <c r="R75" s="89"/>
      <c r="S75" s="64"/>
      <c r="T75" s="64"/>
      <c r="U75" s="64"/>
      <c r="V75" s="64"/>
      <c r="W75" s="64"/>
      <c r="X75" s="77"/>
      <c r="AB75" s="111"/>
    </row>
    <row r="76" spans="1:38" ht="12.6" customHeight="1" x14ac:dyDescent="0.2">
      <c r="A76" s="98"/>
      <c r="B76" s="112"/>
      <c r="C76" s="336"/>
      <c r="D76" s="336"/>
      <c r="E76" s="336"/>
      <c r="F76" s="246"/>
      <c r="G76" s="246"/>
      <c r="H76" s="246"/>
      <c r="I76" s="246"/>
      <c r="J76" s="246"/>
      <c r="K76" s="246"/>
      <c r="L76" s="113"/>
      <c r="M76" s="113"/>
      <c r="N76" s="114"/>
      <c r="O76" s="114"/>
      <c r="P76" s="114"/>
      <c r="Q76" s="115"/>
      <c r="R76" s="89"/>
      <c r="S76" s="64"/>
      <c r="T76" s="64"/>
      <c r="U76" s="64"/>
      <c r="V76" s="64"/>
      <c r="W76" s="64"/>
      <c r="X76" s="77"/>
      <c r="AB76" s="111"/>
    </row>
    <row r="77" spans="1:38" ht="12.6" customHeight="1" x14ac:dyDescent="0.2">
      <c r="A77" s="98"/>
      <c r="B77" s="112"/>
      <c r="C77" s="247"/>
      <c r="D77" s="247"/>
      <c r="E77" s="247"/>
      <c r="F77" s="246"/>
      <c r="G77" s="246"/>
      <c r="H77" s="246"/>
      <c r="I77" s="246"/>
      <c r="J77" s="246"/>
      <c r="K77" s="246"/>
      <c r="L77" s="113"/>
      <c r="M77" s="113"/>
      <c r="N77" s="114"/>
      <c r="O77" s="114"/>
      <c r="P77" s="114"/>
      <c r="Q77" s="115"/>
      <c r="R77" s="89"/>
      <c r="S77" s="64"/>
      <c r="T77" s="64"/>
      <c r="U77" s="64"/>
      <c r="V77" s="64"/>
      <c r="W77" s="64"/>
      <c r="X77" s="77"/>
      <c r="AB77" s="111"/>
    </row>
    <row r="78" spans="1:38" ht="15.75" customHeight="1" x14ac:dyDescent="0.2">
      <c r="A78" s="18"/>
      <c r="B78" s="653" t="s">
        <v>11</v>
      </c>
      <c r="C78" s="731" t="s">
        <v>12</v>
      </c>
      <c r="D78" s="732"/>
      <c r="E78" s="732"/>
      <c r="F78" s="806" t="s">
        <v>13</v>
      </c>
      <c r="G78" s="806" t="s">
        <v>13</v>
      </c>
      <c r="H78" s="660" t="s">
        <v>856</v>
      </c>
      <c r="I78" s="660"/>
      <c r="J78" s="661"/>
      <c r="K78" s="661"/>
      <c r="L78" s="661"/>
      <c r="M78" s="661"/>
      <c r="N78" s="661"/>
      <c r="O78" s="661"/>
      <c r="P78" s="661"/>
      <c r="Q78" s="661"/>
      <c r="R78" s="661"/>
      <c r="S78" s="661"/>
      <c r="T78" s="661"/>
      <c r="U78" s="661"/>
      <c r="V78" s="661"/>
      <c r="W78" s="661"/>
      <c r="X78" s="635" t="s">
        <v>14</v>
      </c>
      <c r="Y78" s="636"/>
      <c r="Z78" s="636"/>
      <c r="AA78" s="637"/>
      <c r="AB78" s="633" t="s">
        <v>15</v>
      </c>
      <c r="AF78" s="631" t="s">
        <v>3</v>
      </c>
      <c r="AG78" s="632"/>
      <c r="AH78" s="632"/>
    </row>
    <row r="79" spans="1:38" ht="12" customHeight="1" x14ac:dyDescent="0.2">
      <c r="A79" s="18"/>
      <c r="B79" s="653"/>
      <c r="C79" s="732"/>
      <c r="D79" s="732"/>
      <c r="E79" s="732"/>
      <c r="F79" s="807"/>
      <c r="G79" s="807"/>
      <c r="H79" s="562"/>
      <c r="I79" s="560" t="s">
        <v>298</v>
      </c>
      <c r="J79" s="562"/>
      <c r="K79" s="560" t="s">
        <v>17</v>
      </c>
      <c r="L79" s="563"/>
      <c r="M79" s="563" t="s">
        <v>18</v>
      </c>
      <c r="N79" s="563"/>
      <c r="O79" s="560" t="s">
        <v>19</v>
      </c>
      <c r="P79" s="563"/>
      <c r="Q79" s="563" t="s">
        <v>300</v>
      </c>
      <c r="R79" s="563"/>
      <c r="S79" s="563" t="s">
        <v>20</v>
      </c>
      <c r="T79" s="563"/>
      <c r="U79" s="563" t="s">
        <v>21</v>
      </c>
      <c r="V79" s="563"/>
      <c r="W79" s="563" t="s">
        <v>22</v>
      </c>
      <c r="X79" s="638"/>
      <c r="Y79" s="639"/>
      <c r="Z79" s="639"/>
      <c r="AA79" s="640"/>
      <c r="AB79" s="634"/>
    </row>
    <row r="80" spans="1:38" ht="12.6" customHeight="1" x14ac:dyDescent="0.2">
      <c r="A80" s="18"/>
      <c r="B80" s="714" t="s">
        <v>90</v>
      </c>
      <c r="C80" s="715"/>
      <c r="D80" s="715"/>
      <c r="E80" s="716"/>
      <c r="F80" s="867" t="s">
        <v>710</v>
      </c>
      <c r="G80" s="868"/>
      <c r="H80" s="868"/>
      <c r="I80" s="868"/>
      <c r="J80" s="584"/>
      <c r="K80" s="569"/>
      <c r="L80" s="585"/>
      <c r="M80" s="326"/>
      <c r="N80" s="105"/>
      <c r="O80" s="363"/>
      <c r="P80" s="586"/>
      <c r="Q80" s="363"/>
      <c r="R80" s="105"/>
      <c r="S80" s="326"/>
      <c r="T80" s="105"/>
      <c r="U80" s="326"/>
      <c r="V80" s="105"/>
      <c r="W80" s="326"/>
      <c r="X80" s="136"/>
      <c r="Y80" s="136"/>
      <c r="Z80" s="136"/>
      <c r="AA80" s="136"/>
      <c r="AB80" s="450" t="s">
        <v>91</v>
      </c>
      <c r="AC80" s="446" t="s">
        <v>92</v>
      </c>
      <c r="AD80" s="446" t="s">
        <v>93</v>
      </c>
      <c r="AE80" s="446" t="s">
        <v>94</v>
      </c>
      <c r="AF80" s="446" t="s">
        <v>95</v>
      </c>
      <c r="AG80" s="446" t="s">
        <v>96</v>
      </c>
    </row>
    <row r="81" spans="1:34" ht="12.6" customHeight="1" x14ac:dyDescent="0.2">
      <c r="A81" s="18"/>
      <c r="B81" s="674" t="s">
        <v>97</v>
      </c>
      <c r="C81" s="675"/>
      <c r="D81" s="675"/>
      <c r="E81" s="679"/>
      <c r="F81" s="869"/>
      <c r="G81" s="868"/>
      <c r="H81" s="868"/>
      <c r="I81" s="868"/>
      <c r="J81" s="273"/>
      <c r="K81" s="294"/>
      <c r="L81" s="322"/>
      <c r="M81" s="304"/>
      <c r="N81" s="104"/>
      <c r="O81" s="332"/>
      <c r="P81" s="296"/>
      <c r="Q81" s="364"/>
      <c r="R81" s="104"/>
      <c r="S81" s="325"/>
      <c r="T81" s="104"/>
      <c r="U81" s="304"/>
      <c r="V81" s="529"/>
      <c r="W81" s="304"/>
      <c r="X81" s="140"/>
      <c r="Y81" s="140"/>
      <c r="Z81" s="140"/>
      <c r="AA81" s="140"/>
      <c r="AB81" s="450" t="s">
        <v>98</v>
      </c>
      <c r="AC81" s="446" t="s">
        <v>99</v>
      </c>
      <c r="AD81" s="446" t="s">
        <v>100</v>
      </c>
      <c r="AE81" s="446" t="s">
        <v>101</v>
      </c>
      <c r="AF81" s="446" t="s">
        <v>102</v>
      </c>
      <c r="AG81" s="446" t="s">
        <v>103</v>
      </c>
      <c r="AH81" s="446" t="s">
        <v>104</v>
      </c>
    </row>
    <row r="82" spans="1:34" ht="12.6" customHeight="1" x14ac:dyDescent="0.25">
      <c r="A82" s="18"/>
      <c r="B82" s="628" t="s">
        <v>105</v>
      </c>
      <c r="C82" s="629"/>
      <c r="D82" s="629"/>
      <c r="E82" s="690"/>
      <c r="F82" s="869"/>
      <c r="G82" s="868"/>
      <c r="H82" s="868"/>
      <c r="I82" s="868"/>
      <c r="J82" s="276"/>
      <c r="K82" s="295"/>
      <c r="L82" s="587"/>
      <c r="M82" s="303"/>
      <c r="N82" s="582"/>
      <c r="O82" s="333"/>
      <c r="P82" s="342"/>
      <c r="Q82" s="327"/>
      <c r="R82" s="582"/>
      <c r="S82" s="268"/>
      <c r="T82" s="582"/>
      <c r="U82" s="303"/>
      <c r="V82" s="582"/>
      <c r="W82" s="303"/>
      <c r="X82" s="688"/>
      <c r="Y82" s="689"/>
      <c r="Z82" s="689"/>
      <c r="AA82" s="194"/>
      <c r="AB82" s="450" t="s">
        <v>106</v>
      </c>
      <c r="AC82" s="446" t="s">
        <v>107</v>
      </c>
      <c r="AD82" s="446" t="s">
        <v>108</v>
      </c>
      <c r="AE82" s="446" t="s">
        <v>109</v>
      </c>
      <c r="AF82" s="446" t="s">
        <v>110</v>
      </c>
      <c r="AG82" s="451" t="s">
        <v>111</v>
      </c>
      <c r="AH82" s="446" t="s">
        <v>112</v>
      </c>
    </row>
    <row r="83" spans="1:34" ht="12.6" customHeight="1" x14ac:dyDescent="0.25">
      <c r="A83" s="18"/>
      <c r="B83" s="674" t="s">
        <v>113</v>
      </c>
      <c r="C83" s="675"/>
      <c r="D83" s="675"/>
      <c r="E83" s="679"/>
      <c r="F83" s="869"/>
      <c r="G83" s="868"/>
      <c r="H83" s="868"/>
      <c r="I83" s="868"/>
      <c r="J83" s="273"/>
      <c r="K83" s="294"/>
      <c r="L83" s="322"/>
      <c r="M83" s="304"/>
      <c r="N83" s="529"/>
      <c r="O83" s="332"/>
      <c r="P83" s="296"/>
      <c r="Q83" s="364"/>
      <c r="R83" s="529"/>
      <c r="S83" s="325"/>
      <c r="T83" s="529"/>
      <c r="U83" s="304"/>
      <c r="V83" s="529"/>
      <c r="W83" s="304"/>
      <c r="X83" s="688"/>
      <c r="Y83" s="689"/>
      <c r="Z83" s="689"/>
      <c r="AA83" s="194"/>
      <c r="AB83" s="450" t="s">
        <v>114</v>
      </c>
      <c r="AC83" s="452" t="s">
        <v>115</v>
      </c>
      <c r="AD83" s="452" t="s">
        <v>116</v>
      </c>
      <c r="AE83" s="452" t="s">
        <v>117</v>
      </c>
      <c r="AF83" s="452" t="s">
        <v>118</v>
      </c>
      <c r="AG83" s="30"/>
    </row>
    <row r="84" spans="1:34" ht="12.6" customHeight="1" x14ac:dyDescent="0.2">
      <c r="A84" s="18"/>
      <c r="B84" s="628" t="s">
        <v>119</v>
      </c>
      <c r="C84" s="629"/>
      <c r="D84" s="629"/>
      <c r="E84" s="690"/>
      <c r="F84" s="869"/>
      <c r="G84" s="868"/>
      <c r="H84" s="868"/>
      <c r="I84" s="868"/>
      <c r="J84" s="276"/>
      <c r="K84" s="295"/>
      <c r="L84" s="587"/>
      <c r="M84" s="303"/>
      <c r="N84" s="582"/>
      <c r="O84" s="333"/>
      <c r="P84" s="342"/>
      <c r="Q84" s="327"/>
      <c r="R84" s="582"/>
      <c r="S84" s="268"/>
      <c r="T84" s="582"/>
      <c r="U84" s="303"/>
      <c r="V84" s="582"/>
      <c r="W84" s="303"/>
      <c r="X84" s="157"/>
      <c r="Y84" s="157"/>
      <c r="Z84" s="157"/>
      <c r="AA84" s="157"/>
      <c r="AB84" s="31" t="s">
        <v>120</v>
      </c>
      <c r="AC84" s="446" t="s">
        <v>121</v>
      </c>
      <c r="AD84" s="446" t="s">
        <v>122</v>
      </c>
      <c r="AE84" s="446" t="s">
        <v>123</v>
      </c>
      <c r="AF84" s="446" t="s">
        <v>124</v>
      </c>
      <c r="AG84" s="446" t="s">
        <v>125</v>
      </c>
    </row>
    <row r="85" spans="1:34" ht="12.6" customHeight="1" x14ac:dyDescent="0.2">
      <c r="A85" s="18"/>
      <c r="B85" s="674" t="s">
        <v>126</v>
      </c>
      <c r="C85" s="675"/>
      <c r="D85" s="675"/>
      <c r="E85" s="679"/>
      <c r="F85" s="869"/>
      <c r="G85" s="868"/>
      <c r="H85" s="868"/>
      <c r="I85" s="868"/>
      <c r="J85" s="273"/>
      <c r="K85" s="294"/>
      <c r="L85" s="322"/>
      <c r="M85" s="304"/>
      <c r="N85" s="529"/>
      <c r="O85" s="332"/>
      <c r="P85" s="296"/>
      <c r="Q85" s="364"/>
      <c r="R85" s="529"/>
      <c r="S85" s="325"/>
      <c r="T85" s="529"/>
      <c r="U85" s="304"/>
      <c r="V85" s="529"/>
      <c r="W85" s="304"/>
      <c r="X85" s="157"/>
      <c r="Y85" s="157"/>
      <c r="Z85" s="157"/>
      <c r="AA85" s="157"/>
      <c r="AB85" s="31" t="s">
        <v>127</v>
      </c>
      <c r="AC85" s="452" t="s">
        <v>128</v>
      </c>
      <c r="AD85" s="452" t="s">
        <v>129</v>
      </c>
      <c r="AE85" s="452" t="s">
        <v>130</v>
      </c>
    </row>
    <row r="86" spans="1:34" ht="12.6" customHeight="1" x14ac:dyDescent="0.25">
      <c r="A86" s="18"/>
      <c r="B86" s="628" t="s">
        <v>131</v>
      </c>
      <c r="C86" s="629"/>
      <c r="D86" s="629"/>
      <c r="E86" s="690"/>
      <c r="F86" s="869"/>
      <c r="G86" s="868"/>
      <c r="H86" s="868"/>
      <c r="I86" s="868"/>
      <c r="J86" s="276"/>
      <c r="K86" s="295"/>
      <c r="L86" s="587"/>
      <c r="M86" s="303"/>
      <c r="N86" s="582"/>
      <c r="O86" s="333"/>
      <c r="P86" s="342"/>
      <c r="Q86" s="327"/>
      <c r="R86" s="582"/>
      <c r="S86" s="268"/>
      <c r="T86" s="582"/>
      <c r="U86" s="303"/>
      <c r="V86" s="582"/>
      <c r="W86" s="303"/>
      <c r="X86" s="688"/>
      <c r="Y86" s="689"/>
      <c r="Z86" s="689"/>
      <c r="AA86" s="194"/>
      <c r="AB86" s="31" t="s">
        <v>132</v>
      </c>
      <c r="AC86" s="446" t="s">
        <v>133</v>
      </c>
      <c r="AD86" s="446" t="s">
        <v>134</v>
      </c>
      <c r="AE86" s="446" t="s">
        <v>135</v>
      </c>
      <c r="AF86" s="446" t="s">
        <v>136</v>
      </c>
      <c r="AG86" s="446" t="s">
        <v>137</v>
      </c>
      <c r="AH86" s="446" t="s">
        <v>138</v>
      </c>
    </row>
    <row r="87" spans="1:34" ht="12.6" customHeight="1" x14ac:dyDescent="0.25">
      <c r="A87" s="18"/>
      <c r="B87" s="674" t="s">
        <v>139</v>
      </c>
      <c r="C87" s="675"/>
      <c r="D87" s="675"/>
      <c r="E87" s="679"/>
      <c r="F87" s="869"/>
      <c r="G87" s="868"/>
      <c r="H87" s="868"/>
      <c r="I87" s="868"/>
      <c r="J87" s="273"/>
      <c r="K87" s="294"/>
      <c r="L87" s="322"/>
      <c r="M87" s="304"/>
      <c r="N87" s="529"/>
      <c r="O87" s="332"/>
      <c r="P87" s="296"/>
      <c r="Q87" s="364"/>
      <c r="R87" s="529"/>
      <c r="S87" s="325"/>
      <c r="T87" s="529"/>
      <c r="U87" s="304"/>
      <c r="V87" s="529"/>
      <c r="W87" s="304"/>
      <c r="X87" s="688"/>
      <c r="Y87" s="689"/>
      <c r="Z87" s="689"/>
      <c r="AA87" s="194"/>
      <c r="AB87" s="448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28" t="s">
        <v>141</v>
      </c>
      <c r="C88" s="629"/>
      <c r="D88" s="629"/>
      <c r="E88" s="690"/>
      <c r="F88" s="869"/>
      <c r="G88" s="868"/>
      <c r="H88" s="868"/>
      <c r="I88" s="868"/>
      <c r="J88" s="276"/>
      <c r="K88" s="295"/>
      <c r="L88" s="587"/>
      <c r="M88" s="303"/>
      <c r="N88" s="582"/>
      <c r="O88" s="333"/>
      <c r="P88" s="342"/>
      <c r="Q88" s="327"/>
      <c r="R88" s="582"/>
      <c r="S88" s="268"/>
      <c r="T88" s="582"/>
      <c r="U88" s="303"/>
      <c r="V88" s="582"/>
      <c r="W88" s="303"/>
      <c r="X88" s="156"/>
      <c r="Y88" s="156"/>
      <c r="Z88" s="156"/>
      <c r="AA88" s="156"/>
      <c r="AB88" s="446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74" t="s">
        <v>143</v>
      </c>
      <c r="C89" s="675"/>
      <c r="D89" s="675"/>
      <c r="E89" s="679"/>
      <c r="F89" s="869"/>
      <c r="G89" s="868"/>
      <c r="H89" s="868"/>
      <c r="I89" s="868"/>
      <c r="J89" s="273"/>
      <c r="K89" s="294"/>
      <c r="L89" s="322"/>
      <c r="M89" s="304"/>
      <c r="N89" s="529"/>
      <c r="O89" s="332"/>
      <c r="P89" s="296"/>
      <c r="Q89" s="332"/>
      <c r="R89" s="529"/>
      <c r="S89" s="332"/>
      <c r="T89" s="529"/>
      <c r="U89" s="304"/>
      <c r="V89" s="529"/>
      <c r="W89" s="304"/>
      <c r="X89" s="156"/>
      <c r="Y89" s="156"/>
      <c r="Z89" s="156"/>
      <c r="AA89" s="156"/>
      <c r="AB89" s="446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28" t="s">
        <v>145</v>
      </c>
      <c r="C90" s="629"/>
      <c r="D90" s="629"/>
      <c r="E90" s="690"/>
      <c r="F90" s="870"/>
      <c r="G90" s="871"/>
      <c r="H90" s="871"/>
      <c r="I90" s="871"/>
      <c r="J90" s="276"/>
      <c r="K90" s="295"/>
      <c r="L90" s="587"/>
      <c r="M90" s="303"/>
      <c r="N90" s="582"/>
      <c r="O90" s="378"/>
      <c r="P90" s="342"/>
      <c r="Q90" s="327"/>
      <c r="R90" s="116"/>
      <c r="S90" s="499"/>
      <c r="T90" s="582"/>
      <c r="U90" s="303"/>
      <c r="V90" s="582"/>
      <c r="W90" s="303"/>
      <c r="X90" s="136"/>
      <c r="Y90" s="136"/>
      <c r="Z90" s="136"/>
      <c r="AA90" s="136"/>
      <c r="AB90" s="449" t="s">
        <v>146</v>
      </c>
      <c r="AC90" s="446" t="s">
        <v>147</v>
      </c>
      <c r="AD90" s="446" t="s">
        <v>148</v>
      </c>
      <c r="AE90" s="446" t="s">
        <v>149</v>
      </c>
      <c r="AF90" s="446" t="s">
        <v>150</v>
      </c>
      <c r="AG90" s="446" t="s">
        <v>151</v>
      </c>
    </row>
    <row r="91" spans="1:34" ht="12.6" customHeight="1" x14ac:dyDescent="0.2">
      <c r="A91" s="18"/>
      <c r="B91" s="674" t="s">
        <v>492</v>
      </c>
      <c r="C91" s="675"/>
      <c r="D91" s="675"/>
      <c r="E91" s="675"/>
      <c r="F91" s="304"/>
      <c r="G91" s="364"/>
      <c r="H91" s="273"/>
      <c r="I91" s="309"/>
      <c r="J91" s="529"/>
      <c r="K91" s="304"/>
      <c r="L91" s="423"/>
      <c r="M91" s="304"/>
      <c r="N91" s="423"/>
      <c r="O91" s="304"/>
      <c r="P91" s="423"/>
      <c r="Q91" s="304"/>
      <c r="R91" s="423"/>
      <c r="S91" s="304"/>
      <c r="T91" s="423"/>
      <c r="U91" s="304"/>
      <c r="V91" s="90"/>
      <c r="W91" s="370"/>
      <c r="X91" s="167"/>
      <c r="Y91" s="140"/>
      <c r="Z91" s="140"/>
      <c r="AA91" s="143"/>
      <c r="AB91" s="447">
        <v>117</v>
      </c>
    </row>
    <row r="92" spans="1:34" ht="12.6" customHeight="1" x14ac:dyDescent="0.2">
      <c r="A92" s="18"/>
      <c r="B92" s="622" t="s">
        <v>511</v>
      </c>
      <c r="C92" s="623"/>
      <c r="D92" s="623"/>
      <c r="E92" s="624"/>
      <c r="F92" s="303"/>
      <c r="G92" s="327"/>
      <c r="H92" s="276"/>
      <c r="I92" s="295"/>
      <c r="J92" s="337"/>
      <c r="K92" s="303"/>
      <c r="L92" s="337"/>
      <c r="M92" s="303"/>
      <c r="N92" s="337"/>
      <c r="O92" s="303"/>
      <c r="P92" s="337"/>
      <c r="Q92" s="303"/>
      <c r="R92" s="337"/>
      <c r="S92" s="303"/>
      <c r="T92" s="337"/>
      <c r="U92" s="303"/>
      <c r="V92" s="72"/>
      <c r="W92" s="371"/>
      <c r="X92" s="167"/>
      <c r="Y92" s="140"/>
      <c r="Z92" s="140"/>
      <c r="AA92" s="143"/>
      <c r="AB92" s="447"/>
    </row>
    <row r="93" spans="1:34" ht="12.6" customHeight="1" x14ac:dyDescent="0.2">
      <c r="A93" s="18"/>
      <c r="B93" s="674" t="s">
        <v>493</v>
      </c>
      <c r="C93" s="675"/>
      <c r="D93" s="675"/>
      <c r="E93" s="675"/>
      <c r="F93" s="304"/>
      <c r="G93" s="364"/>
      <c r="H93" s="273"/>
      <c r="I93" s="294"/>
      <c r="J93" s="401"/>
      <c r="K93" s="304"/>
      <c r="L93" s="409"/>
      <c r="M93" s="304"/>
      <c r="N93" s="409"/>
      <c r="O93" s="304"/>
      <c r="P93" s="409"/>
      <c r="Q93" s="304"/>
      <c r="R93" s="409"/>
      <c r="S93" s="304"/>
      <c r="T93" s="409"/>
      <c r="U93" s="304"/>
      <c r="V93" s="90"/>
      <c r="W93" s="370"/>
      <c r="X93" s="167"/>
      <c r="Y93" s="140"/>
      <c r="Z93" s="140"/>
      <c r="AA93" s="143"/>
      <c r="AB93" s="447">
        <v>129</v>
      </c>
    </row>
    <row r="94" spans="1:34" ht="12.6" customHeight="1" x14ac:dyDescent="0.2">
      <c r="A94" s="108"/>
      <c r="B94" s="873" t="s">
        <v>410</v>
      </c>
      <c r="C94" s="865"/>
      <c r="D94" s="865"/>
      <c r="E94" s="865"/>
      <c r="F94" s="362">
        <v>480</v>
      </c>
      <c r="G94" s="384">
        <f t="shared" ref="G94:G99" si="163">+F94*$X$1</f>
        <v>480</v>
      </c>
      <c r="H94" s="274"/>
      <c r="I94" s="301"/>
      <c r="J94" s="251">
        <f>F94+150</f>
        <v>630</v>
      </c>
      <c r="K94" s="410">
        <f>+J94*$X$1</f>
        <v>630</v>
      </c>
      <c r="L94" s="117">
        <f>F94+90</f>
        <v>570</v>
      </c>
      <c r="M94" s="410">
        <f t="shared" ref="M94:M96" si="164">+L94*$X$1</f>
        <v>570</v>
      </c>
      <c r="N94" s="107">
        <f>F94+7.2</f>
        <v>487.2</v>
      </c>
      <c r="O94" s="691" t="s">
        <v>152</v>
      </c>
      <c r="P94" s="692"/>
      <c r="Q94" s="692"/>
      <c r="R94" s="692"/>
      <c r="S94" s="692"/>
      <c r="T94" s="692"/>
      <c r="U94" s="692"/>
      <c r="V94" s="692"/>
      <c r="W94" s="692"/>
      <c r="X94" s="168"/>
      <c r="Y94" s="140"/>
      <c r="Z94" s="140"/>
      <c r="AA94" s="143"/>
      <c r="AB94" s="453">
        <v>247</v>
      </c>
    </row>
    <row r="95" spans="1:34" ht="12.6" customHeight="1" x14ac:dyDescent="0.2">
      <c r="A95" s="98"/>
      <c r="B95" s="682" t="s">
        <v>526</v>
      </c>
      <c r="C95" s="683"/>
      <c r="D95" s="683"/>
      <c r="E95" s="684"/>
      <c r="F95" s="413">
        <f>2.631*X2</f>
        <v>2594.1659999999997</v>
      </c>
      <c r="G95" s="332">
        <f>+F95*$X$1</f>
        <v>2594.1659999999997</v>
      </c>
      <c r="H95" s="294"/>
      <c r="I95" s="294"/>
      <c r="J95" s="90">
        <f>F95+150</f>
        <v>2744.1659999999997</v>
      </c>
      <c r="K95" s="304">
        <f t="shared" ref="K95:K96" si="165">+J95*$X$1</f>
        <v>2744.1659999999997</v>
      </c>
      <c r="L95" s="529">
        <f>F95+90</f>
        <v>2684.1659999999997</v>
      </c>
      <c r="M95" s="304">
        <f t="shared" si="164"/>
        <v>2684.1659999999997</v>
      </c>
      <c r="N95" s="529">
        <f>F95+55</f>
        <v>2649.1659999999997</v>
      </c>
      <c r="O95" s="304">
        <f t="shared" ref="O95:O96" si="166">+N95*$X$1</f>
        <v>2649.1659999999997</v>
      </c>
      <c r="P95" s="529">
        <f>F95+50</f>
        <v>2644.1659999999997</v>
      </c>
      <c r="Q95" s="304">
        <f t="shared" ref="Q95:Q96" si="167">+P95*$X$1</f>
        <v>2644.1659999999997</v>
      </c>
      <c r="R95" s="529">
        <f>F95+42</f>
        <v>2636.1659999999997</v>
      </c>
      <c r="S95" s="304">
        <f t="shared" ref="S95:S96" si="168">+R95*$X$1</f>
        <v>2636.1659999999997</v>
      </c>
      <c r="T95" s="529">
        <f>F95+35</f>
        <v>2629.1659999999997</v>
      </c>
      <c r="U95" s="304">
        <f t="shared" ref="U95:U96" si="169">+T95*$X$1</f>
        <v>2629.1659999999997</v>
      </c>
      <c r="V95" s="529">
        <f>F95+30</f>
        <v>2624.1659999999997</v>
      </c>
      <c r="W95" s="304">
        <f t="shared" ref="W95:W96" si="170">+V95*$X$1</f>
        <v>2624.1659999999997</v>
      </c>
      <c r="X95" s="168"/>
      <c r="Y95" s="140"/>
      <c r="Z95" s="140"/>
      <c r="AA95" s="143"/>
      <c r="AB95" s="453">
        <v>249</v>
      </c>
    </row>
    <row r="96" spans="1:34" ht="12.6" customHeight="1" x14ac:dyDescent="0.2">
      <c r="A96" s="108"/>
      <c r="B96" s="704" t="s">
        <v>409</v>
      </c>
      <c r="C96" s="705"/>
      <c r="D96" s="705"/>
      <c r="E96" s="705"/>
      <c r="F96" s="361">
        <v>60</v>
      </c>
      <c r="G96" s="385">
        <f t="shared" si="163"/>
        <v>60</v>
      </c>
      <c r="H96" s="308"/>
      <c r="I96" s="308"/>
      <c r="J96" s="106">
        <f>F96+200</f>
        <v>260</v>
      </c>
      <c r="K96" s="361">
        <f t="shared" si="165"/>
        <v>260</v>
      </c>
      <c r="L96" s="591">
        <f>F96+140</f>
        <v>200</v>
      </c>
      <c r="M96" s="361">
        <f t="shared" si="164"/>
        <v>200</v>
      </c>
      <c r="N96" s="591">
        <f>F96+90</f>
        <v>150</v>
      </c>
      <c r="O96" s="361">
        <f t="shared" si="166"/>
        <v>150</v>
      </c>
      <c r="P96" s="591">
        <f>F96+80</f>
        <v>140</v>
      </c>
      <c r="Q96" s="361">
        <f t="shared" si="167"/>
        <v>140</v>
      </c>
      <c r="R96" s="591">
        <f>F96+70</f>
        <v>130</v>
      </c>
      <c r="S96" s="361">
        <f t="shared" si="168"/>
        <v>130</v>
      </c>
      <c r="T96" s="591">
        <f>F96+65</f>
        <v>125</v>
      </c>
      <c r="U96" s="361">
        <f t="shared" si="169"/>
        <v>125</v>
      </c>
      <c r="V96" s="591">
        <f>F96+60</f>
        <v>120</v>
      </c>
      <c r="W96" s="361">
        <f t="shared" si="170"/>
        <v>120</v>
      </c>
      <c r="X96" s="169"/>
      <c r="Y96" s="140"/>
      <c r="Z96" s="140"/>
      <c r="AA96" s="143"/>
      <c r="AB96" s="454">
        <v>251</v>
      </c>
    </row>
    <row r="97" spans="1:30" ht="12.6" customHeight="1" x14ac:dyDescent="0.2">
      <c r="A97" s="18"/>
      <c r="B97" s="674" t="s">
        <v>377</v>
      </c>
      <c r="C97" s="675"/>
      <c r="D97" s="675"/>
      <c r="E97" s="675"/>
      <c r="F97" s="304">
        <v>690</v>
      </c>
      <c r="G97" s="304">
        <f t="shared" si="163"/>
        <v>690</v>
      </c>
      <c r="H97" s="294"/>
      <c r="I97" s="294"/>
      <c r="J97" s="120">
        <f t="shared" ref="J97:J104" si="171">F97+150</f>
        <v>840</v>
      </c>
      <c r="K97" s="304">
        <f t="shared" ref="K97:K98" si="172">+J97*$X$1</f>
        <v>840</v>
      </c>
      <c r="L97" s="529"/>
      <c r="M97" s="529"/>
      <c r="N97" s="529">
        <f>F97+23</f>
        <v>713</v>
      </c>
      <c r="O97" s="529"/>
      <c r="P97" s="294"/>
      <c r="Q97" s="294"/>
      <c r="R97" s="529">
        <f>F97+15</f>
        <v>705</v>
      </c>
      <c r="S97" s="529"/>
      <c r="T97" s="529">
        <f>F97+12</f>
        <v>702</v>
      </c>
      <c r="U97" s="529"/>
      <c r="V97" s="529">
        <f>F97+10</f>
        <v>700</v>
      </c>
      <c r="W97" s="529"/>
      <c r="X97" s="169"/>
      <c r="Y97" s="140"/>
      <c r="Z97" s="140"/>
      <c r="AA97" s="143"/>
      <c r="AB97" s="454" t="s">
        <v>153</v>
      </c>
    </row>
    <row r="98" spans="1:30" ht="12.6" customHeight="1" x14ac:dyDescent="0.2">
      <c r="A98" s="18"/>
      <c r="B98" s="622" t="s">
        <v>515</v>
      </c>
      <c r="C98" s="644"/>
      <c r="D98" s="644"/>
      <c r="E98" s="645"/>
      <c r="F98" s="412">
        <f>12.097*X2</f>
        <v>11927.642</v>
      </c>
      <c r="G98" s="303">
        <f t="shared" si="163"/>
        <v>11927.642</v>
      </c>
      <c r="H98" s="72">
        <f t="shared" ref="H98:H103" si="173">F98+400</f>
        <v>12327.642</v>
      </c>
      <c r="I98" s="303">
        <f t="shared" ref="I98:I103" si="174">+H98*$X$1</f>
        <v>12327.642</v>
      </c>
      <c r="J98" s="72">
        <f t="shared" si="171"/>
        <v>12077.642</v>
      </c>
      <c r="K98" s="303">
        <f t="shared" si="172"/>
        <v>12077.642</v>
      </c>
      <c r="L98" s="590">
        <f t="shared" ref="L98:L104" si="175">F98+90</f>
        <v>12017.642</v>
      </c>
      <c r="M98" s="303">
        <f t="shared" ref="M98" si="176">+L98*$X$1</f>
        <v>12017.642</v>
      </c>
      <c r="N98" s="590">
        <f t="shared" ref="N98:N104" si="177">F98+55</f>
        <v>11982.642</v>
      </c>
      <c r="O98" s="303">
        <f t="shared" ref="O98" si="178">+N98*$X$1</f>
        <v>11982.642</v>
      </c>
      <c r="P98" s="590">
        <f t="shared" ref="P98:P104" si="179">F98+50</f>
        <v>11977.642</v>
      </c>
      <c r="Q98" s="303">
        <f t="shared" ref="Q98" si="180">+P98*$X$1</f>
        <v>11977.642</v>
      </c>
      <c r="R98" s="590">
        <f t="shared" ref="R98:R104" si="181">F98+42</f>
        <v>11969.642</v>
      </c>
      <c r="S98" s="303">
        <f t="shared" ref="S98" si="182">+R98*$X$1</f>
        <v>11969.642</v>
      </c>
      <c r="T98" s="590">
        <f t="shared" ref="T98:T104" si="183">F98+35</f>
        <v>11962.642</v>
      </c>
      <c r="U98" s="303">
        <f t="shared" ref="U98" si="184">+T98*$X$1</f>
        <v>11962.642</v>
      </c>
      <c r="V98" s="590">
        <f t="shared" ref="V98:V104" si="185">F98+30</f>
        <v>11957.642</v>
      </c>
      <c r="W98" s="303">
        <f t="shared" ref="W98" si="186">+V98*$X$1</f>
        <v>11957.642</v>
      </c>
      <c r="X98" s="170"/>
      <c r="Y98" s="140"/>
      <c r="Z98" s="140"/>
      <c r="AA98" s="143"/>
      <c r="AB98" s="454">
        <v>268</v>
      </c>
    </row>
    <row r="99" spans="1:30" ht="12.6" customHeight="1" x14ac:dyDescent="0.2">
      <c r="A99" s="18"/>
      <c r="B99" s="674" t="s">
        <v>696</v>
      </c>
      <c r="C99" s="675"/>
      <c r="D99" s="675"/>
      <c r="E99" s="675"/>
      <c r="F99" s="413">
        <f>4.502*X2</f>
        <v>4438.9719999999998</v>
      </c>
      <c r="G99" s="304">
        <f t="shared" si="163"/>
        <v>4438.9719999999998</v>
      </c>
      <c r="H99" s="90">
        <f t="shared" si="173"/>
        <v>4838.9719999999998</v>
      </c>
      <c r="I99" s="304">
        <f t="shared" si="174"/>
        <v>4838.9719999999998</v>
      </c>
      <c r="J99" s="90">
        <f t="shared" si="171"/>
        <v>4588.9719999999998</v>
      </c>
      <c r="K99" s="304">
        <f t="shared" ref="K99:K104" si="187">+J99*$X$1</f>
        <v>4588.9719999999998</v>
      </c>
      <c r="L99" s="529">
        <f t="shared" si="175"/>
        <v>4528.9719999999998</v>
      </c>
      <c r="M99" s="304">
        <f t="shared" ref="M99:M104" si="188">+L99*$X$1</f>
        <v>4528.9719999999998</v>
      </c>
      <c r="N99" s="529">
        <f t="shared" si="177"/>
        <v>4493.9719999999998</v>
      </c>
      <c r="O99" s="304">
        <f t="shared" ref="O99:O104" si="189">+N99*$X$1</f>
        <v>4493.9719999999998</v>
      </c>
      <c r="P99" s="529">
        <f t="shared" si="179"/>
        <v>4488.9719999999998</v>
      </c>
      <c r="Q99" s="304">
        <f t="shared" ref="Q99:Q104" si="190">+P99*$X$1</f>
        <v>4488.9719999999998</v>
      </c>
      <c r="R99" s="529">
        <f t="shared" si="181"/>
        <v>4480.9719999999998</v>
      </c>
      <c r="S99" s="304">
        <f t="shared" ref="S99:S104" si="191">+R99*$X$1</f>
        <v>4480.9719999999998</v>
      </c>
      <c r="T99" s="529">
        <f t="shared" si="183"/>
        <v>4473.9719999999998</v>
      </c>
      <c r="U99" s="304">
        <f t="shared" ref="U99:U104" si="192">+T99*$X$1</f>
        <v>4473.9719999999998</v>
      </c>
      <c r="V99" s="529">
        <f t="shared" si="185"/>
        <v>4468.9719999999998</v>
      </c>
      <c r="W99" s="304">
        <f t="shared" ref="W99:W104" si="193">+V99*$X$1</f>
        <v>4468.9719999999998</v>
      </c>
      <c r="X99" s="170"/>
      <c r="Y99" s="144"/>
      <c r="Z99" s="140"/>
      <c r="AA99" s="143"/>
      <c r="AB99" s="454">
        <v>270</v>
      </c>
      <c r="AC99" s="30"/>
    </row>
    <row r="100" spans="1:30" ht="12.6" customHeight="1" x14ac:dyDescent="0.2">
      <c r="A100" s="18"/>
      <c r="B100" s="628" t="s">
        <v>154</v>
      </c>
      <c r="C100" s="629"/>
      <c r="D100" s="629"/>
      <c r="E100" s="629"/>
      <c r="F100" s="412">
        <f>13.2*X2</f>
        <v>13015.199999999999</v>
      </c>
      <c r="G100" s="303">
        <f t="shared" ref="G100:G102" si="194">+F100*$X$1</f>
        <v>13015.199999999999</v>
      </c>
      <c r="H100" s="72">
        <f t="shared" si="173"/>
        <v>13415.199999999999</v>
      </c>
      <c r="I100" s="303">
        <f t="shared" si="174"/>
        <v>13415.199999999999</v>
      </c>
      <c r="J100" s="72">
        <f t="shared" si="171"/>
        <v>13165.199999999999</v>
      </c>
      <c r="K100" s="303">
        <f t="shared" si="187"/>
        <v>13165.199999999999</v>
      </c>
      <c r="L100" s="590">
        <f t="shared" si="175"/>
        <v>13105.199999999999</v>
      </c>
      <c r="M100" s="303">
        <f t="shared" si="188"/>
        <v>13105.199999999999</v>
      </c>
      <c r="N100" s="590">
        <f t="shared" si="177"/>
        <v>13070.199999999999</v>
      </c>
      <c r="O100" s="303">
        <f t="shared" si="189"/>
        <v>13070.199999999999</v>
      </c>
      <c r="P100" s="590">
        <f t="shared" si="179"/>
        <v>13065.199999999999</v>
      </c>
      <c r="Q100" s="303">
        <f t="shared" si="190"/>
        <v>13065.199999999999</v>
      </c>
      <c r="R100" s="590">
        <f t="shared" si="181"/>
        <v>13057.199999999999</v>
      </c>
      <c r="S100" s="303">
        <f t="shared" si="191"/>
        <v>13057.199999999999</v>
      </c>
      <c r="T100" s="590">
        <f t="shared" si="183"/>
        <v>13050.199999999999</v>
      </c>
      <c r="U100" s="303">
        <f t="shared" si="192"/>
        <v>13050.199999999999</v>
      </c>
      <c r="V100" s="590">
        <f t="shared" si="185"/>
        <v>13045.199999999999</v>
      </c>
      <c r="W100" s="303">
        <f t="shared" si="193"/>
        <v>13045.199999999999</v>
      </c>
      <c r="X100" s="169"/>
      <c r="Y100" s="140"/>
      <c r="Z100" s="140"/>
      <c r="AA100" s="143"/>
      <c r="AB100" s="454">
        <v>273</v>
      </c>
      <c r="AC100" s="30"/>
    </row>
    <row r="101" spans="1:30" ht="12.6" customHeight="1" x14ac:dyDescent="0.2">
      <c r="A101" s="18"/>
      <c r="B101" s="674" t="s">
        <v>155</v>
      </c>
      <c r="C101" s="675"/>
      <c r="D101" s="675"/>
      <c r="E101" s="675"/>
      <c r="F101" s="413">
        <f>10*X2</f>
        <v>9860</v>
      </c>
      <c r="G101" s="304">
        <f t="shared" si="194"/>
        <v>9860</v>
      </c>
      <c r="H101" s="90">
        <f t="shared" si="173"/>
        <v>10260</v>
      </c>
      <c r="I101" s="304">
        <f t="shared" si="174"/>
        <v>10260</v>
      </c>
      <c r="J101" s="90">
        <f t="shared" si="171"/>
        <v>10010</v>
      </c>
      <c r="K101" s="304">
        <f t="shared" si="187"/>
        <v>10010</v>
      </c>
      <c r="L101" s="529">
        <f t="shared" si="175"/>
        <v>9950</v>
      </c>
      <c r="M101" s="304">
        <f t="shared" si="188"/>
        <v>9950</v>
      </c>
      <c r="N101" s="529">
        <f t="shared" si="177"/>
        <v>9915</v>
      </c>
      <c r="O101" s="304">
        <f t="shared" si="189"/>
        <v>9915</v>
      </c>
      <c r="P101" s="529">
        <f t="shared" si="179"/>
        <v>9910</v>
      </c>
      <c r="Q101" s="304">
        <f t="shared" si="190"/>
        <v>9910</v>
      </c>
      <c r="R101" s="529">
        <f t="shared" si="181"/>
        <v>9902</v>
      </c>
      <c r="S101" s="304">
        <f t="shared" si="191"/>
        <v>9902</v>
      </c>
      <c r="T101" s="529">
        <f t="shared" si="183"/>
        <v>9895</v>
      </c>
      <c r="U101" s="304">
        <f t="shared" si="192"/>
        <v>9895</v>
      </c>
      <c r="V101" s="529">
        <f t="shared" si="185"/>
        <v>9890</v>
      </c>
      <c r="W101" s="304">
        <f t="shared" si="193"/>
        <v>9890</v>
      </c>
      <c r="X101" s="170"/>
      <c r="Y101" s="144"/>
      <c r="Z101" s="140"/>
      <c r="AA101" s="143"/>
      <c r="AB101" s="454" t="s">
        <v>156</v>
      </c>
      <c r="AC101" s="30"/>
    </row>
    <row r="102" spans="1:30" ht="12.6" customHeight="1" x14ac:dyDescent="0.2">
      <c r="A102" s="18"/>
      <c r="B102" s="628" t="s">
        <v>157</v>
      </c>
      <c r="C102" s="629"/>
      <c r="D102" s="629"/>
      <c r="E102" s="629"/>
      <c r="F102" s="412">
        <f>8.73*X2</f>
        <v>8607.7800000000007</v>
      </c>
      <c r="G102" s="303">
        <f t="shared" si="194"/>
        <v>8607.7800000000007</v>
      </c>
      <c r="H102" s="72">
        <f t="shared" si="173"/>
        <v>9007.7800000000007</v>
      </c>
      <c r="I102" s="303">
        <f t="shared" si="174"/>
        <v>9007.7800000000007</v>
      </c>
      <c r="J102" s="72">
        <f t="shared" si="171"/>
        <v>8757.7800000000007</v>
      </c>
      <c r="K102" s="303">
        <f t="shared" si="187"/>
        <v>8757.7800000000007</v>
      </c>
      <c r="L102" s="590">
        <f t="shared" si="175"/>
        <v>8697.7800000000007</v>
      </c>
      <c r="M102" s="303">
        <f t="shared" si="188"/>
        <v>8697.7800000000007</v>
      </c>
      <c r="N102" s="590">
        <f t="shared" si="177"/>
        <v>8662.7800000000007</v>
      </c>
      <c r="O102" s="303">
        <f t="shared" si="189"/>
        <v>8662.7800000000007</v>
      </c>
      <c r="P102" s="590">
        <f t="shared" si="179"/>
        <v>8657.7800000000007</v>
      </c>
      <c r="Q102" s="303">
        <f t="shared" si="190"/>
        <v>8657.7800000000007</v>
      </c>
      <c r="R102" s="590">
        <f t="shared" si="181"/>
        <v>8649.7800000000007</v>
      </c>
      <c r="S102" s="303">
        <f t="shared" si="191"/>
        <v>8649.7800000000007</v>
      </c>
      <c r="T102" s="590">
        <f t="shared" si="183"/>
        <v>8642.7800000000007</v>
      </c>
      <c r="U102" s="303">
        <f t="shared" si="192"/>
        <v>8642.7800000000007</v>
      </c>
      <c r="V102" s="590">
        <f t="shared" si="185"/>
        <v>8637.7800000000007</v>
      </c>
      <c r="W102" s="303">
        <f t="shared" si="193"/>
        <v>8637.7800000000007</v>
      </c>
      <c r="X102" s="170"/>
      <c r="Y102" s="144"/>
      <c r="Z102" s="140"/>
      <c r="AA102" s="143"/>
      <c r="AB102" s="454">
        <v>278</v>
      </c>
      <c r="AC102" s="30"/>
    </row>
    <row r="103" spans="1:30" ht="12.6" customHeight="1" x14ac:dyDescent="0.2">
      <c r="A103" s="18"/>
      <c r="B103" s="693" t="s">
        <v>158</v>
      </c>
      <c r="C103" s="694"/>
      <c r="D103" s="694"/>
      <c r="E103" s="694"/>
      <c r="F103" s="413">
        <f>2.02*X2</f>
        <v>1991.72</v>
      </c>
      <c r="G103" s="304">
        <f>+F103*$X$1</f>
        <v>1991.72</v>
      </c>
      <c r="H103" s="90">
        <f t="shared" si="173"/>
        <v>2391.7200000000003</v>
      </c>
      <c r="I103" s="304">
        <f t="shared" si="174"/>
        <v>2391.7200000000003</v>
      </c>
      <c r="J103" s="90">
        <f t="shared" si="171"/>
        <v>2141.7200000000003</v>
      </c>
      <c r="K103" s="304">
        <f t="shared" si="187"/>
        <v>2141.7200000000003</v>
      </c>
      <c r="L103" s="529">
        <f t="shared" si="175"/>
        <v>2081.7200000000003</v>
      </c>
      <c r="M103" s="304">
        <f t="shared" si="188"/>
        <v>2081.7200000000003</v>
      </c>
      <c r="N103" s="529">
        <f t="shared" si="177"/>
        <v>2046.72</v>
      </c>
      <c r="O103" s="304">
        <f t="shared" si="189"/>
        <v>2046.72</v>
      </c>
      <c r="P103" s="529">
        <f t="shared" si="179"/>
        <v>2041.72</v>
      </c>
      <c r="Q103" s="304">
        <f t="shared" si="190"/>
        <v>2041.72</v>
      </c>
      <c r="R103" s="529">
        <f t="shared" si="181"/>
        <v>2033.72</v>
      </c>
      <c r="S103" s="304">
        <f t="shared" si="191"/>
        <v>2033.72</v>
      </c>
      <c r="T103" s="529">
        <f t="shared" si="183"/>
        <v>2026.72</v>
      </c>
      <c r="U103" s="304">
        <f t="shared" si="192"/>
        <v>2026.72</v>
      </c>
      <c r="V103" s="529">
        <f t="shared" si="185"/>
        <v>2021.72</v>
      </c>
      <c r="W103" s="304">
        <f t="shared" si="193"/>
        <v>2021.72</v>
      </c>
      <c r="X103" s="167"/>
      <c r="Y103" s="144"/>
      <c r="Z103" s="140"/>
      <c r="AA103" s="143"/>
      <c r="AB103" s="454">
        <v>288</v>
      </c>
      <c r="AC103" s="30"/>
    </row>
    <row r="104" spans="1:30" ht="12.6" customHeight="1" x14ac:dyDescent="0.2">
      <c r="A104" s="18"/>
      <c r="B104" s="628" t="s">
        <v>159</v>
      </c>
      <c r="C104" s="629"/>
      <c r="D104" s="629"/>
      <c r="E104" s="629"/>
      <c r="F104" s="303">
        <v>398</v>
      </c>
      <c r="G104" s="303">
        <f>+F104*$X$1</f>
        <v>398</v>
      </c>
      <c r="H104" s="72"/>
      <c r="I104" s="303"/>
      <c r="J104" s="72">
        <f t="shared" si="171"/>
        <v>548</v>
      </c>
      <c r="K104" s="303">
        <f t="shared" si="187"/>
        <v>548</v>
      </c>
      <c r="L104" s="590">
        <f t="shared" si="175"/>
        <v>488</v>
      </c>
      <c r="M104" s="303">
        <f t="shared" si="188"/>
        <v>488</v>
      </c>
      <c r="N104" s="590">
        <f t="shared" si="177"/>
        <v>453</v>
      </c>
      <c r="O104" s="303">
        <f t="shared" si="189"/>
        <v>453</v>
      </c>
      <c r="P104" s="590">
        <f t="shared" si="179"/>
        <v>448</v>
      </c>
      <c r="Q104" s="303">
        <f t="shared" si="190"/>
        <v>448</v>
      </c>
      <c r="R104" s="590">
        <f t="shared" si="181"/>
        <v>440</v>
      </c>
      <c r="S104" s="303">
        <f t="shared" si="191"/>
        <v>440</v>
      </c>
      <c r="T104" s="590">
        <f t="shared" si="183"/>
        <v>433</v>
      </c>
      <c r="U104" s="303">
        <f t="shared" si="192"/>
        <v>433</v>
      </c>
      <c r="V104" s="590">
        <f t="shared" si="185"/>
        <v>428</v>
      </c>
      <c r="W104" s="303">
        <f t="shared" si="193"/>
        <v>428</v>
      </c>
      <c r="X104" s="167"/>
      <c r="Y104" s="144"/>
      <c r="Z104" s="140"/>
      <c r="AA104" s="143"/>
      <c r="AB104" s="454">
        <v>289</v>
      </c>
      <c r="AC104" s="30"/>
    </row>
    <row r="105" spans="1:30" ht="12.6" customHeight="1" x14ac:dyDescent="0.2">
      <c r="A105" s="18"/>
      <c r="B105" s="674" t="s">
        <v>160</v>
      </c>
      <c r="C105" s="675"/>
      <c r="D105" s="675"/>
      <c r="E105" s="675"/>
      <c r="F105" s="304"/>
      <c r="G105" s="700" t="s">
        <v>614</v>
      </c>
      <c r="H105" s="701"/>
      <c r="I105" s="701"/>
      <c r="J105" s="701"/>
      <c r="K105" s="701"/>
      <c r="L105" s="701"/>
      <c r="M105" s="701"/>
      <c r="N105" s="701"/>
      <c r="O105" s="702"/>
      <c r="P105" s="296">
        <v>383</v>
      </c>
      <c r="Q105" s="304">
        <f t="shared" ref="Q105:Q109" si="195">+P105*$X$1</f>
        <v>383</v>
      </c>
      <c r="R105" s="118">
        <v>380</v>
      </c>
      <c r="S105" s="325">
        <f t="shared" ref="S105:S108" si="196">+R105*$X$1</f>
        <v>380</v>
      </c>
      <c r="T105" s="104">
        <v>370</v>
      </c>
      <c r="U105" s="325">
        <f t="shared" ref="U105:U108" si="197">+T105*$X$1</f>
        <v>370</v>
      </c>
      <c r="V105" s="104">
        <v>361</v>
      </c>
      <c r="W105" s="325">
        <f t="shared" ref="W105:W108" si="198">+V105*$X$1</f>
        <v>361</v>
      </c>
      <c r="X105" s="676"/>
      <c r="Y105" s="677"/>
      <c r="Z105" s="677"/>
      <c r="AA105" s="678"/>
      <c r="AB105" s="454">
        <v>290</v>
      </c>
    </row>
    <row r="106" spans="1:30" ht="12.6" customHeight="1" x14ac:dyDescent="0.2">
      <c r="A106" s="18"/>
      <c r="B106" s="628" t="s">
        <v>425</v>
      </c>
      <c r="C106" s="629"/>
      <c r="D106" s="629"/>
      <c r="E106" s="629"/>
      <c r="F106" s="303"/>
      <c r="G106" s="700" t="s">
        <v>615</v>
      </c>
      <c r="H106" s="701"/>
      <c r="I106" s="701"/>
      <c r="J106" s="701"/>
      <c r="K106" s="701"/>
      <c r="L106" s="701"/>
      <c r="M106" s="701"/>
      <c r="N106" s="701"/>
      <c r="O106" s="702"/>
      <c r="P106" s="297">
        <v>504</v>
      </c>
      <c r="Q106" s="303">
        <f t="shared" si="195"/>
        <v>504</v>
      </c>
      <c r="R106" s="439">
        <v>501</v>
      </c>
      <c r="S106" s="268">
        <f t="shared" si="196"/>
        <v>501</v>
      </c>
      <c r="T106" s="538">
        <v>488</v>
      </c>
      <c r="U106" s="268">
        <f t="shared" si="197"/>
        <v>488</v>
      </c>
      <c r="V106" s="538">
        <v>479</v>
      </c>
      <c r="W106" s="268">
        <f t="shared" si="198"/>
        <v>479</v>
      </c>
      <c r="X106" s="676"/>
      <c r="Y106" s="677"/>
      <c r="Z106" s="677"/>
      <c r="AA106" s="678"/>
      <c r="AB106" s="454" t="s">
        <v>161</v>
      </c>
    </row>
    <row r="107" spans="1:30" ht="12.6" customHeight="1" x14ac:dyDescent="0.2">
      <c r="A107" s="18"/>
      <c r="B107" s="674" t="s">
        <v>426</v>
      </c>
      <c r="C107" s="675"/>
      <c r="D107" s="675"/>
      <c r="E107" s="675"/>
      <c r="F107" s="304"/>
      <c r="G107" s="700" t="s">
        <v>616</v>
      </c>
      <c r="H107" s="701"/>
      <c r="I107" s="701"/>
      <c r="J107" s="701"/>
      <c r="K107" s="701"/>
      <c r="L107" s="701"/>
      <c r="M107" s="702"/>
      <c r="N107" s="296">
        <v>565</v>
      </c>
      <c r="O107" s="304">
        <f t="shared" ref="O107:O108" si="199">+N107*$X$1</f>
        <v>565</v>
      </c>
      <c r="P107" s="296">
        <v>474</v>
      </c>
      <c r="Q107" s="304">
        <f t="shared" si="195"/>
        <v>474</v>
      </c>
      <c r="R107" s="535">
        <v>471</v>
      </c>
      <c r="S107" s="325">
        <f t="shared" si="196"/>
        <v>471</v>
      </c>
      <c r="T107" s="529">
        <v>462</v>
      </c>
      <c r="U107" s="325">
        <f t="shared" si="197"/>
        <v>462</v>
      </c>
      <c r="V107" s="529">
        <v>453</v>
      </c>
      <c r="W107" s="325">
        <f t="shared" si="198"/>
        <v>453</v>
      </c>
      <c r="X107" s="676"/>
      <c r="Y107" s="677"/>
      <c r="Z107" s="677"/>
      <c r="AA107" s="678"/>
      <c r="AB107" s="454">
        <v>291</v>
      </c>
    </row>
    <row r="108" spans="1:30" ht="12.6" customHeight="1" x14ac:dyDescent="0.2">
      <c r="A108" s="18"/>
      <c r="B108" s="628" t="s">
        <v>427</v>
      </c>
      <c r="C108" s="629"/>
      <c r="D108" s="629"/>
      <c r="E108" s="629"/>
      <c r="F108" s="303"/>
      <c r="G108" s="700" t="s">
        <v>617</v>
      </c>
      <c r="H108" s="701"/>
      <c r="I108" s="701"/>
      <c r="J108" s="701"/>
      <c r="K108" s="701"/>
      <c r="L108" s="701"/>
      <c r="M108" s="702"/>
      <c r="N108" s="297">
        <v>781</v>
      </c>
      <c r="O108" s="303">
        <f t="shared" si="199"/>
        <v>781</v>
      </c>
      <c r="P108" s="297">
        <v>654</v>
      </c>
      <c r="Q108" s="303">
        <f t="shared" si="195"/>
        <v>654</v>
      </c>
      <c r="R108" s="439">
        <v>651</v>
      </c>
      <c r="S108" s="268">
        <f t="shared" si="196"/>
        <v>651</v>
      </c>
      <c r="T108" s="538">
        <v>641</v>
      </c>
      <c r="U108" s="268">
        <f t="shared" si="197"/>
        <v>641</v>
      </c>
      <c r="V108" s="538">
        <v>631</v>
      </c>
      <c r="W108" s="268">
        <f t="shared" si="198"/>
        <v>631</v>
      </c>
      <c r="X108" s="676"/>
      <c r="Y108" s="677"/>
      <c r="Z108" s="677"/>
      <c r="AA108" s="678"/>
      <c r="AB108" s="454" t="s">
        <v>162</v>
      </c>
    </row>
    <row r="109" spans="1:30" ht="12.6" customHeight="1" x14ac:dyDescent="0.2">
      <c r="A109" s="18"/>
      <c r="B109" s="674" t="s">
        <v>163</v>
      </c>
      <c r="C109" s="674"/>
      <c r="D109" s="674"/>
      <c r="E109" s="674"/>
      <c r="F109" s="364">
        <v>253</v>
      </c>
      <c r="G109" s="304">
        <f t="shared" ref="G109:G110" si="200">+F109*$X$1</f>
        <v>253</v>
      </c>
      <c r="H109" s="717" t="s">
        <v>424</v>
      </c>
      <c r="I109" s="718"/>
      <c r="J109" s="718"/>
      <c r="K109" s="718"/>
      <c r="L109" s="719"/>
      <c r="M109" s="720"/>
      <c r="N109" s="118">
        <f>F109+55</f>
        <v>308</v>
      </c>
      <c r="O109" s="340">
        <f>+N109*$X$1</f>
        <v>308</v>
      </c>
      <c r="P109" s="118">
        <f>F109+50</f>
        <v>303</v>
      </c>
      <c r="Q109" s="304">
        <f t="shared" si="195"/>
        <v>303</v>
      </c>
      <c r="R109" s="597">
        <f>F109+42</f>
        <v>295</v>
      </c>
      <c r="S109" s="325">
        <f>+R109*$X$1</f>
        <v>295</v>
      </c>
      <c r="T109" s="529">
        <f>F109+35</f>
        <v>288</v>
      </c>
      <c r="U109" s="325">
        <f>+T109*$X$1</f>
        <v>288</v>
      </c>
      <c r="V109" s="529">
        <f>F109+30</f>
        <v>283</v>
      </c>
      <c r="W109" s="325">
        <f>+V109*$X$1</f>
        <v>283</v>
      </c>
      <c r="X109" s="676"/>
      <c r="Y109" s="677"/>
      <c r="Z109" s="677"/>
      <c r="AA109" s="678"/>
      <c r="AB109" s="201">
        <v>296</v>
      </c>
      <c r="AD109" s="65"/>
    </row>
    <row r="110" spans="1:30" ht="12.6" customHeight="1" x14ac:dyDescent="0.2">
      <c r="A110" s="18"/>
      <c r="B110" s="628" t="s">
        <v>164</v>
      </c>
      <c r="C110" s="628"/>
      <c r="D110" s="628"/>
      <c r="E110" s="628"/>
      <c r="F110" s="327">
        <v>341</v>
      </c>
      <c r="G110" s="303">
        <f t="shared" si="200"/>
        <v>341</v>
      </c>
      <c r="H110" s="721"/>
      <c r="I110" s="722"/>
      <c r="J110" s="722"/>
      <c r="K110" s="722"/>
      <c r="L110" s="723"/>
      <c r="M110" s="724"/>
      <c r="N110" s="307">
        <f>F110+55</f>
        <v>396</v>
      </c>
      <c r="O110" s="326">
        <f>+N110*$X$1</f>
        <v>396</v>
      </c>
      <c r="P110" s="307">
        <f>F110+50</f>
        <v>391</v>
      </c>
      <c r="Q110" s="303">
        <f t="shared" ref="Q110" si="201">+P110*$X$1</f>
        <v>391</v>
      </c>
      <c r="R110" s="220">
        <f>F110+42</f>
        <v>383</v>
      </c>
      <c r="S110" s="268">
        <f>+R110*$X$1</f>
        <v>383</v>
      </c>
      <c r="T110" s="590">
        <f>F110+35</f>
        <v>376</v>
      </c>
      <c r="U110" s="268">
        <f>+T110*$X$1</f>
        <v>376</v>
      </c>
      <c r="V110" s="590">
        <f>F110+30</f>
        <v>371</v>
      </c>
      <c r="W110" s="268">
        <f>+V110*$X$1</f>
        <v>371</v>
      </c>
      <c r="X110" s="676"/>
      <c r="Y110" s="677"/>
      <c r="Z110" s="677"/>
      <c r="AA110" s="678"/>
      <c r="AB110" s="201">
        <v>297</v>
      </c>
    </row>
    <row r="111" spans="1:30" ht="12.6" customHeight="1" x14ac:dyDescent="0.2">
      <c r="A111" s="18"/>
      <c r="B111" s="680" t="s">
        <v>368</v>
      </c>
      <c r="C111" s="681"/>
      <c r="D111" s="681"/>
      <c r="E111" s="681"/>
      <c r="F111" s="340"/>
      <c r="G111" s="340"/>
      <c r="H111" s="94"/>
      <c r="I111" s="841" t="s">
        <v>369</v>
      </c>
      <c r="J111" s="842"/>
      <c r="K111" s="842"/>
      <c r="L111" s="842"/>
      <c r="M111" s="842"/>
      <c r="N111" s="842"/>
      <c r="O111" s="842"/>
      <c r="P111" s="842"/>
      <c r="Q111" s="842"/>
      <c r="R111" s="842"/>
      <c r="S111" s="842"/>
      <c r="T111" s="842"/>
      <c r="U111" s="842"/>
      <c r="V111" s="842"/>
      <c r="W111" s="875"/>
      <c r="X111" s="625"/>
      <c r="Y111" s="626"/>
      <c r="Z111" s="626"/>
      <c r="AA111" s="627"/>
      <c r="AB111" s="454"/>
    </row>
    <row r="112" spans="1:30" ht="12.6" customHeight="1" x14ac:dyDescent="0.2">
      <c r="A112" s="18"/>
      <c r="B112" s="714" t="s">
        <v>370</v>
      </c>
      <c r="C112" s="715"/>
      <c r="D112" s="715"/>
      <c r="E112" s="715"/>
      <c r="F112" s="326"/>
      <c r="G112" s="378"/>
      <c r="H112" s="123"/>
      <c r="I112" s="845"/>
      <c r="J112" s="846"/>
      <c r="K112" s="846"/>
      <c r="L112" s="851"/>
      <c r="M112" s="851"/>
      <c r="N112" s="851"/>
      <c r="O112" s="846"/>
      <c r="P112" s="846"/>
      <c r="Q112" s="846"/>
      <c r="R112" s="846"/>
      <c r="S112" s="846"/>
      <c r="T112" s="851"/>
      <c r="U112" s="851"/>
      <c r="V112" s="851"/>
      <c r="W112" s="876"/>
      <c r="X112" s="625"/>
      <c r="Y112" s="626"/>
      <c r="Z112" s="626"/>
      <c r="AA112" s="627"/>
      <c r="AB112" s="454"/>
    </row>
    <row r="113" spans="1:28" ht="12.6" customHeight="1" x14ac:dyDescent="0.2">
      <c r="A113" s="18"/>
      <c r="B113" s="674" t="s">
        <v>817</v>
      </c>
      <c r="C113" s="675"/>
      <c r="D113" s="675"/>
      <c r="E113" s="675"/>
      <c r="F113" s="382"/>
      <c r="G113" s="700" t="s">
        <v>423</v>
      </c>
      <c r="H113" s="701"/>
      <c r="I113" s="701"/>
      <c r="J113" s="701"/>
      <c r="K113" s="702"/>
      <c r="L113" s="537">
        <v>1565</v>
      </c>
      <c r="M113" s="304">
        <f t="shared" ref="M113:O126" si="202">+L113*$X$1</f>
        <v>1565</v>
      </c>
      <c r="N113" s="129">
        <v>1333</v>
      </c>
      <c r="O113" s="304">
        <f t="shared" si="202"/>
        <v>1333</v>
      </c>
      <c r="P113" s="427">
        <v>1110</v>
      </c>
      <c r="Q113" s="304">
        <f t="shared" ref="Q113:Q125" si="203">+P113*$X$1</f>
        <v>1110</v>
      </c>
      <c r="R113" s="529">
        <v>1105</v>
      </c>
      <c r="S113" s="304">
        <f t="shared" ref="S113:S126" si="204">+R113*$X$1</f>
        <v>1105</v>
      </c>
      <c r="T113" s="529">
        <v>1093</v>
      </c>
      <c r="U113" s="340">
        <f t="shared" ref="U113:U124" si="205">+T113*$X$1</f>
        <v>1093</v>
      </c>
      <c r="V113" s="529">
        <v>827</v>
      </c>
      <c r="W113" s="340">
        <f t="shared" ref="W113:W124" si="206">+V113*$X$1</f>
        <v>827</v>
      </c>
      <c r="X113" s="676"/>
      <c r="Y113" s="677"/>
      <c r="Z113" s="677"/>
      <c r="AA113" s="678"/>
      <c r="AB113" s="454">
        <v>301</v>
      </c>
    </row>
    <row r="114" spans="1:28" ht="12.6" customHeight="1" x14ac:dyDescent="0.2">
      <c r="A114" s="18"/>
      <c r="B114" s="628" t="s">
        <v>818</v>
      </c>
      <c r="C114" s="629"/>
      <c r="D114" s="629"/>
      <c r="E114" s="629"/>
      <c r="F114" s="383"/>
      <c r="G114" s="700" t="s">
        <v>423</v>
      </c>
      <c r="H114" s="701"/>
      <c r="I114" s="701"/>
      <c r="J114" s="701"/>
      <c r="K114" s="702"/>
      <c r="L114" s="323">
        <v>1722</v>
      </c>
      <c r="M114" s="541">
        <f t="shared" si="202"/>
        <v>1722</v>
      </c>
      <c r="N114" s="439">
        <v>1468</v>
      </c>
      <c r="O114" s="541">
        <f t="shared" si="202"/>
        <v>1468</v>
      </c>
      <c r="P114" s="324">
        <v>1221</v>
      </c>
      <c r="Q114" s="303">
        <f t="shared" si="203"/>
        <v>1221</v>
      </c>
      <c r="R114" s="123">
        <v>1217</v>
      </c>
      <c r="S114" s="541">
        <f t="shared" si="204"/>
        <v>1217</v>
      </c>
      <c r="T114" s="538">
        <v>1205</v>
      </c>
      <c r="U114" s="326">
        <f t="shared" si="205"/>
        <v>1205</v>
      </c>
      <c r="V114" s="538">
        <v>949</v>
      </c>
      <c r="W114" s="326">
        <f t="shared" si="206"/>
        <v>949</v>
      </c>
      <c r="X114" s="676"/>
      <c r="Y114" s="677"/>
      <c r="Z114" s="677"/>
      <c r="AA114" s="678"/>
      <c r="AB114" s="454" t="s">
        <v>165</v>
      </c>
    </row>
    <row r="115" spans="1:28" ht="12.6" customHeight="1" x14ac:dyDescent="0.2">
      <c r="A115" s="18"/>
      <c r="B115" s="674" t="s">
        <v>819</v>
      </c>
      <c r="C115" s="675"/>
      <c r="D115" s="675"/>
      <c r="E115" s="675"/>
      <c r="F115" s="382"/>
      <c r="G115" s="700" t="s">
        <v>423</v>
      </c>
      <c r="H115" s="701"/>
      <c r="I115" s="701"/>
      <c r="J115" s="701"/>
      <c r="K115" s="702"/>
      <c r="L115" s="537">
        <v>4142</v>
      </c>
      <c r="M115" s="304">
        <f t="shared" ref="M115" si="207">+L115*$X$1</f>
        <v>4142</v>
      </c>
      <c r="N115" s="129">
        <v>3532</v>
      </c>
      <c r="O115" s="304">
        <f t="shared" ref="O115" si="208">+N115*$X$1</f>
        <v>3532</v>
      </c>
      <c r="P115" s="427">
        <v>3227</v>
      </c>
      <c r="Q115" s="304">
        <f t="shared" ref="Q115" si="209">+P115*$X$1</f>
        <v>3227</v>
      </c>
      <c r="R115" s="529">
        <v>3221</v>
      </c>
      <c r="S115" s="304">
        <f t="shared" ref="S115" si="210">+R115*$X$1</f>
        <v>3221</v>
      </c>
      <c r="T115" s="529">
        <v>3197</v>
      </c>
      <c r="U115" s="340">
        <f t="shared" ref="U115" si="211">+T115*$X$1</f>
        <v>3197</v>
      </c>
      <c r="V115" s="529">
        <v>2811</v>
      </c>
      <c r="W115" s="340">
        <f t="shared" ref="W115" si="212">+V115*$X$1</f>
        <v>2811</v>
      </c>
      <c r="X115" s="676"/>
      <c r="Y115" s="677"/>
      <c r="Z115" s="677"/>
      <c r="AA115" s="678"/>
      <c r="AB115" s="454" t="s">
        <v>166</v>
      </c>
    </row>
    <row r="116" spans="1:28" ht="12.6" customHeight="1" x14ac:dyDescent="0.2">
      <c r="A116" s="18"/>
      <c r="B116" s="628" t="s">
        <v>843</v>
      </c>
      <c r="C116" s="884"/>
      <c r="D116" s="884"/>
      <c r="E116" s="884"/>
      <c r="F116" s="383"/>
      <c r="G116" s="700" t="s">
        <v>423</v>
      </c>
      <c r="H116" s="701"/>
      <c r="I116" s="701"/>
      <c r="J116" s="701"/>
      <c r="K116" s="702"/>
      <c r="L116" s="537">
        <v>2895</v>
      </c>
      <c r="M116" s="303">
        <f t="shared" ref="M116" si="213">+L116*$X$1</f>
        <v>2895</v>
      </c>
      <c r="N116" s="72">
        <v>2467</v>
      </c>
      <c r="O116" s="303">
        <f t="shared" ref="O116" si="214">+N116*$X$1</f>
        <v>2467</v>
      </c>
      <c r="P116" s="342">
        <v>2270</v>
      </c>
      <c r="Q116" s="303">
        <f t="shared" ref="Q116" si="215">+P116*$X$1</f>
        <v>2270</v>
      </c>
      <c r="R116" s="538">
        <v>2250</v>
      </c>
      <c r="S116" s="303">
        <f t="shared" ref="S116" si="216">+R116*$X$1</f>
        <v>2250</v>
      </c>
      <c r="T116" s="538">
        <v>2232</v>
      </c>
      <c r="U116" s="303">
        <f t="shared" ref="U116" si="217">+T116*$X$1</f>
        <v>2232</v>
      </c>
      <c r="V116" s="538">
        <v>1851</v>
      </c>
      <c r="W116" s="303">
        <f t="shared" ref="W116" si="218">+V116*$X$1</f>
        <v>1851</v>
      </c>
      <c r="X116" s="676"/>
      <c r="Y116" s="677"/>
      <c r="Z116" s="677"/>
      <c r="AA116" s="678"/>
      <c r="AB116" s="454" t="s">
        <v>846</v>
      </c>
    </row>
    <row r="117" spans="1:28" ht="12.6" customHeight="1" x14ac:dyDescent="0.2">
      <c r="A117" s="18"/>
      <c r="B117" s="706" t="s">
        <v>845</v>
      </c>
      <c r="C117" s="707"/>
      <c r="D117" s="707"/>
      <c r="E117" s="707"/>
      <c r="F117" s="382"/>
      <c r="G117" s="700" t="s">
        <v>423</v>
      </c>
      <c r="H117" s="701"/>
      <c r="I117" s="701"/>
      <c r="J117" s="701"/>
      <c r="K117" s="702"/>
      <c r="L117" s="537">
        <v>2258</v>
      </c>
      <c r="M117" s="304">
        <f t="shared" ref="M117" si="219">+L117*$X$1</f>
        <v>2258</v>
      </c>
      <c r="N117" s="90">
        <v>1922</v>
      </c>
      <c r="O117" s="304">
        <f t="shared" ref="O117" si="220">+N117*$X$1</f>
        <v>1922</v>
      </c>
      <c r="P117" s="296">
        <v>1614</v>
      </c>
      <c r="Q117" s="304">
        <f t="shared" ref="Q117" si="221">+P117*$X$1</f>
        <v>1614</v>
      </c>
      <c r="R117" s="529">
        <v>1594</v>
      </c>
      <c r="S117" s="304">
        <f t="shared" ref="S117" si="222">+R117*$X$1</f>
        <v>1594</v>
      </c>
      <c r="T117" s="529">
        <v>1579</v>
      </c>
      <c r="U117" s="304">
        <f t="shared" ref="U117" si="223">+T117*$X$1</f>
        <v>1579</v>
      </c>
      <c r="V117" s="529">
        <v>1201</v>
      </c>
      <c r="W117" s="304">
        <f t="shared" ref="W117" si="224">+V117*$X$1</f>
        <v>1201</v>
      </c>
      <c r="X117" s="676"/>
      <c r="Y117" s="677"/>
      <c r="Z117" s="677"/>
      <c r="AA117" s="678"/>
      <c r="AB117" s="454" t="s">
        <v>849</v>
      </c>
    </row>
    <row r="118" spans="1:28" ht="12.6" customHeight="1" x14ac:dyDescent="0.2">
      <c r="A118" s="18"/>
      <c r="B118" s="628" t="s">
        <v>428</v>
      </c>
      <c r="C118" s="629"/>
      <c r="D118" s="629"/>
      <c r="E118" s="629"/>
      <c r="F118" s="371"/>
      <c r="G118" s="700" t="s">
        <v>422</v>
      </c>
      <c r="H118" s="701"/>
      <c r="I118" s="701"/>
      <c r="J118" s="701"/>
      <c r="K118" s="702"/>
      <c r="L118" s="539">
        <v>1060</v>
      </c>
      <c r="M118" s="303">
        <f t="shared" si="202"/>
        <v>1060</v>
      </c>
      <c r="N118" s="72">
        <v>901</v>
      </c>
      <c r="O118" s="303">
        <f t="shared" si="202"/>
        <v>901</v>
      </c>
      <c r="P118" s="342">
        <v>751</v>
      </c>
      <c r="Q118" s="303">
        <f t="shared" si="203"/>
        <v>751</v>
      </c>
      <c r="R118" s="538">
        <v>747</v>
      </c>
      <c r="S118" s="303">
        <f t="shared" si="204"/>
        <v>747</v>
      </c>
      <c r="T118" s="538">
        <v>737</v>
      </c>
      <c r="U118" s="303">
        <f t="shared" si="205"/>
        <v>737</v>
      </c>
      <c r="V118" s="538">
        <v>621</v>
      </c>
      <c r="W118" s="303">
        <f t="shared" si="206"/>
        <v>621</v>
      </c>
      <c r="X118" s="676"/>
      <c r="Y118" s="677"/>
      <c r="Z118" s="677"/>
      <c r="AA118" s="678"/>
      <c r="AB118" s="454">
        <v>302</v>
      </c>
    </row>
    <row r="119" spans="1:28" ht="12.6" customHeight="1" x14ac:dyDescent="0.2">
      <c r="A119" s="18"/>
      <c r="B119" s="674" t="s">
        <v>429</v>
      </c>
      <c r="C119" s="675"/>
      <c r="D119" s="675"/>
      <c r="E119" s="675"/>
      <c r="F119" s="304"/>
      <c r="G119" s="700" t="s">
        <v>422</v>
      </c>
      <c r="H119" s="701"/>
      <c r="I119" s="701"/>
      <c r="J119" s="701"/>
      <c r="K119" s="702"/>
      <c r="L119" s="537">
        <v>1215</v>
      </c>
      <c r="M119" s="304">
        <f t="shared" si="202"/>
        <v>1215</v>
      </c>
      <c r="N119" s="90">
        <v>1036</v>
      </c>
      <c r="O119" s="304">
        <f t="shared" si="202"/>
        <v>1036</v>
      </c>
      <c r="P119" s="296">
        <v>863</v>
      </c>
      <c r="Q119" s="304">
        <f t="shared" si="203"/>
        <v>863</v>
      </c>
      <c r="R119" s="529">
        <v>859</v>
      </c>
      <c r="S119" s="304">
        <f t="shared" si="204"/>
        <v>859</v>
      </c>
      <c r="T119" s="529">
        <v>848</v>
      </c>
      <c r="U119" s="304">
        <f t="shared" si="205"/>
        <v>848</v>
      </c>
      <c r="V119" s="529">
        <v>744</v>
      </c>
      <c r="W119" s="304">
        <f t="shared" si="206"/>
        <v>744</v>
      </c>
      <c r="X119" s="676"/>
      <c r="Y119" s="677"/>
      <c r="Z119" s="677"/>
      <c r="AA119" s="678"/>
      <c r="AB119" s="454" t="s">
        <v>167</v>
      </c>
    </row>
    <row r="120" spans="1:28" ht="12.6" customHeight="1" x14ac:dyDescent="0.2">
      <c r="A120" s="18"/>
      <c r="B120" s="628" t="s">
        <v>392</v>
      </c>
      <c r="C120" s="629"/>
      <c r="D120" s="629"/>
      <c r="E120" s="629"/>
      <c r="F120" s="371"/>
      <c r="G120" s="700" t="s">
        <v>422</v>
      </c>
      <c r="H120" s="701"/>
      <c r="I120" s="701"/>
      <c r="J120" s="701"/>
      <c r="K120" s="702"/>
      <c r="L120" s="539">
        <v>3635</v>
      </c>
      <c r="M120" s="303">
        <f t="shared" ref="M120" si="225">+L120*$X$1</f>
        <v>3635</v>
      </c>
      <c r="N120" s="72">
        <v>3100</v>
      </c>
      <c r="O120" s="303">
        <f t="shared" ref="O120" si="226">+N120*$X$1</f>
        <v>3100</v>
      </c>
      <c r="P120" s="342">
        <v>2833</v>
      </c>
      <c r="Q120" s="303">
        <f t="shared" ref="Q120" si="227">+P120*$X$1</f>
        <v>2833</v>
      </c>
      <c r="R120" s="538">
        <v>2827</v>
      </c>
      <c r="S120" s="303">
        <f t="shared" ref="S120" si="228">+R120*$X$1</f>
        <v>2827</v>
      </c>
      <c r="T120" s="538">
        <v>2806</v>
      </c>
      <c r="U120" s="303">
        <f t="shared" ref="U120" si="229">+T120*$X$1</f>
        <v>2806</v>
      </c>
      <c r="V120" s="538">
        <v>2606</v>
      </c>
      <c r="W120" s="303">
        <f t="shared" ref="W120" si="230">+V120*$X$1</f>
        <v>2606</v>
      </c>
      <c r="X120" s="676"/>
      <c r="Y120" s="677"/>
      <c r="Z120" s="677"/>
      <c r="AA120" s="678"/>
      <c r="AB120" s="454" t="s">
        <v>168</v>
      </c>
    </row>
    <row r="121" spans="1:28" ht="12.6" customHeight="1" x14ac:dyDescent="0.2">
      <c r="A121" s="18"/>
      <c r="B121" s="674" t="s">
        <v>844</v>
      </c>
      <c r="C121" s="866"/>
      <c r="D121" s="866"/>
      <c r="E121" s="866"/>
      <c r="F121" s="370"/>
      <c r="G121" s="700" t="s">
        <v>422</v>
      </c>
      <c r="H121" s="701"/>
      <c r="I121" s="701"/>
      <c r="J121" s="701"/>
      <c r="K121" s="702"/>
      <c r="L121" s="537">
        <v>2390</v>
      </c>
      <c r="M121" s="304">
        <f t="shared" ref="M121" si="231">+L121*$X$1</f>
        <v>2390</v>
      </c>
      <c r="N121" s="90">
        <v>2035</v>
      </c>
      <c r="O121" s="304">
        <f t="shared" ref="O121" si="232">+N121*$X$1</f>
        <v>2035</v>
      </c>
      <c r="P121" s="296">
        <v>1875</v>
      </c>
      <c r="Q121" s="304">
        <f t="shared" ref="Q121" si="233">+P121*$X$1</f>
        <v>1875</v>
      </c>
      <c r="R121" s="529">
        <v>1855</v>
      </c>
      <c r="S121" s="304">
        <f t="shared" ref="S121" si="234">+R121*$X$1</f>
        <v>1855</v>
      </c>
      <c r="T121" s="529">
        <v>1840</v>
      </c>
      <c r="U121" s="304">
        <f t="shared" ref="U121" si="235">+T121*$X$1</f>
        <v>1840</v>
      </c>
      <c r="V121" s="529">
        <v>1645</v>
      </c>
      <c r="W121" s="304">
        <f t="shared" ref="W121" si="236">+V121*$X$1</f>
        <v>1645</v>
      </c>
      <c r="X121" s="676"/>
      <c r="Y121" s="677"/>
      <c r="Z121" s="677"/>
      <c r="AA121" s="678"/>
      <c r="AB121" s="454" t="s">
        <v>847</v>
      </c>
    </row>
    <row r="122" spans="1:28" ht="12.6" customHeight="1" x14ac:dyDescent="0.2">
      <c r="A122" s="18"/>
      <c r="B122" s="706" t="s">
        <v>848</v>
      </c>
      <c r="C122" s="707"/>
      <c r="D122" s="707"/>
      <c r="E122" s="707"/>
      <c r="F122" s="371"/>
      <c r="G122" s="700" t="s">
        <v>422</v>
      </c>
      <c r="H122" s="701"/>
      <c r="I122" s="701"/>
      <c r="J122" s="701"/>
      <c r="K122" s="702"/>
      <c r="L122" s="539">
        <v>1701</v>
      </c>
      <c r="M122" s="303">
        <f t="shared" ref="M122" si="237">+L122*$X$1</f>
        <v>1701</v>
      </c>
      <c r="N122" s="72">
        <v>1447</v>
      </c>
      <c r="O122" s="303">
        <f t="shared" ref="O122" si="238">+N122*$X$1</f>
        <v>1447</v>
      </c>
      <c r="P122" s="342">
        <v>1220</v>
      </c>
      <c r="Q122" s="303">
        <f t="shared" ref="Q122" si="239">+P122*$X$1</f>
        <v>1220</v>
      </c>
      <c r="R122" s="538">
        <v>1200</v>
      </c>
      <c r="S122" s="303">
        <f t="shared" ref="S122" si="240">+R122*$X$1</f>
        <v>1200</v>
      </c>
      <c r="T122" s="538">
        <v>1188</v>
      </c>
      <c r="U122" s="303">
        <f t="shared" ref="U122" si="241">+T122*$X$1</f>
        <v>1188</v>
      </c>
      <c r="V122" s="538">
        <v>996</v>
      </c>
      <c r="W122" s="303">
        <f t="shared" ref="W122" si="242">+V122*$X$1</f>
        <v>996</v>
      </c>
      <c r="X122" s="676"/>
      <c r="Y122" s="677"/>
      <c r="Z122" s="677"/>
      <c r="AA122" s="678"/>
      <c r="AB122" s="454" t="s">
        <v>851</v>
      </c>
    </row>
    <row r="123" spans="1:28" ht="12.6" customHeight="1" x14ac:dyDescent="0.2">
      <c r="A123" s="18"/>
      <c r="B123" s="680" t="s">
        <v>670</v>
      </c>
      <c r="C123" s="681"/>
      <c r="D123" s="681"/>
      <c r="E123" s="681"/>
      <c r="F123" s="340"/>
      <c r="G123" s="700" t="s">
        <v>423</v>
      </c>
      <c r="H123" s="701"/>
      <c r="I123" s="701"/>
      <c r="J123" s="701"/>
      <c r="K123" s="702"/>
      <c r="L123" s="537">
        <v>1717</v>
      </c>
      <c r="M123" s="304">
        <f t="shared" si="202"/>
        <v>1717</v>
      </c>
      <c r="N123" s="440">
        <v>1465</v>
      </c>
      <c r="O123" s="304">
        <f t="shared" si="202"/>
        <v>1465</v>
      </c>
      <c r="P123" s="427">
        <v>1220</v>
      </c>
      <c r="Q123" s="304">
        <f t="shared" si="203"/>
        <v>1220</v>
      </c>
      <c r="R123" s="529">
        <v>1215</v>
      </c>
      <c r="S123" s="304">
        <f t="shared" si="204"/>
        <v>1215</v>
      </c>
      <c r="T123" s="124">
        <v>1201</v>
      </c>
      <c r="U123" s="441">
        <f t="shared" si="205"/>
        <v>1201</v>
      </c>
      <c r="V123" s="124">
        <v>1189</v>
      </c>
      <c r="W123" s="441">
        <f t="shared" si="206"/>
        <v>1189</v>
      </c>
      <c r="X123" s="676"/>
      <c r="Y123" s="677"/>
      <c r="Z123" s="677"/>
      <c r="AA123" s="678"/>
      <c r="AB123" s="454">
        <v>303</v>
      </c>
    </row>
    <row r="124" spans="1:28" ht="12.6" customHeight="1" x14ac:dyDescent="0.2">
      <c r="A124" s="18"/>
      <c r="B124" s="706" t="s">
        <v>905</v>
      </c>
      <c r="C124" s="840"/>
      <c r="D124" s="840"/>
      <c r="E124" s="840"/>
      <c r="F124" s="412">
        <v>1967</v>
      </c>
      <c r="G124" s="303">
        <f>+F124*$X$1</f>
        <v>1967</v>
      </c>
      <c r="H124" s="72"/>
      <c r="I124" s="303"/>
      <c r="J124" s="72">
        <f t="shared" ref="J124" si="243">F124+150</f>
        <v>2117</v>
      </c>
      <c r="K124" s="303">
        <f t="shared" ref="K124" si="244">+J124*$X$1</f>
        <v>2117</v>
      </c>
      <c r="L124" s="618">
        <f t="shared" ref="L124" si="245">F124+90</f>
        <v>2057</v>
      </c>
      <c r="M124" s="303">
        <f t="shared" si="202"/>
        <v>2057</v>
      </c>
      <c r="N124" s="618">
        <f t="shared" ref="N124" si="246">F124+55</f>
        <v>2022</v>
      </c>
      <c r="O124" s="303">
        <f t="shared" si="202"/>
        <v>2022</v>
      </c>
      <c r="P124" s="618">
        <f t="shared" ref="P124" si="247">F124+50</f>
        <v>2017</v>
      </c>
      <c r="Q124" s="303">
        <f t="shared" si="203"/>
        <v>2017</v>
      </c>
      <c r="R124" s="618">
        <f t="shared" ref="R124" si="248">F124+42</f>
        <v>2009</v>
      </c>
      <c r="S124" s="303">
        <f t="shared" si="204"/>
        <v>2009</v>
      </c>
      <c r="T124" s="618">
        <f t="shared" ref="T124" si="249">F124+35</f>
        <v>2002</v>
      </c>
      <c r="U124" s="303">
        <f t="shared" si="205"/>
        <v>2002</v>
      </c>
      <c r="V124" s="618">
        <f t="shared" ref="V124" si="250">F124+30</f>
        <v>1997</v>
      </c>
      <c r="W124" s="303">
        <f t="shared" si="206"/>
        <v>1997</v>
      </c>
      <c r="X124" s="625"/>
      <c r="Y124" s="626"/>
      <c r="Z124" s="626"/>
      <c r="AA124" s="627"/>
      <c r="AB124" s="454">
        <v>304</v>
      </c>
    </row>
    <row r="125" spans="1:28" ht="12.6" customHeight="1" x14ac:dyDescent="0.2">
      <c r="A125" s="18"/>
      <c r="B125" s="674" t="s">
        <v>816</v>
      </c>
      <c r="C125" s="675"/>
      <c r="D125" s="675"/>
      <c r="E125" s="675"/>
      <c r="F125" s="413">
        <v>2180</v>
      </c>
      <c r="G125" s="304">
        <f t="shared" ref="G125" si="251">+F125*$X$1</f>
        <v>2180</v>
      </c>
      <c r="H125" s="529"/>
      <c r="I125" s="304"/>
      <c r="J125" s="529"/>
      <c r="K125" s="304"/>
      <c r="L125" s="529">
        <f>F125+90</f>
        <v>2270</v>
      </c>
      <c r="M125" s="304">
        <f t="shared" si="202"/>
        <v>2270</v>
      </c>
      <c r="N125" s="529">
        <f>F125+55</f>
        <v>2235</v>
      </c>
      <c r="O125" s="304">
        <f>+N125*$X$1</f>
        <v>2235</v>
      </c>
      <c r="P125" s="529">
        <f>F125+49</f>
        <v>2229</v>
      </c>
      <c r="Q125" s="304">
        <f t="shared" si="203"/>
        <v>2229</v>
      </c>
      <c r="R125" s="529">
        <f>F125+42</f>
        <v>2222</v>
      </c>
      <c r="S125" s="304">
        <f>+R125*$X$1</f>
        <v>2222</v>
      </c>
      <c r="T125" s="529">
        <f>F125+36</f>
        <v>2216</v>
      </c>
      <c r="U125" s="304">
        <f>+T125*$X$1</f>
        <v>2216</v>
      </c>
      <c r="V125" s="529">
        <f>F125+32</f>
        <v>2212</v>
      </c>
      <c r="W125" s="304">
        <f>+V125*$X$1</f>
        <v>2212</v>
      </c>
      <c r="X125" s="625"/>
      <c r="Y125" s="626"/>
      <c r="Z125" s="626"/>
      <c r="AA125" s="627"/>
      <c r="AB125" s="454">
        <v>307</v>
      </c>
    </row>
    <row r="126" spans="1:28" ht="12.6" customHeight="1" x14ac:dyDescent="0.2">
      <c r="A126" s="18"/>
      <c r="B126" s="628" t="s">
        <v>576</v>
      </c>
      <c r="C126" s="629"/>
      <c r="D126" s="629"/>
      <c r="E126" s="629"/>
      <c r="F126" s="326">
        <v>1340</v>
      </c>
      <c r="G126" s="303">
        <f>+F126*$X$1</f>
        <v>1340</v>
      </c>
      <c r="H126" s="295"/>
      <c r="I126" s="368"/>
      <c r="J126" s="618"/>
      <c r="K126" s="303"/>
      <c r="L126" s="618">
        <v>2595</v>
      </c>
      <c r="M126" s="303">
        <f>+L126*$X$1</f>
        <v>2595</v>
      </c>
      <c r="N126" s="618">
        <v>2162</v>
      </c>
      <c r="O126" s="303">
        <f t="shared" si="202"/>
        <v>2162</v>
      </c>
      <c r="P126" s="342">
        <v>2001</v>
      </c>
      <c r="Q126" s="303">
        <f t="shared" ref="Q126" si="252">+P126*$X$1</f>
        <v>2001</v>
      </c>
      <c r="R126" s="618">
        <v>1853</v>
      </c>
      <c r="S126" s="303">
        <f t="shared" si="204"/>
        <v>1853</v>
      </c>
      <c r="T126" s="618">
        <v>1737</v>
      </c>
      <c r="U126" s="303">
        <f>+T126*$X$1</f>
        <v>1737</v>
      </c>
      <c r="V126" s="618">
        <v>1664</v>
      </c>
      <c r="W126" s="303">
        <f>+V126*$X$1</f>
        <v>1664</v>
      </c>
      <c r="X126" s="625"/>
      <c r="Y126" s="626"/>
      <c r="Z126" s="626"/>
      <c r="AA126" s="627"/>
      <c r="AB126" s="454">
        <v>308</v>
      </c>
    </row>
    <row r="127" spans="1:28" ht="12.6" customHeight="1" x14ac:dyDescent="0.2">
      <c r="A127" s="18"/>
      <c r="B127" s="674" t="s">
        <v>575</v>
      </c>
      <c r="C127" s="675"/>
      <c r="D127" s="675"/>
      <c r="E127" s="675"/>
      <c r="F127" s="340">
        <v>1340</v>
      </c>
      <c r="G127" s="304">
        <f>+F127*$X$1</f>
        <v>1340</v>
      </c>
      <c r="H127" s="294"/>
      <c r="I127" s="369"/>
      <c r="J127" s="529"/>
      <c r="K127" s="304"/>
      <c r="L127" s="529">
        <v>2595</v>
      </c>
      <c r="M127" s="304">
        <f>+L127*$X$1</f>
        <v>2595</v>
      </c>
      <c r="N127" s="529">
        <v>2162</v>
      </c>
      <c r="O127" s="304">
        <f t="shared" ref="O127" si="253">+N127*$X$1</f>
        <v>2162</v>
      </c>
      <c r="P127" s="296">
        <v>2001</v>
      </c>
      <c r="Q127" s="304">
        <f t="shared" ref="Q127" si="254">+P127*$X$1</f>
        <v>2001</v>
      </c>
      <c r="R127" s="529">
        <v>1853</v>
      </c>
      <c r="S127" s="304">
        <f t="shared" ref="S127" si="255">+R127*$X$1</f>
        <v>1853</v>
      </c>
      <c r="T127" s="529">
        <v>1737</v>
      </c>
      <c r="U127" s="304">
        <f>+T127*$X$1</f>
        <v>1737</v>
      </c>
      <c r="V127" s="529">
        <v>1664</v>
      </c>
      <c r="W127" s="304">
        <f>+V127*$X$1</f>
        <v>1664</v>
      </c>
      <c r="X127" s="625"/>
      <c r="Y127" s="626"/>
      <c r="Z127" s="626"/>
      <c r="AA127" s="627"/>
      <c r="AB127" s="454">
        <v>309</v>
      </c>
    </row>
    <row r="128" spans="1:28" ht="12.6" customHeight="1" x14ac:dyDescent="0.2">
      <c r="A128" s="18"/>
      <c r="B128" s="706" t="s">
        <v>860</v>
      </c>
      <c r="C128" s="840"/>
      <c r="D128" s="840"/>
      <c r="E128" s="840"/>
      <c r="F128" s="412">
        <f>1.32*X2</f>
        <v>1301.52</v>
      </c>
      <c r="G128" s="303">
        <f>+F128*$X$1</f>
        <v>1301.52</v>
      </c>
      <c r="H128" s="545"/>
      <c r="I128" s="303"/>
      <c r="J128" s="590">
        <f>F128+120</f>
        <v>1421.52</v>
      </c>
      <c r="K128" s="303">
        <f t="shared" ref="K128" si="256">+J128*$X$1</f>
        <v>1421.52</v>
      </c>
      <c r="L128" s="590">
        <f>F128+90</f>
        <v>1391.52</v>
      </c>
      <c r="M128" s="303">
        <f t="shared" ref="M128:M129" si="257">+L128*$X$1</f>
        <v>1391.52</v>
      </c>
      <c r="N128" s="590">
        <f>F128+55</f>
        <v>1356.52</v>
      </c>
      <c r="O128" s="303">
        <f>+N128*$X$1</f>
        <v>1356.52</v>
      </c>
      <c r="P128" s="590">
        <f>F128+49</f>
        <v>1350.52</v>
      </c>
      <c r="Q128" s="303">
        <f t="shared" ref="Q128:Q129" si="258">+P128*$X$1</f>
        <v>1350.52</v>
      </c>
      <c r="R128" s="590">
        <f>F128+42</f>
        <v>1343.52</v>
      </c>
      <c r="S128" s="303">
        <f>+R128*$X$1</f>
        <v>1343.52</v>
      </c>
      <c r="T128" s="590">
        <f>F128+36</f>
        <v>1337.52</v>
      </c>
      <c r="U128" s="303">
        <f>+T128*$X$1</f>
        <v>1337.52</v>
      </c>
      <c r="V128" s="590">
        <f>F128+32</f>
        <v>1333.52</v>
      </c>
      <c r="W128" s="303">
        <f>+V128*$X$1</f>
        <v>1333.52</v>
      </c>
      <c r="X128" s="625"/>
      <c r="Y128" s="626"/>
      <c r="Z128" s="626"/>
      <c r="AA128" s="627"/>
      <c r="AB128" s="454">
        <v>311</v>
      </c>
    </row>
    <row r="129" spans="1:33" ht="12.6" customHeight="1" x14ac:dyDescent="0.2">
      <c r="A129" s="18"/>
      <c r="B129" s="674" t="s">
        <v>510</v>
      </c>
      <c r="C129" s="675"/>
      <c r="D129" s="675"/>
      <c r="E129" s="675"/>
      <c r="F129" s="413">
        <f>1.815*X2</f>
        <v>1789.59</v>
      </c>
      <c r="G129" s="304">
        <f t="shared" ref="G129" si="259">+F129*$X$1</f>
        <v>1789.59</v>
      </c>
      <c r="H129" s="529"/>
      <c r="I129" s="304"/>
      <c r="J129" s="529">
        <f>F129+120</f>
        <v>1909.59</v>
      </c>
      <c r="K129" s="304">
        <f t="shared" ref="K129" si="260">+J129*$X$1</f>
        <v>1909.59</v>
      </c>
      <c r="L129" s="529">
        <f>F129+90</f>
        <v>1879.59</v>
      </c>
      <c r="M129" s="304">
        <f t="shared" si="257"/>
        <v>1879.59</v>
      </c>
      <c r="N129" s="529">
        <f>F129+55</f>
        <v>1844.59</v>
      </c>
      <c r="O129" s="304">
        <f>+N129*$X$1</f>
        <v>1844.59</v>
      </c>
      <c r="P129" s="529">
        <f>F129+49</f>
        <v>1838.59</v>
      </c>
      <c r="Q129" s="304">
        <f t="shared" si="258"/>
        <v>1838.59</v>
      </c>
      <c r="R129" s="529">
        <f>F129+42</f>
        <v>1831.59</v>
      </c>
      <c r="S129" s="304">
        <f>+R129*$X$1</f>
        <v>1831.59</v>
      </c>
      <c r="T129" s="529">
        <f>F129+36</f>
        <v>1825.59</v>
      </c>
      <c r="U129" s="304">
        <f>+T129*$X$1</f>
        <v>1825.59</v>
      </c>
      <c r="V129" s="529">
        <f>F129+32</f>
        <v>1821.59</v>
      </c>
      <c r="W129" s="304">
        <f>+V129*$X$1</f>
        <v>1821.59</v>
      </c>
      <c r="X129" s="625"/>
      <c r="Y129" s="626"/>
      <c r="Z129" s="626"/>
      <c r="AA129" s="627"/>
      <c r="AB129" s="454">
        <v>312</v>
      </c>
    </row>
    <row r="130" spans="1:33" ht="12.6" customHeight="1" x14ac:dyDescent="0.2">
      <c r="A130" s="18"/>
      <c r="B130" s="622" t="s">
        <v>169</v>
      </c>
      <c r="C130" s="623"/>
      <c r="D130" s="623"/>
      <c r="E130" s="624"/>
      <c r="F130" s="303"/>
      <c r="G130" s="303"/>
      <c r="H130" s="545"/>
      <c r="I130" s="303"/>
      <c r="J130" s="72"/>
      <c r="K130" s="303"/>
      <c r="L130" s="545"/>
      <c r="M130" s="303"/>
      <c r="N130" s="545"/>
      <c r="O130" s="303"/>
      <c r="P130" s="545"/>
      <c r="Q130" s="303"/>
      <c r="R130" s="545"/>
      <c r="S130" s="303"/>
      <c r="T130" s="545"/>
      <c r="U130" s="303"/>
      <c r="V130" s="545"/>
      <c r="W130" s="303"/>
      <c r="X130" s="625"/>
      <c r="Y130" s="626"/>
      <c r="Z130" s="626"/>
      <c r="AA130" s="627"/>
      <c r="AB130" s="454" t="s">
        <v>170</v>
      </c>
    </row>
    <row r="131" spans="1:33" ht="12.6" customHeight="1" x14ac:dyDescent="0.2">
      <c r="A131" s="18"/>
      <c r="B131" s="697" t="s">
        <v>171</v>
      </c>
      <c r="C131" s="698"/>
      <c r="D131" s="698"/>
      <c r="E131" s="699"/>
      <c r="F131" s="340"/>
      <c r="G131" s="304"/>
      <c r="H131" s="529"/>
      <c r="I131" s="304"/>
      <c r="J131" s="90"/>
      <c r="K131" s="304"/>
      <c r="L131" s="529"/>
      <c r="M131" s="304"/>
      <c r="N131" s="529"/>
      <c r="O131" s="304"/>
      <c r="P131" s="529"/>
      <c r="Q131" s="304"/>
      <c r="R131" s="529"/>
      <c r="S131" s="304"/>
      <c r="T131" s="529"/>
      <c r="U131" s="304"/>
      <c r="V131" s="529"/>
      <c r="W131" s="304"/>
      <c r="X131" s="646"/>
      <c r="Y131" s="630"/>
      <c r="Z131" s="630"/>
      <c r="AA131" s="648"/>
      <c r="AB131" s="502" t="s">
        <v>172</v>
      </c>
    </row>
    <row r="132" spans="1:33" ht="12.6" customHeight="1" x14ac:dyDescent="0.2">
      <c r="A132" s="18"/>
      <c r="B132" s="622" t="s">
        <v>173</v>
      </c>
      <c r="C132" s="623"/>
      <c r="D132" s="623"/>
      <c r="E132" s="624"/>
      <c r="F132" s="303"/>
      <c r="G132" s="303"/>
      <c r="H132" s="545"/>
      <c r="I132" s="303"/>
      <c r="J132" s="72"/>
      <c r="K132" s="303"/>
      <c r="L132" s="545"/>
      <c r="M132" s="303"/>
      <c r="N132" s="545"/>
      <c r="O132" s="303"/>
      <c r="P132" s="545"/>
      <c r="Q132" s="303"/>
      <c r="R132" s="545"/>
      <c r="S132" s="303"/>
      <c r="T132" s="545"/>
      <c r="U132" s="303"/>
      <c r="V132" s="545"/>
      <c r="W132" s="303"/>
      <c r="X132" s="630"/>
      <c r="Y132" s="630"/>
      <c r="Z132" s="630"/>
      <c r="AA132" s="630"/>
      <c r="AB132" s="201" t="s">
        <v>174</v>
      </c>
    </row>
    <row r="133" spans="1:33" ht="12.6" customHeight="1" x14ac:dyDescent="0.2">
      <c r="A133" s="18"/>
      <c r="B133" s="682" t="s">
        <v>175</v>
      </c>
      <c r="C133" s="683"/>
      <c r="D133" s="683"/>
      <c r="E133" s="684"/>
      <c r="F133" s="304"/>
      <c r="G133" s="304"/>
      <c r="H133" s="529"/>
      <c r="I133" s="304"/>
      <c r="J133" s="90"/>
      <c r="K133" s="304"/>
      <c r="L133" s="529"/>
      <c r="M133" s="304"/>
      <c r="N133" s="529"/>
      <c r="O133" s="304"/>
      <c r="P133" s="529"/>
      <c r="Q133" s="304"/>
      <c r="R133" s="529"/>
      <c r="S133" s="304"/>
      <c r="T133" s="529"/>
      <c r="U133" s="304"/>
      <c r="V133" s="529"/>
      <c r="W133" s="304"/>
      <c r="X133" s="630"/>
      <c r="Y133" s="630"/>
      <c r="Z133" s="630"/>
      <c r="AA133" s="630"/>
      <c r="AB133" s="201" t="s">
        <v>176</v>
      </c>
    </row>
    <row r="134" spans="1:33" ht="12.6" customHeight="1" x14ac:dyDescent="0.2">
      <c r="A134" s="98"/>
      <c r="B134" s="622" t="s">
        <v>382</v>
      </c>
      <c r="C134" s="651"/>
      <c r="D134" s="651"/>
      <c r="E134" s="652"/>
      <c r="F134" s="303"/>
      <c r="G134" s="303"/>
      <c r="H134" s="72"/>
      <c r="I134" s="545"/>
      <c r="J134" s="545"/>
      <c r="K134" s="545"/>
      <c r="L134" s="545"/>
      <c r="M134" s="303"/>
      <c r="N134" s="545"/>
      <c r="O134" s="303"/>
      <c r="P134" s="545"/>
      <c r="Q134" s="303"/>
      <c r="R134" s="545"/>
      <c r="S134" s="303"/>
      <c r="T134" s="545"/>
      <c r="U134" s="303"/>
      <c r="V134" s="545"/>
      <c r="W134" s="303"/>
      <c r="X134" s="695"/>
      <c r="Y134" s="882"/>
      <c r="Z134" s="882"/>
      <c r="AA134" s="883"/>
      <c r="AB134" s="201"/>
    </row>
    <row r="135" spans="1:33" ht="12.6" customHeight="1" x14ac:dyDescent="0.2">
      <c r="A135" s="98"/>
      <c r="B135" s="674" t="s">
        <v>177</v>
      </c>
      <c r="C135" s="675"/>
      <c r="D135" s="675"/>
      <c r="E135" s="675"/>
      <c r="F135" s="304"/>
      <c r="G135" s="304"/>
      <c r="H135" s="90"/>
      <c r="I135" s="529"/>
      <c r="J135" s="529"/>
      <c r="K135" s="529"/>
      <c r="L135" s="529"/>
      <c r="M135" s="304"/>
      <c r="N135" s="529"/>
      <c r="O135" s="304"/>
      <c r="P135" s="529"/>
      <c r="Q135" s="304"/>
      <c r="R135" s="529"/>
      <c r="S135" s="304"/>
      <c r="T135" s="529"/>
      <c r="U135" s="304"/>
      <c r="V135" s="529"/>
      <c r="W135" s="304"/>
      <c r="X135" s="695"/>
      <c r="Y135" s="696"/>
      <c r="Z135" s="696"/>
      <c r="AA135" s="673"/>
      <c r="AB135" s="201">
        <v>316</v>
      </c>
      <c r="AC135" s="61"/>
      <c r="AD135" s="61"/>
      <c r="AE135" s="61"/>
      <c r="AF135" s="61"/>
    </row>
    <row r="136" spans="1:33" ht="12.6" customHeight="1" x14ac:dyDescent="0.2">
      <c r="A136" s="98"/>
      <c r="B136" s="628" t="s">
        <v>178</v>
      </c>
      <c r="C136" s="629"/>
      <c r="D136" s="629"/>
      <c r="E136" s="629"/>
      <c r="F136" s="303"/>
      <c r="G136" s="549"/>
      <c r="H136" s="72"/>
      <c r="I136" s="550"/>
      <c r="J136" s="545"/>
      <c r="K136" s="550"/>
      <c r="L136" s="545"/>
      <c r="M136" s="551"/>
      <c r="N136" s="545"/>
      <c r="O136" s="551"/>
      <c r="P136" s="545"/>
      <c r="Q136" s="551"/>
      <c r="R136" s="545"/>
      <c r="S136" s="551"/>
      <c r="T136" s="545"/>
      <c r="U136" s="303"/>
      <c r="V136" s="545"/>
      <c r="W136" s="303"/>
      <c r="X136" s="695"/>
      <c r="Y136" s="696"/>
      <c r="Z136" s="696"/>
      <c r="AA136" s="673"/>
      <c r="AB136" s="201">
        <v>318</v>
      </c>
      <c r="AC136" s="61"/>
      <c r="AD136" s="61"/>
      <c r="AE136" s="61"/>
      <c r="AF136" s="61"/>
    </row>
    <row r="137" spans="1:33" ht="12.6" customHeight="1" x14ac:dyDescent="0.2">
      <c r="A137" s="18"/>
      <c r="B137" s="708" t="s">
        <v>349</v>
      </c>
      <c r="C137" s="709"/>
      <c r="D137" s="709"/>
      <c r="E137" s="709"/>
      <c r="F137" s="304">
        <v>815</v>
      </c>
      <c r="G137" s="332">
        <f>+F137*$X$1</f>
        <v>815</v>
      </c>
      <c r="H137" s="202" t="s">
        <v>179</v>
      </c>
      <c r="I137" s="205"/>
      <c r="J137" s="86"/>
      <c r="K137" s="86"/>
      <c r="L137" s="174"/>
      <c r="M137" s="86"/>
      <c r="N137" s="86"/>
      <c r="O137" s="86"/>
      <c r="P137" s="83">
        <v>80</v>
      </c>
      <c r="Q137" s="204">
        <f>+P137*$X$1</f>
        <v>80</v>
      </c>
      <c r="R137" s="526"/>
      <c r="S137" s="556"/>
      <c r="T137" s="90"/>
      <c r="U137" s="304"/>
      <c r="V137" s="529"/>
      <c r="W137" s="304"/>
      <c r="X137" s="695"/>
      <c r="Y137" s="696"/>
      <c r="Z137" s="696"/>
      <c r="AA137" s="673"/>
      <c r="AB137" s="457"/>
      <c r="AC137" s="739"/>
      <c r="AD137" s="740"/>
      <c r="AE137" s="740"/>
      <c r="AF137" s="740"/>
      <c r="AG137" s="4"/>
    </row>
    <row r="138" spans="1:33" ht="12.6" customHeight="1" x14ac:dyDescent="0.2">
      <c r="A138" s="18"/>
      <c r="B138" s="939" t="s">
        <v>350</v>
      </c>
      <c r="C138" s="940"/>
      <c r="D138" s="940"/>
      <c r="E138" s="940"/>
      <c r="F138" s="303">
        <v>995</v>
      </c>
      <c r="G138" s="378">
        <f>+F138*$X$1</f>
        <v>995</v>
      </c>
      <c r="H138" s="278" t="s">
        <v>179</v>
      </c>
      <c r="I138" s="279"/>
      <c r="J138" s="280"/>
      <c r="K138" s="280"/>
      <c r="L138" s="281"/>
      <c r="M138" s="280"/>
      <c r="N138" s="280"/>
      <c r="O138" s="280"/>
      <c r="P138" s="282">
        <v>80</v>
      </c>
      <c r="Q138" s="283">
        <f>+P138*$X$1</f>
        <v>80</v>
      </c>
      <c r="R138" s="552"/>
      <c r="S138" s="553"/>
      <c r="T138" s="554"/>
      <c r="U138" s="305"/>
      <c r="V138" s="116"/>
      <c r="W138" s="305"/>
      <c r="X138" s="695"/>
      <c r="Y138" s="696"/>
      <c r="Z138" s="696"/>
      <c r="AA138" s="673"/>
      <c r="AB138" s="457"/>
    </row>
    <row r="139" spans="1:33" ht="12.6" customHeight="1" x14ac:dyDescent="0.2">
      <c r="A139" s="18"/>
      <c r="B139" s="708" t="s">
        <v>895</v>
      </c>
      <c r="C139" s="709"/>
      <c r="D139" s="709"/>
      <c r="E139" s="709"/>
      <c r="F139" s="304"/>
      <c r="G139" s="304"/>
      <c r="H139" s="319"/>
      <c r="I139" s="304"/>
      <c r="J139" s="529">
        <f>F138+170</f>
        <v>1165</v>
      </c>
      <c r="K139" s="304">
        <f t="shared" ref="K139:K140" si="261">+J139*$X$1</f>
        <v>1165</v>
      </c>
      <c r="L139" s="529">
        <f>F138+120</f>
        <v>1115</v>
      </c>
      <c r="M139" s="304">
        <f>+L139*$X$1</f>
        <v>1115</v>
      </c>
      <c r="N139" s="529">
        <f>F138+75</f>
        <v>1070</v>
      </c>
      <c r="O139" s="304">
        <f>+N139*$X$1</f>
        <v>1070</v>
      </c>
      <c r="P139" s="529">
        <f>F138+60</f>
        <v>1055</v>
      </c>
      <c r="Q139" s="304">
        <f t="shared" ref="Q139:Q140" si="262">+P139*$X$1</f>
        <v>1055</v>
      </c>
      <c r="R139" s="529">
        <f>F138+52</f>
        <v>1047</v>
      </c>
      <c r="S139" s="304">
        <f>+R139*$X$1</f>
        <v>1047</v>
      </c>
      <c r="T139" s="529">
        <f>F138+47</f>
        <v>1042</v>
      </c>
      <c r="U139" s="304">
        <f t="shared" ref="U139:U140" si="263">+T139*$X$1</f>
        <v>1042</v>
      </c>
      <c r="V139" s="529">
        <f>F138+43</f>
        <v>1038</v>
      </c>
      <c r="W139" s="304">
        <f>+V139*$X$1</f>
        <v>1038</v>
      </c>
      <c r="X139" s="695"/>
      <c r="Y139" s="696"/>
      <c r="Z139" s="696"/>
      <c r="AA139" s="673"/>
      <c r="AB139" s="454">
        <v>321</v>
      </c>
    </row>
    <row r="140" spans="1:33" ht="12.6" customHeight="1" x14ac:dyDescent="0.2">
      <c r="A140" s="18"/>
      <c r="B140" s="939" t="s">
        <v>571</v>
      </c>
      <c r="C140" s="940"/>
      <c r="D140" s="940"/>
      <c r="E140" s="940"/>
      <c r="F140" s="303"/>
      <c r="G140" s="303"/>
      <c r="H140" s="285"/>
      <c r="I140" s="303"/>
      <c r="J140" s="590">
        <f>F138+340</f>
        <v>1335</v>
      </c>
      <c r="K140" s="303">
        <f t="shared" si="261"/>
        <v>1335</v>
      </c>
      <c r="L140" s="590">
        <f>F138+220</f>
        <v>1215</v>
      </c>
      <c r="M140" s="303">
        <f>+L140*$X$1</f>
        <v>1215</v>
      </c>
      <c r="N140" s="590">
        <f>F138+160</f>
        <v>1155</v>
      </c>
      <c r="O140" s="303">
        <f>+N140*$X$1</f>
        <v>1155</v>
      </c>
      <c r="P140" s="590">
        <f>F138+141</f>
        <v>1136</v>
      </c>
      <c r="Q140" s="303">
        <f t="shared" si="262"/>
        <v>1136</v>
      </c>
      <c r="R140" s="590">
        <f>F138+120</f>
        <v>1115</v>
      </c>
      <c r="S140" s="303">
        <f>+R140*$X$1</f>
        <v>1115</v>
      </c>
      <c r="T140" s="590">
        <f>F138+110</f>
        <v>1105</v>
      </c>
      <c r="U140" s="303">
        <f t="shared" si="263"/>
        <v>1105</v>
      </c>
      <c r="V140" s="590">
        <f>F138+103</f>
        <v>1098</v>
      </c>
      <c r="W140" s="303">
        <f>+V140*$X$1</f>
        <v>1098</v>
      </c>
      <c r="X140" s="695"/>
      <c r="Y140" s="696"/>
      <c r="Z140" s="696"/>
      <c r="AA140" s="673"/>
      <c r="AB140" s="454">
        <v>322</v>
      </c>
    </row>
    <row r="141" spans="1:33" ht="12.6" customHeight="1" x14ac:dyDescent="0.2">
      <c r="A141" s="18"/>
      <c r="B141" s="708" t="s">
        <v>351</v>
      </c>
      <c r="C141" s="709"/>
      <c r="D141" s="709"/>
      <c r="E141" s="709"/>
      <c r="F141" s="304">
        <v>1020</v>
      </c>
      <c r="G141" s="332">
        <f>+F141*$X$1</f>
        <v>1020</v>
      </c>
      <c r="H141" s="525" t="s">
        <v>179</v>
      </c>
      <c r="I141" s="203"/>
      <c r="J141" s="84"/>
      <c r="K141" s="84"/>
      <c r="L141" s="84"/>
      <c r="M141" s="84"/>
      <c r="N141" s="84"/>
      <c r="O141" s="84"/>
      <c r="P141" s="85">
        <v>110</v>
      </c>
      <c r="Q141" s="284">
        <f>+P141*$X$1</f>
        <v>110</v>
      </c>
      <c r="R141" s="272"/>
      <c r="S141" s="366"/>
      <c r="T141" s="286"/>
      <c r="U141" s="381"/>
      <c r="V141" s="91"/>
      <c r="W141" s="557"/>
      <c r="X141" s="695"/>
      <c r="Y141" s="696"/>
      <c r="Z141" s="696"/>
      <c r="AA141" s="673"/>
      <c r="AB141" s="457"/>
    </row>
    <row r="142" spans="1:33" ht="12.6" customHeight="1" x14ac:dyDescent="0.2">
      <c r="A142" s="18"/>
      <c r="B142" s="628" t="s">
        <v>180</v>
      </c>
      <c r="C142" s="629"/>
      <c r="D142" s="629"/>
      <c r="E142" s="629"/>
      <c r="F142" s="305">
        <v>1100</v>
      </c>
      <c r="G142" s="378">
        <f>+F142*$X$1</f>
        <v>1100</v>
      </c>
      <c r="H142" s="278" t="s">
        <v>179</v>
      </c>
      <c r="I142" s="288"/>
      <c r="J142" s="84"/>
      <c r="K142" s="84"/>
      <c r="L142" s="84"/>
      <c r="M142" s="84"/>
      <c r="N142" s="84"/>
      <c r="O142" s="84"/>
      <c r="P142" s="85">
        <v>110</v>
      </c>
      <c r="Q142" s="204">
        <f>+P142*$X$1</f>
        <v>110</v>
      </c>
      <c r="R142" s="66"/>
      <c r="S142" s="375"/>
      <c r="T142" s="287"/>
      <c r="U142" s="380"/>
      <c r="V142" s="72"/>
      <c r="W142" s="326"/>
      <c r="X142" s="695"/>
      <c r="Y142" s="696"/>
      <c r="Z142" s="696"/>
      <c r="AA142" s="673"/>
      <c r="AB142" s="457"/>
    </row>
    <row r="143" spans="1:33" ht="12.6" customHeight="1" x14ac:dyDescent="0.2">
      <c r="A143" s="18"/>
      <c r="B143" s="674" t="s">
        <v>894</v>
      </c>
      <c r="C143" s="675"/>
      <c r="D143" s="675"/>
      <c r="E143" s="675"/>
      <c r="F143" s="370"/>
      <c r="G143" s="370"/>
      <c r="H143" s="294"/>
      <c r="I143" s="369"/>
      <c r="J143" s="529">
        <f>F142+170</f>
        <v>1270</v>
      </c>
      <c r="K143" s="304">
        <f t="shared" ref="K143" si="264">+J143*$X$1</f>
        <v>1270</v>
      </c>
      <c r="L143" s="529">
        <f>F142+120</f>
        <v>1220</v>
      </c>
      <c r="M143" s="304">
        <f>+L143*$X$1</f>
        <v>1220</v>
      </c>
      <c r="N143" s="529">
        <f>F142+75</f>
        <v>1175</v>
      </c>
      <c r="O143" s="304">
        <f>+N143*$X$1</f>
        <v>1175</v>
      </c>
      <c r="P143" s="529">
        <f>F142+60</f>
        <v>1160</v>
      </c>
      <c r="Q143" s="304">
        <f t="shared" ref="Q143" si="265">+P143*$X$1</f>
        <v>1160</v>
      </c>
      <c r="R143" s="529">
        <f>F142+52</f>
        <v>1152</v>
      </c>
      <c r="S143" s="304">
        <f>+R143*$X$1</f>
        <v>1152</v>
      </c>
      <c r="T143" s="529">
        <f>F142+47</f>
        <v>1147</v>
      </c>
      <c r="U143" s="304">
        <f t="shared" ref="U143" si="266">+T143*$X$1</f>
        <v>1147</v>
      </c>
      <c r="V143" s="529">
        <f>F142+43</f>
        <v>1143</v>
      </c>
      <c r="W143" s="304">
        <f>+V143*$X$1</f>
        <v>1143</v>
      </c>
      <c r="X143" s="695"/>
      <c r="Y143" s="696"/>
      <c r="Z143" s="696"/>
      <c r="AA143" s="673"/>
      <c r="AB143" s="454">
        <v>325</v>
      </c>
    </row>
    <row r="144" spans="1:33" ht="12.6" customHeight="1" x14ac:dyDescent="0.2">
      <c r="A144" s="18"/>
      <c r="B144" s="628" t="s">
        <v>570</v>
      </c>
      <c r="C144" s="629"/>
      <c r="D144" s="629"/>
      <c r="E144" s="629"/>
      <c r="F144" s="371"/>
      <c r="G144" s="371"/>
      <c r="H144" s="295"/>
      <c r="I144" s="368"/>
      <c r="J144" s="590">
        <f>F142+360</f>
        <v>1460</v>
      </c>
      <c r="K144" s="303">
        <f t="shared" ref="K144" si="267">+J144*$X$1</f>
        <v>1460</v>
      </c>
      <c r="L144" s="590">
        <f>F142+240</f>
        <v>1340</v>
      </c>
      <c r="M144" s="303">
        <f>+L144*$X$1</f>
        <v>1340</v>
      </c>
      <c r="N144" s="590">
        <f>F142+170</f>
        <v>1270</v>
      </c>
      <c r="O144" s="303">
        <f>+N144*$X$1</f>
        <v>1270</v>
      </c>
      <c r="P144" s="590">
        <f>F142+150</f>
        <v>1250</v>
      </c>
      <c r="Q144" s="303">
        <f t="shared" ref="Q144" si="268">+P144*$X$1</f>
        <v>1250</v>
      </c>
      <c r="R144" s="590">
        <f>F142+130</f>
        <v>1230</v>
      </c>
      <c r="S144" s="303">
        <f>+R144*$X$1</f>
        <v>1230</v>
      </c>
      <c r="T144" s="590">
        <f>F142+120</f>
        <v>1220</v>
      </c>
      <c r="U144" s="303">
        <f t="shared" ref="U144" si="269">+T144*$X$1</f>
        <v>1220</v>
      </c>
      <c r="V144" s="590">
        <f>F142+110</f>
        <v>1210</v>
      </c>
      <c r="W144" s="303">
        <f>+V144*$X$1</f>
        <v>1210</v>
      </c>
      <c r="X144" s="695"/>
      <c r="Y144" s="696"/>
      <c r="Z144" s="696"/>
      <c r="AA144" s="673"/>
      <c r="AB144" s="454">
        <v>326</v>
      </c>
    </row>
    <row r="145" spans="1:34" ht="12.6" customHeight="1" x14ac:dyDescent="0.2">
      <c r="A145" s="18"/>
      <c r="B145" s="674" t="s">
        <v>371</v>
      </c>
      <c r="C145" s="675"/>
      <c r="D145" s="675"/>
      <c r="E145" s="675"/>
      <c r="F145" s="413">
        <f>8.3*X2</f>
        <v>8183.8000000000011</v>
      </c>
      <c r="G145" s="304">
        <f>+F145*$X$1</f>
        <v>8183.8000000000011</v>
      </c>
      <c r="H145" s="529">
        <f>F145+400</f>
        <v>8583.8000000000011</v>
      </c>
      <c r="I145" s="304">
        <f t="shared" ref="I145" si="270">+H145*$X$1</f>
        <v>8583.8000000000011</v>
      </c>
      <c r="J145" s="529">
        <f>F145+150</f>
        <v>8333.8000000000011</v>
      </c>
      <c r="K145" s="304">
        <f t="shared" ref="K145" si="271">+J145*$X$1</f>
        <v>8333.8000000000011</v>
      </c>
      <c r="L145" s="529">
        <f>F145+90</f>
        <v>8273.8000000000011</v>
      </c>
      <c r="M145" s="304">
        <f t="shared" ref="M145" si="272">+L145*$X$1</f>
        <v>8273.8000000000011</v>
      </c>
      <c r="N145" s="529">
        <f>F145+63</f>
        <v>8246.8000000000011</v>
      </c>
      <c r="O145" s="304">
        <f>+N145*$X$1</f>
        <v>8246.8000000000011</v>
      </c>
      <c r="P145" s="529">
        <f>F145+55</f>
        <v>8238.8000000000011</v>
      </c>
      <c r="Q145" s="304">
        <f t="shared" ref="Q145" si="273">+P145*$X$1</f>
        <v>8238.8000000000011</v>
      </c>
      <c r="R145" s="529">
        <f>F145+49</f>
        <v>8232.8000000000011</v>
      </c>
      <c r="S145" s="304">
        <f>+R145*$X$1</f>
        <v>8232.8000000000011</v>
      </c>
      <c r="T145" s="529">
        <f>F145+43</f>
        <v>8226.8000000000011</v>
      </c>
      <c r="U145" s="304">
        <f>+T145*$X$1</f>
        <v>8226.8000000000011</v>
      </c>
      <c r="V145" s="529">
        <f>F145+38</f>
        <v>8221.8000000000011</v>
      </c>
      <c r="W145" s="304">
        <f>+V145*$X$1</f>
        <v>8221.8000000000011</v>
      </c>
      <c r="X145" s="641"/>
      <c r="Y145" s="650"/>
      <c r="Z145" s="650"/>
      <c r="AA145" s="643"/>
      <c r="AB145" s="201">
        <v>332</v>
      </c>
    </row>
    <row r="146" spans="1:34" ht="12.6" customHeight="1" x14ac:dyDescent="0.2">
      <c r="A146" s="18"/>
      <c r="B146" s="706" t="s">
        <v>697</v>
      </c>
      <c r="C146" s="840"/>
      <c r="D146" s="840"/>
      <c r="E146" s="840"/>
      <c r="F146" s="412">
        <f>5.54*X2</f>
        <v>5462.44</v>
      </c>
      <c r="G146" s="303">
        <f>+F146*$X$1</f>
        <v>5462.44</v>
      </c>
      <c r="H146" s="590">
        <f>F146+400</f>
        <v>5862.44</v>
      </c>
      <c r="I146" s="303">
        <f t="shared" ref="I146" si="274">+H146*$X$1</f>
        <v>5862.44</v>
      </c>
      <c r="J146" s="590">
        <f>F146+150</f>
        <v>5612.44</v>
      </c>
      <c r="K146" s="303">
        <f t="shared" ref="K146" si="275">+J146*$X$1</f>
        <v>5612.44</v>
      </c>
      <c r="L146" s="590">
        <f>F146+90</f>
        <v>5552.44</v>
      </c>
      <c r="M146" s="303">
        <f t="shared" ref="M146" si="276">+L146*$X$1</f>
        <v>5552.44</v>
      </c>
      <c r="N146" s="590">
        <f>F146+63</f>
        <v>5525.44</v>
      </c>
      <c r="O146" s="303">
        <f>+N146*$X$1</f>
        <v>5525.44</v>
      </c>
      <c r="P146" s="590">
        <f>F146+55</f>
        <v>5517.44</v>
      </c>
      <c r="Q146" s="303">
        <f t="shared" ref="Q146" si="277">+P146*$X$1</f>
        <v>5517.44</v>
      </c>
      <c r="R146" s="590">
        <f>F146+49</f>
        <v>5511.44</v>
      </c>
      <c r="S146" s="303">
        <f>+R146*$X$1</f>
        <v>5511.44</v>
      </c>
      <c r="T146" s="590">
        <f>F146+43</f>
        <v>5505.44</v>
      </c>
      <c r="U146" s="303">
        <f>+T146*$X$1</f>
        <v>5505.44</v>
      </c>
      <c r="V146" s="590">
        <f>F146+38</f>
        <v>5500.44</v>
      </c>
      <c r="W146" s="303">
        <f>+V146*$X$1</f>
        <v>5500.44</v>
      </c>
      <c r="X146" s="641"/>
      <c r="Y146" s="650"/>
      <c r="Z146" s="650"/>
      <c r="AA146" s="643"/>
      <c r="AB146" s="201">
        <v>337</v>
      </c>
    </row>
    <row r="147" spans="1:34" ht="12.6" customHeight="1" x14ac:dyDescent="0.2">
      <c r="A147" s="20"/>
      <c r="B147" s="941" t="s">
        <v>181</v>
      </c>
      <c r="C147" s="942"/>
      <c r="D147" s="942"/>
      <c r="E147" s="942"/>
      <c r="F147" s="304">
        <v>430</v>
      </c>
      <c r="G147" s="304">
        <f t="shared" ref="G147" si="278">+F147*$X$1</f>
        <v>430</v>
      </c>
      <c r="H147" s="593"/>
      <c r="I147" s="593"/>
      <c r="J147" s="529">
        <f>F147+300</f>
        <v>730</v>
      </c>
      <c r="K147" s="304">
        <f t="shared" ref="K147" si="279">+J147*$X$1</f>
        <v>730</v>
      </c>
      <c r="L147" s="529">
        <f>F147+240</f>
        <v>670</v>
      </c>
      <c r="M147" s="304">
        <f>+L147*$X$1</f>
        <v>670</v>
      </c>
      <c r="N147" s="529">
        <f>F147+204</f>
        <v>634</v>
      </c>
      <c r="O147" s="304">
        <f>+N147*$X$1</f>
        <v>634</v>
      </c>
      <c r="P147" s="529">
        <f>F147+170</f>
        <v>600</v>
      </c>
      <c r="Q147" s="304">
        <f t="shared" ref="Q147" si="280">+P147*$X$1</f>
        <v>600</v>
      </c>
      <c r="R147" s="529">
        <f>F147+150</f>
        <v>580</v>
      </c>
      <c r="S147" s="304">
        <f>+R147*$X$1</f>
        <v>580</v>
      </c>
      <c r="T147" s="529">
        <f>F147+135</f>
        <v>565</v>
      </c>
      <c r="U147" s="304">
        <f t="shared" ref="U147" si="281">+T147*$X$1</f>
        <v>565</v>
      </c>
      <c r="V147" s="529">
        <f>F147+120</f>
        <v>550</v>
      </c>
      <c r="W147" s="304">
        <f>+V147*$X$1</f>
        <v>550</v>
      </c>
      <c r="X147" s="156"/>
      <c r="Y147" s="156"/>
      <c r="Z147" s="156"/>
      <c r="AA147" s="156"/>
      <c r="AB147" s="201">
        <v>347</v>
      </c>
    </row>
    <row r="148" spans="1:34" ht="12.6" customHeight="1" x14ac:dyDescent="0.2">
      <c r="A148" s="20"/>
      <c r="B148" s="628" t="s">
        <v>666</v>
      </c>
      <c r="C148" s="629"/>
      <c r="D148" s="629"/>
      <c r="E148" s="629"/>
      <c r="F148" s="317"/>
      <c r="G148" s="546"/>
      <c r="H148" s="545"/>
      <c r="I148" s="545"/>
      <c r="J148" s="545"/>
      <c r="K148" s="545"/>
      <c r="L148" s="276"/>
      <c r="M148" s="276"/>
      <c r="N148" s="292"/>
      <c r="O148" s="545"/>
      <c r="P148" s="276"/>
      <c r="Q148" s="276"/>
      <c r="R148" s="545"/>
      <c r="S148" s="545"/>
      <c r="T148" s="545"/>
      <c r="U148" s="97"/>
      <c r="V148" s="545"/>
      <c r="W148" s="97"/>
      <c r="X148" s="156"/>
      <c r="Y148" s="156"/>
      <c r="Z148" s="156"/>
      <c r="AA148" s="156"/>
      <c r="AB148" s="201">
        <v>348</v>
      </c>
    </row>
    <row r="149" spans="1:34" ht="12.6" customHeight="1" x14ac:dyDescent="0.2">
      <c r="A149" s="20"/>
      <c r="B149" s="674" t="s">
        <v>182</v>
      </c>
      <c r="C149" s="675"/>
      <c r="D149" s="675"/>
      <c r="E149" s="675"/>
      <c r="F149" s="316"/>
      <c r="G149" s="547"/>
      <c r="H149" s="529"/>
      <c r="I149" s="529"/>
      <c r="J149" s="529"/>
      <c r="K149" s="529"/>
      <c r="L149" s="273"/>
      <c r="M149" s="273"/>
      <c r="N149" s="299"/>
      <c r="O149" s="529"/>
      <c r="P149" s="273"/>
      <c r="Q149" s="273"/>
      <c r="R149" s="529"/>
      <c r="S149" s="529"/>
      <c r="T149" s="529"/>
      <c r="U149" s="95"/>
      <c r="V149" s="529"/>
      <c r="W149" s="95"/>
      <c r="X149" s="156"/>
      <c r="Y149" s="156"/>
      <c r="Z149" s="156"/>
      <c r="AA149" s="156"/>
      <c r="AB149" s="201">
        <v>349</v>
      </c>
    </row>
    <row r="150" spans="1:34" ht="12.6" customHeight="1" x14ac:dyDescent="0.2">
      <c r="A150" s="20"/>
      <c r="B150" s="628" t="s">
        <v>183</v>
      </c>
      <c r="C150" s="629"/>
      <c r="D150" s="629"/>
      <c r="E150" s="629"/>
      <c r="F150" s="317"/>
      <c r="G150" s="546"/>
      <c r="H150" s="545"/>
      <c r="I150" s="545"/>
      <c r="J150" s="545"/>
      <c r="K150" s="545"/>
      <c r="L150" s="276"/>
      <c r="M150" s="276"/>
      <c r="N150" s="292"/>
      <c r="O150" s="545"/>
      <c r="P150" s="276"/>
      <c r="Q150" s="276"/>
      <c r="R150" s="545"/>
      <c r="S150" s="545"/>
      <c r="T150" s="545"/>
      <c r="U150" s="97"/>
      <c r="V150" s="545"/>
      <c r="W150" s="97"/>
      <c r="X150" s="156"/>
      <c r="Y150" s="156"/>
      <c r="Z150" s="156"/>
      <c r="AA150" s="156"/>
      <c r="AB150" s="201">
        <v>350</v>
      </c>
    </row>
    <row r="151" spans="1:34" ht="12.6" customHeight="1" x14ac:dyDescent="0.2">
      <c r="A151" s="20"/>
      <c r="B151" s="674" t="s">
        <v>184</v>
      </c>
      <c r="C151" s="675"/>
      <c r="D151" s="675"/>
      <c r="E151" s="675"/>
      <c r="F151" s="316"/>
      <c r="G151" s="547"/>
      <c r="H151" s="529"/>
      <c r="I151" s="529"/>
      <c r="J151" s="529"/>
      <c r="K151" s="529"/>
      <c r="L151" s="273"/>
      <c r="M151" s="273"/>
      <c r="N151" s="299"/>
      <c r="O151" s="529"/>
      <c r="P151" s="273"/>
      <c r="Q151" s="273"/>
      <c r="R151" s="529"/>
      <c r="S151" s="529"/>
      <c r="T151" s="529"/>
      <c r="U151" s="95"/>
      <c r="V151" s="529"/>
      <c r="W151" s="95"/>
      <c r="X151" s="156"/>
      <c r="Y151" s="156"/>
      <c r="Z151" s="156"/>
      <c r="AA151" s="156"/>
      <c r="AB151" s="201">
        <v>351</v>
      </c>
    </row>
    <row r="152" spans="1:34" ht="12.6" customHeight="1" x14ac:dyDescent="0.2">
      <c r="A152" s="20"/>
      <c r="B152" s="628" t="s">
        <v>185</v>
      </c>
      <c r="C152" s="629"/>
      <c r="D152" s="629"/>
      <c r="E152" s="629"/>
      <c r="F152" s="317"/>
      <c r="G152" s="546"/>
      <c r="H152" s="545"/>
      <c r="I152" s="545"/>
      <c r="J152" s="545"/>
      <c r="K152" s="545"/>
      <c r="L152" s="276"/>
      <c r="M152" s="276"/>
      <c r="N152" s="105"/>
      <c r="O152" s="545"/>
      <c r="P152" s="276"/>
      <c r="Q152" s="276"/>
      <c r="R152" s="545"/>
      <c r="S152" s="545"/>
      <c r="T152" s="105"/>
      <c r="U152" s="555"/>
      <c r="V152" s="105"/>
      <c r="W152" s="555"/>
      <c r="X152" s="156"/>
      <c r="Y152" s="156"/>
      <c r="Z152" s="156"/>
      <c r="AA152" s="156"/>
      <c r="AB152" s="201">
        <v>352</v>
      </c>
    </row>
    <row r="153" spans="1:34" ht="12.6" customHeight="1" x14ac:dyDescent="0.2">
      <c r="A153" s="20"/>
      <c r="B153" s="682" t="s">
        <v>389</v>
      </c>
      <c r="C153" s="683"/>
      <c r="D153" s="683"/>
      <c r="E153" s="684"/>
      <c r="F153" s="417">
        <f>0.882*X2</f>
        <v>869.65200000000004</v>
      </c>
      <c r="G153" s="325">
        <f t="shared" ref="G153" si="282">+F153*$X$1</f>
        <v>869.65200000000004</v>
      </c>
      <c r="H153" s="608"/>
      <c r="I153" s="304"/>
      <c r="J153" s="529"/>
      <c r="K153" s="304"/>
      <c r="L153" s="529">
        <f>F153+90</f>
        <v>959.65200000000004</v>
      </c>
      <c r="M153" s="304">
        <f t="shared" ref="M153" si="283">+L153*$X$1</f>
        <v>959.65200000000004</v>
      </c>
      <c r="N153" s="529">
        <f>F153+55</f>
        <v>924.65200000000004</v>
      </c>
      <c r="O153" s="304">
        <f t="shared" ref="O153" si="284">+N153*$X$1</f>
        <v>924.65200000000004</v>
      </c>
      <c r="P153" s="529">
        <f>F153+50</f>
        <v>919.65200000000004</v>
      </c>
      <c r="Q153" s="304">
        <f t="shared" ref="Q153" si="285">+P153*$X$1</f>
        <v>919.65200000000004</v>
      </c>
      <c r="R153" s="529">
        <f>F153+42</f>
        <v>911.65200000000004</v>
      </c>
      <c r="S153" s="304">
        <f t="shared" ref="S153" si="286">+R153*$X$1</f>
        <v>911.65200000000004</v>
      </c>
      <c r="T153" s="104">
        <f>F153+35</f>
        <v>904.65200000000004</v>
      </c>
      <c r="U153" s="325">
        <f t="shared" ref="U153" si="287">+T153*$X$1</f>
        <v>904.65200000000004</v>
      </c>
      <c r="V153" s="104">
        <f>F153+30</f>
        <v>899.65200000000004</v>
      </c>
      <c r="W153" s="325">
        <f t="shared" ref="W153" si="288">+V153*$X$1</f>
        <v>899.65200000000004</v>
      </c>
      <c r="X153" s="646"/>
      <c r="Y153" s="725"/>
      <c r="Z153" s="725"/>
      <c r="AA153" s="726"/>
      <c r="AB153" s="201">
        <v>370</v>
      </c>
    </row>
    <row r="154" spans="1:34" ht="12.6" customHeight="1" x14ac:dyDescent="0.2">
      <c r="A154" s="20"/>
      <c r="B154" s="685" t="s">
        <v>574</v>
      </c>
      <c r="C154" s="686"/>
      <c r="D154" s="686"/>
      <c r="E154" s="687"/>
      <c r="F154" s="326"/>
      <c r="G154" s="268"/>
      <c r="H154" s="105"/>
      <c r="I154" s="326"/>
      <c r="J154" s="590"/>
      <c r="K154" s="303"/>
      <c r="L154" s="590"/>
      <c r="M154" s="303"/>
      <c r="N154" s="590"/>
      <c r="O154" s="303"/>
      <c r="P154" s="105"/>
      <c r="Q154" s="326"/>
      <c r="R154" s="105"/>
      <c r="S154" s="326"/>
      <c r="T154" s="105"/>
      <c r="U154" s="268"/>
      <c r="V154" s="105"/>
      <c r="W154" s="268"/>
      <c r="X154" s="646"/>
      <c r="Y154" s="725"/>
      <c r="Z154" s="725"/>
      <c r="AA154" s="726"/>
      <c r="AB154" s="443">
        <v>373</v>
      </c>
    </row>
    <row r="155" spans="1:34" ht="12.75" customHeight="1" x14ac:dyDescent="0.2">
      <c r="A155" s="18"/>
      <c r="B155" s="3"/>
      <c r="C155" s="3"/>
      <c r="D155" s="3"/>
      <c r="E155" s="3"/>
      <c r="F155" s="13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3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1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653" t="s">
        <v>11</v>
      </c>
      <c r="C158" s="731" t="s">
        <v>12</v>
      </c>
      <c r="D158" s="732"/>
      <c r="E158" s="732"/>
      <c r="F158" s="806" t="s">
        <v>13</v>
      </c>
      <c r="G158" s="806" t="s">
        <v>13</v>
      </c>
      <c r="H158" s="660" t="s">
        <v>856</v>
      </c>
      <c r="I158" s="660"/>
      <c r="J158" s="661"/>
      <c r="K158" s="661"/>
      <c r="L158" s="661"/>
      <c r="M158" s="661"/>
      <c r="N158" s="661"/>
      <c r="O158" s="661"/>
      <c r="P158" s="661"/>
      <c r="Q158" s="661"/>
      <c r="R158" s="661"/>
      <c r="S158" s="661"/>
      <c r="T158" s="661"/>
      <c r="U158" s="661"/>
      <c r="V158" s="661"/>
      <c r="W158" s="661"/>
      <c r="X158" s="635" t="s">
        <v>14</v>
      </c>
      <c r="Y158" s="636"/>
      <c r="Z158" s="636"/>
      <c r="AA158" s="637"/>
      <c r="AB158" s="633" t="s">
        <v>15</v>
      </c>
      <c r="AF158" s="631" t="s">
        <v>3</v>
      </c>
      <c r="AG158" s="632"/>
      <c r="AH158" s="632"/>
    </row>
    <row r="159" spans="1:34" ht="12.6" customHeight="1" x14ac:dyDescent="0.2">
      <c r="A159" s="18"/>
      <c r="B159" s="653"/>
      <c r="C159" s="732"/>
      <c r="D159" s="732"/>
      <c r="E159" s="732"/>
      <c r="F159" s="807"/>
      <c r="G159" s="807"/>
      <c r="H159" s="562"/>
      <c r="I159" s="560" t="s">
        <v>298</v>
      </c>
      <c r="J159" s="562"/>
      <c r="K159" s="560" t="s">
        <v>17</v>
      </c>
      <c r="L159" s="563"/>
      <c r="M159" s="563" t="s">
        <v>18</v>
      </c>
      <c r="N159" s="563"/>
      <c r="O159" s="560" t="s">
        <v>19</v>
      </c>
      <c r="P159" s="563"/>
      <c r="Q159" s="563" t="s">
        <v>300</v>
      </c>
      <c r="R159" s="563"/>
      <c r="S159" s="563" t="s">
        <v>20</v>
      </c>
      <c r="T159" s="563"/>
      <c r="U159" s="563" t="s">
        <v>21</v>
      </c>
      <c r="V159" s="563"/>
      <c r="W159" s="563" t="s">
        <v>22</v>
      </c>
      <c r="X159" s="638"/>
      <c r="Y159" s="639"/>
      <c r="Z159" s="639"/>
      <c r="AA159" s="640"/>
      <c r="AB159" s="634"/>
      <c r="AG159" s="33"/>
    </row>
    <row r="160" spans="1:34" ht="12.6" customHeight="1" x14ac:dyDescent="0.2">
      <c r="A160" s="20"/>
      <c r="B160" s="682" t="s">
        <v>186</v>
      </c>
      <c r="C160" s="683"/>
      <c r="D160" s="683"/>
      <c r="E160" s="684"/>
      <c r="F160" s="413">
        <f>1.352*X2</f>
        <v>1333.0720000000001</v>
      </c>
      <c r="G160" s="325">
        <f>+F160*$X$1</f>
        <v>1333.0720000000001</v>
      </c>
      <c r="H160" s="529"/>
      <c r="I160" s="304"/>
      <c r="J160" s="529">
        <f>F160+150</f>
        <v>1483.0720000000001</v>
      </c>
      <c r="K160" s="304">
        <f t="shared" ref="K160" si="289">+J160*$X$1</f>
        <v>1483.0720000000001</v>
      </c>
      <c r="L160" s="529">
        <f>F160+90</f>
        <v>1423.0720000000001</v>
      </c>
      <c r="M160" s="304">
        <f t="shared" ref="M160" si="290">+L160*$X$1</f>
        <v>1423.0720000000001</v>
      </c>
      <c r="N160" s="529">
        <f>F160+55</f>
        <v>1388.0720000000001</v>
      </c>
      <c r="O160" s="304">
        <f t="shared" ref="O160" si="291">+N160*$X$1</f>
        <v>1388.0720000000001</v>
      </c>
      <c r="P160" s="529">
        <f>F160+50</f>
        <v>1383.0720000000001</v>
      </c>
      <c r="Q160" s="304">
        <f t="shared" ref="Q160" si="292">+P160*$X$1</f>
        <v>1383.0720000000001</v>
      </c>
      <c r="R160" s="529">
        <f>F160+42</f>
        <v>1375.0720000000001</v>
      </c>
      <c r="S160" s="304">
        <f t="shared" ref="S160" si="293">+R160*$X$1</f>
        <v>1375.0720000000001</v>
      </c>
      <c r="T160" s="104">
        <f>F160+35</f>
        <v>1368.0720000000001</v>
      </c>
      <c r="U160" s="325">
        <f t="shared" ref="U160" si="294">+T160*$X$1</f>
        <v>1368.0720000000001</v>
      </c>
      <c r="V160" s="104">
        <f>F160+30</f>
        <v>1363.0720000000001</v>
      </c>
      <c r="W160" s="325">
        <f t="shared" ref="W160" si="295">+V160*$X$1</f>
        <v>1363.0720000000001</v>
      </c>
      <c r="X160" s="646"/>
      <c r="Y160" s="725"/>
      <c r="Z160" s="725"/>
      <c r="AA160" s="726"/>
      <c r="AB160" s="201">
        <v>375</v>
      </c>
    </row>
    <row r="161" spans="1:28" ht="12.6" customHeight="1" x14ac:dyDescent="0.2">
      <c r="A161" s="20"/>
      <c r="B161" s="622" t="s">
        <v>187</v>
      </c>
      <c r="C161" s="623"/>
      <c r="D161" s="623"/>
      <c r="E161" s="624"/>
      <c r="F161" s="412">
        <f>4.65*X2</f>
        <v>4584.9000000000005</v>
      </c>
      <c r="G161" s="268">
        <f>+F161*$X$1</f>
        <v>4584.9000000000005</v>
      </c>
      <c r="H161" s="598">
        <f>F161+310</f>
        <v>4894.9000000000005</v>
      </c>
      <c r="I161" s="303">
        <f t="shared" ref="I161" si="296">+H161*$X$1</f>
        <v>4894.9000000000005</v>
      </c>
      <c r="J161" s="598">
        <f>F161+120</f>
        <v>4704.9000000000005</v>
      </c>
      <c r="K161" s="303">
        <f t="shared" ref="K161:K162" si="297">+J161*$X$1</f>
        <v>4704.9000000000005</v>
      </c>
      <c r="L161" s="598">
        <f>F161+90</f>
        <v>4674.9000000000005</v>
      </c>
      <c r="M161" s="303">
        <f t="shared" ref="M161:M162" si="298">+L161*$X$1</f>
        <v>4674.9000000000005</v>
      </c>
      <c r="N161" s="598">
        <f>F161+55</f>
        <v>4639.9000000000005</v>
      </c>
      <c r="O161" s="303">
        <f>+N161*$X$1</f>
        <v>4639.9000000000005</v>
      </c>
      <c r="P161" s="598">
        <f>F161+49</f>
        <v>4633.9000000000005</v>
      </c>
      <c r="Q161" s="303">
        <f t="shared" ref="Q161:Q162" si="299">+P161*$X$1</f>
        <v>4633.9000000000005</v>
      </c>
      <c r="R161" s="598">
        <f>F161+42</f>
        <v>4626.9000000000005</v>
      </c>
      <c r="S161" s="303">
        <f>+R161*$X$1</f>
        <v>4626.9000000000005</v>
      </c>
      <c r="T161" s="598">
        <f>F161+36</f>
        <v>4620.9000000000005</v>
      </c>
      <c r="U161" s="303">
        <f>+T161*$X$1</f>
        <v>4620.9000000000005</v>
      </c>
      <c r="V161" s="598">
        <f>F161+32</f>
        <v>4616.9000000000005</v>
      </c>
      <c r="W161" s="303">
        <f>+V161*$X$1</f>
        <v>4616.9000000000005</v>
      </c>
      <c r="X161" s="641"/>
      <c r="Y161" s="650"/>
      <c r="Z161" s="650"/>
      <c r="AA161" s="643"/>
      <c r="AB161" s="201">
        <v>376</v>
      </c>
    </row>
    <row r="162" spans="1:28" ht="12.6" customHeight="1" x14ac:dyDescent="0.2">
      <c r="A162" s="20"/>
      <c r="B162" s="682" t="s">
        <v>188</v>
      </c>
      <c r="C162" s="683"/>
      <c r="D162" s="683"/>
      <c r="E162" s="684"/>
      <c r="F162" s="413">
        <f>3.54*X2</f>
        <v>3490.44</v>
      </c>
      <c r="G162" s="325">
        <f t="shared" ref="G162:G163" si="300">+F162*$X$1</f>
        <v>3490.44</v>
      </c>
      <c r="H162" s="302"/>
      <c r="I162" s="369"/>
      <c r="J162" s="529">
        <f>F162+150</f>
        <v>3640.44</v>
      </c>
      <c r="K162" s="304">
        <f t="shared" si="297"/>
        <v>3640.44</v>
      </c>
      <c r="L162" s="529">
        <f>F162+90</f>
        <v>3580.44</v>
      </c>
      <c r="M162" s="304">
        <f t="shared" si="298"/>
        <v>3580.44</v>
      </c>
      <c r="N162" s="529">
        <f>F162+55</f>
        <v>3545.44</v>
      </c>
      <c r="O162" s="304">
        <f t="shared" ref="O162" si="301">+N162*$X$1</f>
        <v>3545.44</v>
      </c>
      <c r="P162" s="529">
        <f>F162+50</f>
        <v>3540.44</v>
      </c>
      <c r="Q162" s="304">
        <f t="shared" si="299"/>
        <v>3540.44</v>
      </c>
      <c r="R162" s="529"/>
      <c r="S162" s="304"/>
      <c r="T162" s="104"/>
      <c r="U162" s="325"/>
      <c r="V162" s="104"/>
      <c r="W162" s="325"/>
      <c r="X162" s="646"/>
      <c r="Y162" s="725"/>
      <c r="Z162" s="725"/>
      <c r="AA162" s="726"/>
      <c r="AB162" s="201">
        <v>379</v>
      </c>
    </row>
    <row r="163" spans="1:28" ht="12.6" customHeight="1" x14ac:dyDescent="0.2">
      <c r="A163" s="108"/>
      <c r="B163" s="622" t="s">
        <v>411</v>
      </c>
      <c r="C163" s="623"/>
      <c r="D163" s="623"/>
      <c r="E163" s="624"/>
      <c r="F163" s="412">
        <f>1.843*X2</f>
        <v>1817.1979999999999</v>
      </c>
      <c r="G163" s="268">
        <f t="shared" si="300"/>
        <v>1817.1979999999999</v>
      </c>
      <c r="H163" s="598">
        <f>F163+400</f>
        <v>2217.1979999999999</v>
      </c>
      <c r="I163" s="303">
        <f>+H163*$X$1</f>
        <v>2217.1979999999999</v>
      </c>
      <c r="J163" s="598">
        <f>F163+150</f>
        <v>1967.1979999999999</v>
      </c>
      <c r="K163" s="303">
        <f t="shared" ref="K163:K165" si="302">+J163*$X$1</f>
        <v>1967.1979999999999</v>
      </c>
      <c r="L163" s="598"/>
      <c r="M163" s="303"/>
      <c r="N163" s="598"/>
      <c r="O163" s="303"/>
      <c r="P163" s="598"/>
      <c r="Q163" s="303"/>
      <c r="R163" s="598"/>
      <c r="S163" s="303"/>
      <c r="T163" s="105"/>
      <c r="U163" s="268"/>
      <c r="V163" s="105"/>
      <c r="W163" s="268"/>
      <c r="X163" s="646"/>
      <c r="Y163" s="725"/>
      <c r="Z163" s="725"/>
      <c r="AA163" s="726"/>
      <c r="AB163" s="201">
        <v>382</v>
      </c>
    </row>
    <row r="164" spans="1:28" ht="12.6" customHeight="1" x14ac:dyDescent="0.2">
      <c r="A164" s="20"/>
      <c r="B164" s="682" t="s">
        <v>597</v>
      </c>
      <c r="C164" s="683"/>
      <c r="D164" s="683"/>
      <c r="E164" s="684"/>
      <c r="F164" s="413">
        <f>17.7*X2</f>
        <v>17452.2</v>
      </c>
      <c r="G164" s="325">
        <f t="shared" ref="G164" si="303">+F164*$X$1</f>
        <v>17452.2</v>
      </c>
      <c r="H164" s="529">
        <f>F164+400</f>
        <v>17852.2</v>
      </c>
      <c r="I164" s="304">
        <f>+H164*$X$1</f>
        <v>17852.2</v>
      </c>
      <c r="J164" s="529">
        <f>F164+150</f>
        <v>17602.2</v>
      </c>
      <c r="K164" s="304">
        <f t="shared" si="302"/>
        <v>17602.2</v>
      </c>
      <c r="L164" s="529">
        <f>F164+90</f>
        <v>17542.2</v>
      </c>
      <c r="M164" s="304">
        <f t="shared" ref="M164:M165" si="304">+L164*$X$1</f>
        <v>17542.2</v>
      </c>
      <c r="N164" s="529">
        <f>F164+55</f>
        <v>17507.2</v>
      </c>
      <c r="O164" s="304">
        <f t="shared" ref="O164:O165" si="305">+N164*$X$1</f>
        <v>17507.2</v>
      </c>
      <c r="P164" s="529">
        <f>F164+50</f>
        <v>17502.2</v>
      </c>
      <c r="Q164" s="304">
        <f t="shared" ref="Q164:Q165" si="306">+P164*$X$1</f>
        <v>17502.2</v>
      </c>
      <c r="R164" s="529">
        <f>F164+42</f>
        <v>17494.2</v>
      </c>
      <c r="S164" s="304">
        <f t="shared" ref="S164:S165" si="307">+R164*$X$1</f>
        <v>17494.2</v>
      </c>
      <c r="T164" s="104">
        <f>F164+35</f>
        <v>17487.2</v>
      </c>
      <c r="U164" s="325">
        <f t="shared" ref="U164:U165" si="308">+T164*$X$1</f>
        <v>17487.2</v>
      </c>
      <c r="V164" s="104">
        <f>F164+30</f>
        <v>17482.2</v>
      </c>
      <c r="W164" s="325">
        <f t="shared" ref="W164:W165" si="309">+V164*$X$1</f>
        <v>17482.2</v>
      </c>
      <c r="X164" s="646"/>
      <c r="Y164" s="725"/>
      <c r="Z164" s="725"/>
      <c r="AA164" s="726"/>
      <c r="AB164" s="201">
        <v>395</v>
      </c>
    </row>
    <row r="165" spans="1:28" ht="12.6" customHeight="1" x14ac:dyDescent="0.2">
      <c r="A165" s="20"/>
      <c r="B165" s="622" t="s">
        <v>598</v>
      </c>
      <c r="C165" s="623"/>
      <c r="D165" s="623"/>
      <c r="E165" s="624"/>
      <c r="F165" s="412">
        <f>20.9*X2</f>
        <v>20607.399999999998</v>
      </c>
      <c r="G165" s="268">
        <f t="shared" ref="G165" si="310">+F165*$X$1</f>
        <v>20607.399999999998</v>
      </c>
      <c r="H165" s="72">
        <f t="shared" ref="H165" si="311">F165+400</f>
        <v>21007.399999999998</v>
      </c>
      <c r="I165" s="303">
        <f t="shared" ref="I165" si="312">+H165*$X$1</f>
        <v>21007.399999999998</v>
      </c>
      <c r="J165" s="598">
        <f t="shared" ref="J165" si="313">F165+170</f>
        <v>20777.399999999998</v>
      </c>
      <c r="K165" s="303">
        <f t="shared" si="302"/>
        <v>20777.399999999998</v>
      </c>
      <c r="L165" s="598">
        <f t="shared" ref="L165" si="314">F165+130</f>
        <v>20737.399999999998</v>
      </c>
      <c r="M165" s="303">
        <f t="shared" si="304"/>
        <v>20737.399999999998</v>
      </c>
      <c r="N165" s="598">
        <f t="shared" ref="N165" si="315">F165+100</f>
        <v>20707.399999999998</v>
      </c>
      <c r="O165" s="303">
        <f t="shared" si="305"/>
        <v>20707.399999999998</v>
      </c>
      <c r="P165" s="598">
        <f t="shared" ref="P165" si="316">F165+80</f>
        <v>20687.399999999998</v>
      </c>
      <c r="Q165" s="303">
        <f t="shared" si="306"/>
        <v>20687.399999999998</v>
      </c>
      <c r="R165" s="598">
        <f t="shared" ref="R165" si="317">F165+74</f>
        <v>20681.399999999998</v>
      </c>
      <c r="S165" s="303">
        <f t="shared" si="307"/>
        <v>20681.399999999998</v>
      </c>
      <c r="T165" s="598">
        <f t="shared" ref="T165" si="318">F165+67</f>
        <v>20674.399999999998</v>
      </c>
      <c r="U165" s="303">
        <f t="shared" si="308"/>
        <v>20674.399999999998</v>
      </c>
      <c r="V165" s="598">
        <f t="shared" ref="V165" si="319">F165+55</f>
        <v>20662.399999999998</v>
      </c>
      <c r="W165" s="303">
        <f t="shared" si="309"/>
        <v>20662.399999999998</v>
      </c>
      <c r="X165" s="646"/>
      <c r="Y165" s="725"/>
      <c r="Z165" s="725"/>
      <c r="AA165" s="726"/>
      <c r="AB165" s="201">
        <v>398</v>
      </c>
    </row>
    <row r="166" spans="1:28" ht="12.6" customHeight="1" x14ac:dyDescent="0.2">
      <c r="A166" s="20"/>
      <c r="B166" s="665" t="s">
        <v>636</v>
      </c>
      <c r="C166" s="948"/>
      <c r="D166" s="948"/>
      <c r="E166" s="948"/>
      <c r="F166" s="413">
        <f>13.317*X2</f>
        <v>13130.562</v>
      </c>
      <c r="G166" s="325">
        <f t="shared" ref="G166" si="320">+F166*$X$1</f>
        <v>13130.562</v>
      </c>
      <c r="H166" s="529">
        <f>F166+310</f>
        <v>13440.562</v>
      </c>
      <c r="I166" s="304">
        <f t="shared" ref="I166:I167" si="321">+H166*$X$1</f>
        <v>13440.562</v>
      </c>
      <c r="J166" s="529">
        <f>F166+120</f>
        <v>13250.562</v>
      </c>
      <c r="K166" s="304">
        <f t="shared" ref="K166:K167" si="322">+J166*$X$1</f>
        <v>13250.562</v>
      </c>
      <c r="L166" s="529">
        <f t="shared" ref="L166:L171" si="323">F166+90</f>
        <v>13220.562</v>
      </c>
      <c r="M166" s="304">
        <f t="shared" ref="M166:M167" si="324">+L166*$X$1</f>
        <v>13220.562</v>
      </c>
      <c r="N166" s="529">
        <f t="shared" ref="N166:N171" si="325">F166+55</f>
        <v>13185.562</v>
      </c>
      <c r="O166" s="304">
        <f>+N166*$X$1</f>
        <v>13185.562</v>
      </c>
      <c r="P166" s="529">
        <f>F166+49</f>
        <v>13179.562</v>
      </c>
      <c r="Q166" s="304">
        <f t="shared" ref="Q166:Q167" si="326">+P166*$X$1</f>
        <v>13179.562</v>
      </c>
      <c r="R166" s="529">
        <f t="shared" ref="R166:R171" si="327">F166+42</f>
        <v>13172.562</v>
      </c>
      <c r="S166" s="304">
        <f>+R166*$X$1</f>
        <v>13172.562</v>
      </c>
      <c r="T166" s="529">
        <f>F166+36</f>
        <v>13166.562</v>
      </c>
      <c r="U166" s="304">
        <f>+T166*$X$1</f>
        <v>13166.562</v>
      </c>
      <c r="V166" s="529"/>
      <c r="W166" s="304"/>
      <c r="X166" s="642"/>
      <c r="Y166" s="650"/>
      <c r="Z166" s="650"/>
      <c r="AA166" s="643"/>
      <c r="AB166" s="201" t="s">
        <v>637</v>
      </c>
    </row>
    <row r="167" spans="1:28" ht="12.6" customHeight="1" x14ac:dyDescent="0.2">
      <c r="A167" s="20"/>
      <c r="B167" s="912" t="s">
        <v>645</v>
      </c>
      <c r="C167" s="913"/>
      <c r="D167" s="913"/>
      <c r="E167" s="913"/>
      <c r="F167" s="412">
        <f>17.78*X2</f>
        <v>17531.080000000002</v>
      </c>
      <c r="G167" s="268">
        <f t="shared" ref="G167" si="328">+F167*$X$1</f>
        <v>17531.080000000002</v>
      </c>
      <c r="H167" s="598">
        <f>F167+310</f>
        <v>17841.080000000002</v>
      </c>
      <c r="I167" s="303">
        <f t="shared" si="321"/>
        <v>17841.080000000002</v>
      </c>
      <c r="J167" s="598">
        <f>F167+120</f>
        <v>17651.080000000002</v>
      </c>
      <c r="K167" s="303">
        <f t="shared" si="322"/>
        <v>17651.080000000002</v>
      </c>
      <c r="L167" s="598">
        <f t="shared" si="323"/>
        <v>17621.080000000002</v>
      </c>
      <c r="M167" s="303">
        <f t="shared" si="324"/>
        <v>17621.080000000002</v>
      </c>
      <c r="N167" s="598">
        <f t="shared" si="325"/>
        <v>17586.080000000002</v>
      </c>
      <c r="O167" s="303">
        <f>+N167*$X$1</f>
        <v>17586.080000000002</v>
      </c>
      <c r="P167" s="598">
        <f>F167+49</f>
        <v>17580.080000000002</v>
      </c>
      <c r="Q167" s="303">
        <f t="shared" si="326"/>
        <v>17580.080000000002</v>
      </c>
      <c r="R167" s="598">
        <f t="shared" si="327"/>
        <v>17573.080000000002</v>
      </c>
      <c r="S167" s="303">
        <f>+R167*$X$1</f>
        <v>17573.080000000002</v>
      </c>
      <c r="T167" s="598">
        <f>F167+36</f>
        <v>17567.080000000002</v>
      </c>
      <c r="U167" s="303">
        <f>+T167*$X$1</f>
        <v>17567.080000000002</v>
      </c>
      <c r="V167" s="72"/>
      <c r="W167" s="72"/>
      <c r="X167" s="187"/>
      <c r="Y167" s="189"/>
      <c r="Z167" s="189"/>
      <c r="AA167" s="187"/>
      <c r="AB167" s="201" t="s">
        <v>644</v>
      </c>
    </row>
    <row r="168" spans="1:28" ht="12.6" customHeight="1" x14ac:dyDescent="0.2">
      <c r="A168" s="20"/>
      <c r="B168" s="665" t="s">
        <v>639</v>
      </c>
      <c r="C168" s="948"/>
      <c r="D168" s="948"/>
      <c r="E168" s="948"/>
      <c r="F168" s="413">
        <f>12.84*X2</f>
        <v>12660.24</v>
      </c>
      <c r="G168" s="325">
        <f t="shared" ref="G168" si="329">+F168*$X$1</f>
        <v>12660.24</v>
      </c>
      <c r="H168" s="529">
        <f>F168+400</f>
        <v>13060.24</v>
      </c>
      <c r="I168" s="304">
        <f>+H168*$X$1</f>
        <v>13060.24</v>
      </c>
      <c r="J168" s="529">
        <f>F168+150</f>
        <v>12810.24</v>
      </c>
      <c r="K168" s="304">
        <f t="shared" ref="K168" si="330">+J168*$X$1</f>
        <v>12810.24</v>
      </c>
      <c r="L168" s="529">
        <f t="shared" si="323"/>
        <v>12750.24</v>
      </c>
      <c r="M168" s="304">
        <f t="shared" ref="M168" si="331">+L168*$X$1</f>
        <v>12750.24</v>
      </c>
      <c r="N168" s="529">
        <f t="shared" si="325"/>
        <v>12715.24</v>
      </c>
      <c r="O168" s="304">
        <f t="shared" ref="O168" si="332">+N168*$X$1</f>
        <v>12715.24</v>
      </c>
      <c r="P168" s="529">
        <f>F168+50</f>
        <v>12710.24</v>
      </c>
      <c r="Q168" s="304">
        <f t="shared" ref="Q168" si="333">+P168*$X$1</f>
        <v>12710.24</v>
      </c>
      <c r="R168" s="529">
        <f t="shared" si="327"/>
        <v>12702.24</v>
      </c>
      <c r="S168" s="304">
        <f t="shared" ref="S168" si="334">+R168*$X$1</f>
        <v>12702.24</v>
      </c>
      <c r="T168" s="104">
        <f>F168+35</f>
        <v>12695.24</v>
      </c>
      <c r="U168" s="325">
        <f t="shared" ref="U168" si="335">+T168*$X$1</f>
        <v>12695.24</v>
      </c>
      <c r="V168" s="104"/>
      <c r="W168" s="325"/>
      <c r="X168" s="646"/>
      <c r="Y168" s="725"/>
      <c r="Z168" s="725"/>
      <c r="AA168" s="726"/>
      <c r="AB168" s="201" t="s">
        <v>638</v>
      </c>
    </row>
    <row r="169" spans="1:28" ht="12.6" customHeight="1" x14ac:dyDescent="0.2">
      <c r="A169" s="20"/>
      <c r="B169" s="912" t="s">
        <v>364</v>
      </c>
      <c r="C169" s="913"/>
      <c r="D169" s="913"/>
      <c r="E169" s="913"/>
      <c r="F169" s="412">
        <f>15.93*X2</f>
        <v>15706.98</v>
      </c>
      <c r="G169" s="268">
        <f t="shared" ref="G169:G170" si="336">+F169*$X$1</f>
        <v>15706.98</v>
      </c>
      <c r="H169" s="598"/>
      <c r="I169" s="303"/>
      <c r="J169" s="598">
        <f>F169+150</f>
        <v>15856.98</v>
      </c>
      <c r="K169" s="303">
        <f t="shared" ref="K169:K171" si="337">+J169*$X$1</f>
        <v>15856.98</v>
      </c>
      <c r="L169" s="598">
        <f t="shared" si="323"/>
        <v>15796.98</v>
      </c>
      <c r="M169" s="303">
        <f t="shared" ref="M169:M171" si="338">+L169*$X$1</f>
        <v>15796.98</v>
      </c>
      <c r="N169" s="598">
        <f t="shared" si="325"/>
        <v>15761.98</v>
      </c>
      <c r="O169" s="303">
        <f t="shared" ref="O169" si="339">+N169*$X$1</f>
        <v>15761.98</v>
      </c>
      <c r="P169" s="598">
        <f>F169+50</f>
        <v>15756.98</v>
      </c>
      <c r="Q169" s="303">
        <f t="shared" ref="Q169:Q171" si="340">+P169*$X$1</f>
        <v>15756.98</v>
      </c>
      <c r="R169" s="598">
        <f t="shared" si="327"/>
        <v>15748.98</v>
      </c>
      <c r="S169" s="303">
        <f t="shared" ref="S169" si="341">+R169*$X$1</f>
        <v>15748.98</v>
      </c>
      <c r="T169" s="105">
        <f>F169+35</f>
        <v>15741.98</v>
      </c>
      <c r="U169" s="268">
        <f t="shared" ref="U169" si="342">+T169*$X$1</f>
        <v>15741.98</v>
      </c>
      <c r="V169" s="72"/>
      <c r="W169" s="72"/>
      <c r="X169" s="646"/>
      <c r="Y169" s="725"/>
      <c r="Z169" s="725"/>
      <c r="AA169" s="726"/>
      <c r="AB169" s="201">
        <v>405</v>
      </c>
    </row>
    <row r="170" spans="1:28" ht="12.6" customHeight="1" x14ac:dyDescent="0.2">
      <c r="A170" s="20"/>
      <c r="B170" s="665" t="s">
        <v>643</v>
      </c>
      <c r="C170" s="948"/>
      <c r="D170" s="948"/>
      <c r="E170" s="948"/>
      <c r="F170" s="413">
        <f>15.6*X2</f>
        <v>15381.6</v>
      </c>
      <c r="G170" s="325">
        <f t="shared" si="336"/>
        <v>15381.6</v>
      </c>
      <c r="H170" s="529">
        <f>F170+310</f>
        <v>15691.6</v>
      </c>
      <c r="I170" s="304">
        <f t="shared" ref="I170:I171" si="343">+H170*$X$1</f>
        <v>15691.6</v>
      </c>
      <c r="J170" s="529">
        <f>F170+120</f>
        <v>15501.6</v>
      </c>
      <c r="K170" s="304">
        <f t="shared" si="337"/>
        <v>15501.6</v>
      </c>
      <c r="L170" s="529">
        <f t="shared" si="323"/>
        <v>15471.6</v>
      </c>
      <c r="M170" s="304">
        <f t="shared" si="338"/>
        <v>15471.6</v>
      </c>
      <c r="N170" s="529">
        <f t="shared" si="325"/>
        <v>15436.6</v>
      </c>
      <c r="O170" s="304">
        <f>+N170*$X$1</f>
        <v>15436.6</v>
      </c>
      <c r="P170" s="529">
        <f>F170+49</f>
        <v>15430.6</v>
      </c>
      <c r="Q170" s="304">
        <f t="shared" si="340"/>
        <v>15430.6</v>
      </c>
      <c r="R170" s="529">
        <f t="shared" si="327"/>
        <v>15423.6</v>
      </c>
      <c r="S170" s="304">
        <f>+R170*$X$1</f>
        <v>15423.6</v>
      </c>
      <c r="T170" s="529">
        <f>F170+36</f>
        <v>15417.6</v>
      </c>
      <c r="U170" s="304">
        <f>+T170*$X$1</f>
        <v>15417.6</v>
      </c>
      <c r="V170" s="90"/>
      <c r="W170" s="90"/>
      <c r="X170" s="642"/>
      <c r="Y170" s="650"/>
      <c r="Z170" s="650"/>
      <c r="AA170" s="643"/>
      <c r="AB170" s="201" t="s">
        <v>642</v>
      </c>
    </row>
    <row r="171" spans="1:28" ht="12.6" customHeight="1" x14ac:dyDescent="0.2">
      <c r="A171" s="20"/>
      <c r="B171" s="628" t="s">
        <v>641</v>
      </c>
      <c r="C171" s="629"/>
      <c r="D171" s="629"/>
      <c r="E171" s="629"/>
      <c r="F171" s="412">
        <f>16.54*X2</f>
        <v>16308.439999999999</v>
      </c>
      <c r="G171" s="268">
        <f t="shared" ref="G171" si="344">+F171*$X$1</f>
        <v>16308.439999999999</v>
      </c>
      <c r="H171" s="598">
        <f>F171+310</f>
        <v>16618.439999999999</v>
      </c>
      <c r="I171" s="303">
        <f t="shared" si="343"/>
        <v>16618.439999999999</v>
      </c>
      <c r="J171" s="598">
        <f>F171+120</f>
        <v>16428.439999999999</v>
      </c>
      <c r="K171" s="303">
        <f t="shared" si="337"/>
        <v>16428.439999999999</v>
      </c>
      <c r="L171" s="598">
        <f t="shared" si="323"/>
        <v>16398.439999999999</v>
      </c>
      <c r="M171" s="303">
        <f t="shared" si="338"/>
        <v>16398.439999999999</v>
      </c>
      <c r="N171" s="598">
        <f t="shared" si="325"/>
        <v>16363.439999999999</v>
      </c>
      <c r="O171" s="303">
        <f>+N171*$X$1</f>
        <v>16363.439999999999</v>
      </c>
      <c r="P171" s="598">
        <f>F171+49</f>
        <v>16357.439999999999</v>
      </c>
      <c r="Q171" s="303">
        <f t="shared" si="340"/>
        <v>16357.439999999999</v>
      </c>
      <c r="R171" s="598">
        <f t="shared" si="327"/>
        <v>16350.439999999999</v>
      </c>
      <c r="S171" s="303">
        <f>+R171*$X$1</f>
        <v>16350.439999999999</v>
      </c>
      <c r="T171" s="598">
        <f>F171+36</f>
        <v>16344.439999999999</v>
      </c>
      <c r="U171" s="303">
        <f>+T171*$X$1</f>
        <v>16344.439999999999</v>
      </c>
      <c r="V171" s="72"/>
      <c r="W171" s="72"/>
      <c r="X171" s="646"/>
      <c r="Y171" s="725"/>
      <c r="Z171" s="725"/>
      <c r="AA171" s="726"/>
      <c r="AB171" s="201" t="s">
        <v>640</v>
      </c>
    </row>
    <row r="172" spans="1:28" ht="12.6" customHeight="1" x14ac:dyDescent="0.2">
      <c r="A172" s="25"/>
      <c r="B172" s="680" t="s">
        <v>668</v>
      </c>
      <c r="C172" s="681"/>
      <c r="D172" s="681"/>
      <c r="E172" s="681"/>
      <c r="F172" s="340">
        <v>135</v>
      </c>
      <c r="G172" s="607"/>
      <c r="H172" s="398"/>
      <c r="I172" s="891" t="s">
        <v>608</v>
      </c>
      <c r="J172" s="719"/>
      <c r="K172" s="719"/>
      <c r="L172" s="719"/>
      <c r="M172" s="720"/>
      <c r="N172" s="598">
        <f>F172+140</f>
        <v>275</v>
      </c>
      <c r="O172" s="304">
        <f t="shared" ref="O172" si="345">+N172*$X$1</f>
        <v>275</v>
      </c>
      <c r="P172" s="529">
        <f>F172+125</f>
        <v>260</v>
      </c>
      <c r="Q172" s="304">
        <f t="shared" ref="Q172" si="346">+P172*$X$1</f>
        <v>260</v>
      </c>
      <c r="R172" s="529">
        <f>F172+115</f>
        <v>250</v>
      </c>
      <c r="S172" s="304">
        <f t="shared" ref="S172" si="347">+R172*$X$1</f>
        <v>250</v>
      </c>
      <c r="T172" s="529">
        <f>F172+95</f>
        <v>230</v>
      </c>
      <c r="U172" s="304">
        <f t="shared" ref="U172" si="348">+T172*$X$1</f>
        <v>230</v>
      </c>
      <c r="V172" s="529">
        <f>F172+85</f>
        <v>220</v>
      </c>
      <c r="W172" s="304">
        <f t="shared" ref="W172" si="349">+V172*$X$1</f>
        <v>220</v>
      </c>
      <c r="X172" s="166"/>
      <c r="Y172" s="156"/>
      <c r="Z172" s="156"/>
      <c r="AA172" s="156"/>
      <c r="AB172" s="201">
        <v>415</v>
      </c>
    </row>
    <row r="173" spans="1:28" ht="12.6" customHeight="1" x14ac:dyDescent="0.2">
      <c r="A173" s="25"/>
      <c r="B173" s="628" t="s">
        <v>554</v>
      </c>
      <c r="C173" s="629"/>
      <c r="D173" s="629"/>
      <c r="E173" s="629"/>
      <c r="F173" s="326">
        <v>150</v>
      </c>
      <c r="G173" s="523"/>
      <c r="H173" s="399"/>
      <c r="I173" s="892"/>
      <c r="J173" s="892"/>
      <c r="K173" s="892"/>
      <c r="L173" s="892"/>
      <c r="M173" s="893"/>
      <c r="N173" s="598">
        <f t="shared" ref="N173:N175" si="350">F173+140</f>
        <v>290</v>
      </c>
      <c r="O173" s="303">
        <f t="shared" ref="O173:O175" si="351">+N173*$X$1</f>
        <v>290</v>
      </c>
      <c r="P173" s="598">
        <f t="shared" ref="P173:P175" si="352">F173+125</f>
        <v>275</v>
      </c>
      <c r="Q173" s="303">
        <f t="shared" ref="Q173:Q175" si="353">+P173*$X$1</f>
        <v>275</v>
      </c>
      <c r="R173" s="598">
        <f t="shared" ref="R173:R175" si="354">F173+115</f>
        <v>265</v>
      </c>
      <c r="S173" s="303">
        <f t="shared" ref="S173:S175" si="355">+R173*$X$1</f>
        <v>265</v>
      </c>
      <c r="T173" s="598">
        <f t="shared" ref="T173:T175" si="356">F173+95</f>
        <v>245</v>
      </c>
      <c r="U173" s="303">
        <f t="shared" ref="U173:U175" si="357">+T173*$X$1</f>
        <v>245</v>
      </c>
      <c r="V173" s="598">
        <f t="shared" ref="V173:V175" si="358">F173+85</f>
        <v>235</v>
      </c>
      <c r="W173" s="303">
        <f t="shared" ref="W173:W175" si="359">+V173*$X$1</f>
        <v>235</v>
      </c>
      <c r="X173" s="166"/>
      <c r="Y173" s="156"/>
      <c r="Z173" s="156"/>
      <c r="AA173" s="156"/>
      <c r="AB173" s="201">
        <v>416</v>
      </c>
    </row>
    <row r="174" spans="1:28" ht="12.6" customHeight="1" x14ac:dyDescent="0.2">
      <c r="A174" s="25"/>
      <c r="B174" s="674" t="s">
        <v>555</v>
      </c>
      <c r="C174" s="675"/>
      <c r="D174" s="675"/>
      <c r="E174" s="675"/>
      <c r="F174" s="340">
        <v>144</v>
      </c>
      <c r="G174" s="607"/>
      <c r="H174" s="399"/>
      <c r="I174" s="892"/>
      <c r="J174" s="892"/>
      <c r="K174" s="892"/>
      <c r="L174" s="892"/>
      <c r="M174" s="893"/>
      <c r="N174" s="598">
        <f t="shared" si="350"/>
        <v>284</v>
      </c>
      <c r="O174" s="304">
        <f t="shared" si="351"/>
        <v>284</v>
      </c>
      <c r="P174" s="529">
        <f t="shared" si="352"/>
        <v>269</v>
      </c>
      <c r="Q174" s="304">
        <f t="shared" si="353"/>
        <v>269</v>
      </c>
      <c r="R174" s="529">
        <f t="shared" si="354"/>
        <v>259</v>
      </c>
      <c r="S174" s="304">
        <f t="shared" si="355"/>
        <v>259</v>
      </c>
      <c r="T174" s="529">
        <f t="shared" si="356"/>
        <v>239</v>
      </c>
      <c r="U174" s="304">
        <f t="shared" si="357"/>
        <v>239</v>
      </c>
      <c r="V174" s="529">
        <f t="shared" si="358"/>
        <v>229</v>
      </c>
      <c r="W174" s="304">
        <f t="shared" si="359"/>
        <v>229</v>
      </c>
      <c r="X174" s="166"/>
      <c r="Y174" s="156"/>
      <c r="Z174" s="156"/>
      <c r="AA174" s="156"/>
      <c r="AB174" s="201">
        <v>417</v>
      </c>
    </row>
    <row r="175" spans="1:28" ht="12.6" customHeight="1" x14ac:dyDescent="0.2">
      <c r="A175" s="25"/>
      <c r="B175" s="628" t="s">
        <v>556</v>
      </c>
      <c r="C175" s="629"/>
      <c r="D175" s="629"/>
      <c r="E175" s="629"/>
      <c r="F175" s="326">
        <v>144</v>
      </c>
      <c r="G175" s="605"/>
      <c r="H175" s="400"/>
      <c r="I175" s="723"/>
      <c r="J175" s="723"/>
      <c r="K175" s="723"/>
      <c r="L175" s="723"/>
      <c r="M175" s="724"/>
      <c r="N175" s="598">
        <f t="shared" si="350"/>
        <v>284</v>
      </c>
      <c r="O175" s="303">
        <f t="shared" si="351"/>
        <v>284</v>
      </c>
      <c r="P175" s="598">
        <f t="shared" si="352"/>
        <v>269</v>
      </c>
      <c r="Q175" s="303">
        <f t="shared" si="353"/>
        <v>269</v>
      </c>
      <c r="R175" s="598">
        <f t="shared" si="354"/>
        <v>259</v>
      </c>
      <c r="S175" s="303">
        <f t="shared" si="355"/>
        <v>259</v>
      </c>
      <c r="T175" s="598">
        <f t="shared" si="356"/>
        <v>239</v>
      </c>
      <c r="U175" s="303">
        <f t="shared" si="357"/>
        <v>239</v>
      </c>
      <c r="V175" s="598">
        <f t="shared" si="358"/>
        <v>229</v>
      </c>
      <c r="W175" s="303">
        <f t="shared" si="359"/>
        <v>229</v>
      </c>
      <c r="X175" s="166"/>
      <c r="Y175" s="156"/>
      <c r="Z175" s="156"/>
      <c r="AA175" s="156"/>
      <c r="AB175" s="201">
        <v>418</v>
      </c>
    </row>
    <row r="176" spans="1:28" ht="12.6" customHeight="1" x14ac:dyDescent="0.2">
      <c r="A176" s="25"/>
      <c r="B176" s="674" t="s">
        <v>189</v>
      </c>
      <c r="C176" s="675"/>
      <c r="D176" s="675"/>
      <c r="E176" s="675"/>
      <c r="F176" s="417">
        <v>870</v>
      </c>
      <c r="G176" s="340">
        <f t="shared" ref="G176:G187" si="360">+F176*$X$1</f>
        <v>870</v>
      </c>
      <c r="H176" s="302"/>
      <c r="I176" s="377"/>
      <c r="J176" s="124"/>
      <c r="K176" s="606"/>
      <c r="L176" s="104">
        <f>F176+75</f>
        <v>945</v>
      </c>
      <c r="M176" s="325">
        <f t="shared" ref="M176:M177" si="361">+L176*$X$1</f>
        <v>945</v>
      </c>
      <c r="N176" s="104">
        <f>F176+55</f>
        <v>925</v>
      </c>
      <c r="O176" s="340">
        <f>+N176*$X$1</f>
        <v>925</v>
      </c>
      <c r="P176" s="104">
        <f>F176+49</f>
        <v>919</v>
      </c>
      <c r="Q176" s="340">
        <f>+P176*$X$1</f>
        <v>919</v>
      </c>
      <c r="R176" s="529">
        <f>F176+42</f>
        <v>912</v>
      </c>
      <c r="S176" s="304">
        <f>+R176*$X$1</f>
        <v>912</v>
      </c>
      <c r="T176" s="529">
        <f>F176+34</f>
        <v>904</v>
      </c>
      <c r="U176" s="304">
        <f>+T176*$X$1</f>
        <v>904</v>
      </c>
      <c r="V176" s="529">
        <f>F176+30</f>
        <v>900</v>
      </c>
      <c r="W176" s="304">
        <f>+V176*$X$1</f>
        <v>900</v>
      </c>
      <c r="X176" s="885"/>
      <c r="Y176" s="886"/>
      <c r="Z176" s="886"/>
      <c r="AA176" s="887"/>
      <c r="AB176" s="454">
        <v>421</v>
      </c>
    </row>
    <row r="177" spans="1:28" ht="12.6" customHeight="1" x14ac:dyDescent="0.2">
      <c r="A177" s="25"/>
      <c r="B177" s="706" t="s">
        <v>613</v>
      </c>
      <c r="C177" s="840"/>
      <c r="D177" s="840"/>
      <c r="E177" s="840"/>
      <c r="F177" s="418">
        <v>790</v>
      </c>
      <c r="G177" s="326">
        <f t="shared" si="360"/>
        <v>790</v>
      </c>
      <c r="H177" s="894" t="s">
        <v>650</v>
      </c>
      <c r="I177" s="895"/>
      <c r="J177" s="895"/>
      <c r="K177" s="896"/>
      <c r="L177" s="598">
        <f>F177+150</f>
        <v>940</v>
      </c>
      <c r="M177" s="303">
        <f t="shared" si="361"/>
        <v>940</v>
      </c>
      <c r="N177" s="598">
        <f>F177+90</f>
        <v>880</v>
      </c>
      <c r="O177" s="303">
        <f t="shared" ref="O177" si="362">+N177*$X$1</f>
        <v>880</v>
      </c>
      <c r="P177" s="598">
        <f>F177+65</f>
        <v>855</v>
      </c>
      <c r="Q177" s="303">
        <f t="shared" ref="Q177" si="363">+P177*$X$1</f>
        <v>855</v>
      </c>
      <c r="R177" s="598">
        <f>F177+58</f>
        <v>848</v>
      </c>
      <c r="S177" s="303">
        <f t="shared" ref="S177" si="364">+R177*$X$1</f>
        <v>848</v>
      </c>
      <c r="T177" s="105">
        <f>F177+52</f>
        <v>842</v>
      </c>
      <c r="U177" s="268">
        <f t="shared" ref="U177" si="365">+T177*$X$1</f>
        <v>842</v>
      </c>
      <c r="V177" s="598">
        <f>F177+47</f>
        <v>837</v>
      </c>
      <c r="W177" s="303">
        <f t="shared" ref="W177" si="366">+V177*$X$1</f>
        <v>837</v>
      </c>
      <c r="X177" s="885"/>
      <c r="Y177" s="886"/>
      <c r="Z177" s="886"/>
      <c r="AA177" s="887"/>
      <c r="AB177" s="454" t="s">
        <v>762</v>
      </c>
    </row>
    <row r="178" spans="1:28" ht="12.6" customHeight="1" x14ac:dyDescent="0.2">
      <c r="A178" s="25"/>
      <c r="B178" s="706" t="s">
        <v>610</v>
      </c>
      <c r="C178" s="840"/>
      <c r="D178" s="840"/>
      <c r="E178" s="840"/>
      <c r="F178" s="417">
        <v>790</v>
      </c>
      <c r="G178" s="340">
        <f t="shared" si="360"/>
        <v>790</v>
      </c>
      <c r="H178" s="897"/>
      <c r="I178" s="898"/>
      <c r="J178" s="898"/>
      <c r="K178" s="899"/>
      <c r="L178" s="529">
        <f>F178+150</f>
        <v>940</v>
      </c>
      <c r="M178" s="304">
        <f t="shared" ref="M178:M181" si="367">+L178*$X$1</f>
        <v>940</v>
      </c>
      <c r="N178" s="529">
        <f t="shared" ref="N178:N181" si="368">F178+90</f>
        <v>880</v>
      </c>
      <c r="O178" s="304">
        <f t="shared" ref="O178:O181" si="369">+N178*$X$1</f>
        <v>880</v>
      </c>
      <c r="P178" s="529">
        <f t="shared" ref="P178:P181" si="370">F178+65</f>
        <v>855</v>
      </c>
      <c r="Q178" s="304">
        <f t="shared" ref="Q178:Q181" si="371">+P178*$X$1</f>
        <v>855</v>
      </c>
      <c r="R178" s="529">
        <f t="shared" ref="R178:R181" si="372">F178+58</f>
        <v>848</v>
      </c>
      <c r="S178" s="304">
        <f t="shared" ref="S178:S181" si="373">+R178*$X$1</f>
        <v>848</v>
      </c>
      <c r="T178" s="104">
        <f t="shared" ref="T178:T181" si="374">F178+52</f>
        <v>842</v>
      </c>
      <c r="U178" s="325">
        <f t="shared" ref="U178:U181" si="375">+T178*$X$1</f>
        <v>842</v>
      </c>
      <c r="V178" s="529">
        <f t="shared" ref="V178:V181" si="376">F178+47</f>
        <v>837</v>
      </c>
      <c r="W178" s="304">
        <f t="shared" ref="W178:W187" si="377">+V178*$X$1</f>
        <v>837</v>
      </c>
      <c r="X178" s="885"/>
      <c r="Y178" s="886"/>
      <c r="Z178" s="886"/>
      <c r="AA178" s="887"/>
      <c r="AB178" s="454" t="s">
        <v>757</v>
      </c>
    </row>
    <row r="179" spans="1:28" ht="12.6" customHeight="1" x14ac:dyDescent="0.2">
      <c r="A179" s="25"/>
      <c r="B179" s="706" t="s">
        <v>609</v>
      </c>
      <c r="C179" s="840"/>
      <c r="D179" s="840"/>
      <c r="E179" s="840"/>
      <c r="F179" s="418">
        <v>790</v>
      </c>
      <c r="G179" s="326">
        <f t="shared" si="360"/>
        <v>790</v>
      </c>
      <c r="H179" s="897"/>
      <c r="I179" s="898"/>
      <c r="J179" s="898"/>
      <c r="K179" s="899"/>
      <c r="L179" s="598">
        <f>F179+150</f>
        <v>940</v>
      </c>
      <c r="M179" s="303">
        <f t="shared" si="367"/>
        <v>940</v>
      </c>
      <c r="N179" s="598">
        <f t="shared" si="368"/>
        <v>880</v>
      </c>
      <c r="O179" s="303">
        <f t="shared" si="369"/>
        <v>880</v>
      </c>
      <c r="P179" s="598">
        <f t="shared" si="370"/>
        <v>855</v>
      </c>
      <c r="Q179" s="303">
        <f t="shared" si="371"/>
        <v>855</v>
      </c>
      <c r="R179" s="598">
        <f t="shared" si="372"/>
        <v>848</v>
      </c>
      <c r="S179" s="303">
        <f t="shared" si="373"/>
        <v>848</v>
      </c>
      <c r="T179" s="105">
        <f t="shared" si="374"/>
        <v>842</v>
      </c>
      <c r="U179" s="268">
        <f t="shared" si="375"/>
        <v>842</v>
      </c>
      <c r="V179" s="598">
        <f t="shared" si="376"/>
        <v>837</v>
      </c>
      <c r="W179" s="303">
        <f t="shared" si="377"/>
        <v>837</v>
      </c>
      <c r="X179" s="885"/>
      <c r="Y179" s="886"/>
      <c r="Z179" s="886"/>
      <c r="AA179" s="887"/>
      <c r="AB179" s="454" t="s">
        <v>759</v>
      </c>
    </row>
    <row r="180" spans="1:28" ht="12.6" customHeight="1" x14ac:dyDescent="0.2">
      <c r="A180" s="25"/>
      <c r="B180" s="706" t="s">
        <v>612</v>
      </c>
      <c r="C180" s="840"/>
      <c r="D180" s="840"/>
      <c r="E180" s="840"/>
      <c r="F180" s="417">
        <v>790</v>
      </c>
      <c r="G180" s="340">
        <f t="shared" si="360"/>
        <v>790</v>
      </c>
      <c r="H180" s="897"/>
      <c r="I180" s="898"/>
      <c r="J180" s="898"/>
      <c r="K180" s="899"/>
      <c r="L180" s="529">
        <f>F180+150</f>
        <v>940</v>
      </c>
      <c r="M180" s="304">
        <f t="shared" si="367"/>
        <v>940</v>
      </c>
      <c r="N180" s="529">
        <f t="shared" si="368"/>
        <v>880</v>
      </c>
      <c r="O180" s="304">
        <f t="shared" si="369"/>
        <v>880</v>
      </c>
      <c r="P180" s="529">
        <f t="shared" si="370"/>
        <v>855</v>
      </c>
      <c r="Q180" s="304">
        <f t="shared" si="371"/>
        <v>855</v>
      </c>
      <c r="R180" s="529">
        <f t="shared" si="372"/>
        <v>848</v>
      </c>
      <c r="S180" s="304">
        <f t="shared" si="373"/>
        <v>848</v>
      </c>
      <c r="T180" s="104">
        <f t="shared" si="374"/>
        <v>842</v>
      </c>
      <c r="U180" s="325">
        <f t="shared" si="375"/>
        <v>842</v>
      </c>
      <c r="V180" s="529">
        <f t="shared" si="376"/>
        <v>837</v>
      </c>
      <c r="W180" s="304">
        <f t="shared" si="377"/>
        <v>837</v>
      </c>
      <c r="X180" s="949"/>
      <c r="Y180" s="950"/>
      <c r="Z180" s="950"/>
      <c r="AA180" s="951"/>
      <c r="AB180" s="454" t="s">
        <v>758</v>
      </c>
    </row>
    <row r="181" spans="1:28" ht="12.6" customHeight="1" x14ac:dyDescent="0.2">
      <c r="A181" s="25"/>
      <c r="B181" s="706" t="s">
        <v>761</v>
      </c>
      <c r="C181" s="840"/>
      <c r="D181" s="840"/>
      <c r="E181" s="840"/>
      <c r="F181" s="418">
        <v>790</v>
      </c>
      <c r="G181" s="326">
        <f t="shared" ref="G181" si="378">+F181*$X$1</f>
        <v>790</v>
      </c>
      <c r="H181" s="897"/>
      <c r="I181" s="898"/>
      <c r="J181" s="898"/>
      <c r="K181" s="899"/>
      <c r="L181" s="598">
        <f>F181+150</f>
        <v>940</v>
      </c>
      <c r="M181" s="303">
        <f t="shared" si="367"/>
        <v>940</v>
      </c>
      <c r="N181" s="598">
        <f t="shared" si="368"/>
        <v>880</v>
      </c>
      <c r="O181" s="303">
        <f t="shared" si="369"/>
        <v>880</v>
      </c>
      <c r="P181" s="598">
        <f t="shared" si="370"/>
        <v>855</v>
      </c>
      <c r="Q181" s="303">
        <f t="shared" si="371"/>
        <v>855</v>
      </c>
      <c r="R181" s="598">
        <f t="shared" si="372"/>
        <v>848</v>
      </c>
      <c r="S181" s="303">
        <f t="shared" si="373"/>
        <v>848</v>
      </c>
      <c r="T181" s="105">
        <f t="shared" si="374"/>
        <v>842</v>
      </c>
      <c r="U181" s="268">
        <f t="shared" si="375"/>
        <v>842</v>
      </c>
      <c r="V181" s="598">
        <f t="shared" si="376"/>
        <v>837</v>
      </c>
      <c r="W181" s="303">
        <f t="shared" si="377"/>
        <v>837</v>
      </c>
      <c r="X181" s="885"/>
      <c r="Y181" s="886"/>
      <c r="Z181" s="886"/>
      <c r="AA181" s="887"/>
      <c r="AB181" s="454" t="s">
        <v>760</v>
      </c>
    </row>
    <row r="182" spans="1:28" ht="12.6" customHeight="1" x14ac:dyDescent="0.2">
      <c r="A182" s="25"/>
      <c r="B182" s="706" t="s">
        <v>611</v>
      </c>
      <c r="C182" s="840"/>
      <c r="D182" s="840"/>
      <c r="E182" s="840"/>
      <c r="F182" s="417">
        <v>880</v>
      </c>
      <c r="G182" s="340">
        <f t="shared" si="360"/>
        <v>880</v>
      </c>
      <c r="H182" s="900"/>
      <c r="I182" s="901"/>
      <c r="J182" s="901"/>
      <c r="K182" s="902"/>
      <c r="L182" s="529">
        <f>F182+180</f>
        <v>1060</v>
      </c>
      <c r="M182" s="304">
        <f t="shared" ref="M182:M187" si="379">+L182*$X$1</f>
        <v>1060</v>
      </c>
      <c r="N182" s="529">
        <f>F182+120</f>
        <v>1000</v>
      </c>
      <c r="O182" s="304">
        <f t="shared" ref="O182:O187" si="380">+N182*$X$1</f>
        <v>1000</v>
      </c>
      <c r="P182" s="529">
        <f>F182+90</f>
        <v>970</v>
      </c>
      <c r="Q182" s="304">
        <f t="shared" ref="Q182:Q187" si="381">+P182*$X$1</f>
        <v>970</v>
      </c>
      <c r="R182" s="529">
        <f>F182+78</f>
        <v>958</v>
      </c>
      <c r="S182" s="304">
        <f t="shared" ref="S182:S187" si="382">+R182*$X$1</f>
        <v>958</v>
      </c>
      <c r="T182" s="104">
        <f>F182+72</f>
        <v>952</v>
      </c>
      <c r="U182" s="325">
        <f t="shared" ref="U182:U187" si="383">+T182*$X$1</f>
        <v>952</v>
      </c>
      <c r="V182" s="529">
        <f>F182+67</f>
        <v>947</v>
      </c>
      <c r="W182" s="304">
        <f t="shared" si="377"/>
        <v>947</v>
      </c>
      <c r="X182" s="885"/>
      <c r="Y182" s="886"/>
      <c r="Z182" s="886"/>
      <c r="AA182" s="887"/>
      <c r="AB182" s="454" t="s">
        <v>756</v>
      </c>
    </row>
    <row r="183" spans="1:28" ht="12.6" customHeight="1" x14ac:dyDescent="0.2">
      <c r="A183" s="108"/>
      <c r="B183" s="946" t="s">
        <v>405</v>
      </c>
      <c r="C183" s="947"/>
      <c r="D183" s="947"/>
      <c r="E183" s="947"/>
      <c r="F183" s="604">
        <f>0.9*X2</f>
        <v>887.4</v>
      </c>
      <c r="G183" s="499">
        <f t="shared" si="360"/>
        <v>887.4</v>
      </c>
      <c r="H183" s="339"/>
      <c r="I183" s="589"/>
      <c r="J183" s="105"/>
      <c r="K183" s="326"/>
      <c r="L183" s="598">
        <f>F183+90</f>
        <v>977.4</v>
      </c>
      <c r="M183" s="303">
        <f t="shared" si="379"/>
        <v>977.4</v>
      </c>
      <c r="N183" s="598">
        <f>F183+55</f>
        <v>942.4</v>
      </c>
      <c r="O183" s="303">
        <f t="shared" si="380"/>
        <v>942.4</v>
      </c>
      <c r="P183" s="598">
        <f>F183+50</f>
        <v>937.4</v>
      </c>
      <c r="Q183" s="303">
        <f t="shared" si="381"/>
        <v>937.4</v>
      </c>
      <c r="R183" s="598">
        <f>F183+42</f>
        <v>929.4</v>
      </c>
      <c r="S183" s="303">
        <f t="shared" si="382"/>
        <v>929.4</v>
      </c>
      <c r="T183" s="105">
        <f>F183+35</f>
        <v>922.4</v>
      </c>
      <c r="U183" s="268">
        <f t="shared" si="383"/>
        <v>922.4</v>
      </c>
      <c r="V183" s="105">
        <f>F183+30</f>
        <v>917.4</v>
      </c>
      <c r="W183" s="268">
        <f t="shared" si="377"/>
        <v>917.4</v>
      </c>
      <c r="X183" s="156"/>
      <c r="Y183" s="165"/>
      <c r="Z183" s="156"/>
      <c r="AA183" s="156"/>
      <c r="AB183" s="201">
        <v>425</v>
      </c>
    </row>
    <row r="184" spans="1:28" ht="12.6" customHeight="1" x14ac:dyDescent="0.2">
      <c r="A184" s="108"/>
      <c r="B184" s="706" t="s">
        <v>901</v>
      </c>
      <c r="C184" s="840"/>
      <c r="D184" s="840"/>
      <c r="E184" s="840"/>
      <c r="F184" s="413">
        <f>0.62*X2</f>
        <v>611.32000000000005</v>
      </c>
      <c r="G184" s="304">
        <f t="shared" ref="G184" si="384">+F184*$X$1</f>
        <v>611.32000000000005</v>
      </c>
      <c r="H184" s="302"/>
      <c r="I184" s="369"/>
      <c r="J184" s="529"/>
      <c r="K184" s="304"/>
      <c r="L184" s="529">
        <f>F184+90</f>
        <v>701.32</v>
      </c>
      <c r="M184" s="304">
        <f t="shared" ref="M184" si="385">+L184*$X$1</f>
        <v>701.32</v>
      </c>
      <c r="N184" s="529">
        <f>F184+55</f>
        <v>666.32</v>
      </c>
      <c r="O184" s="304">
        <f t="shared" ref="O184" si="386">+N184*$X$1</f>
        <v>666.32</v>
      </c>
      <c r="P184" s="529">
        <f>F184+50</f>
        <v>661.32</v>
      </c>
      <c r="Q184" s="304">
        <f t="shared" ref="Q184" si="387">+P184*$X$1</f>
        <v>661.32</v>
      </c>
      <c r="R184" s="529">
        <f>F184+42</f>
        <v>653.32000000000005</v>
      </c>
      <c r="S184" s="304">
        <f t="shared" ref="S184" si="388">+R184*$X$1</f>
        <v>653.32000000000005</v>
      </c>
      <c r="T184" s="104">
        <f>F184+35</f>
        <v>646.32000000000005</v>
      </c>
      <c r="U184" s="325">
        <f t="shared" ref="U184" si="389">+T184*$X$1</f>
        <v>646.32000000000005</v>
      </c>
      <c r="V184" s="104">
        <f>F184+30</f>
        <v>641.32000000000005</v>
      </c>
      <c r="W184" s="325">
        <f t="shared" ref="W184" si="390">+V184*$X$1</f>
        <v>641.32000000000005</v>
      </c>
      <c r="X184" s="156"/>
      <c r="Y184" s="165"/>
      <c r="Z184" s="156"/>
      <c r="AA184" s="156"/>
      <c r="AB184" s="201">
        <v>426</v>
      </c>
    </row>
    <row r="185" spans="1:28" ht="12.6" customHeight="1" x14ac:dyDescent="0.2">
      <c r="A185" s="108"/>
      <c r="B185" s="628" t="s">
        <v>520</v>
      </c>
      <c r="C185" s="629"/>
      <c r="D185" s="629"/>
      <c r="E185" s="629"/>
      <c r="F185" s="412">
        <f>1.01*X2</f>
        <v>995.86</v>
      </c>
      <c r="G185" s="303">
        <f t="shared" si="360"/>
        <v>995.86</v>
      </c>
      <c r="H185" s="339"/>
      <c r="I185" s="368"/>
      <c r="J185" s="590"/>
      <c r="K185" s="303"/>
      <c r="L185" s="590">
        <f>F185+90</f>
        <v>1085.8600000000001</v>
      </c>
      <c r="M185" s="303">
        <f t="shared" si="379"/>
        <v>1085.8600000000001</v>
      </c>
      <c r="N185" s="590">
        <f>F185+55</f>
        <v>1050.8600000000001</v>
      </c>
      <c r="O185" s="303">
        <f t="shared" si="380"/>
        <v>1050.8600000000001</v>
      </c>
      <c r="P185" s="590">
        <f>F185+50</f>
        <v>1045.8600000000001</v>
      </c>
      <c r="Q185" s="303">
        <f t="shared" si="381"/>
        <v>1045.8600000000001</v>
      </c>
      <c r="R185" s="590">
        <f>F185+42</f>
        <v>1037.8600000000001</v>
      </c>
      <c r="S185" s="303">
        <f t="shared" si="382"/>
        <v>1037.8600000000001</v>
      </c>
      <c r="T185" s="105">
        <f>F185+35</f>
        <v>1030.8600000000001</v>
      </c>
      <c r="U185" s="268">
        <f t="shared" si="383"/>
        <v>1030.8600000000001</v>
      </c>
      <c r="V185" s="105">
        <f>F185+30</f>
        <v>1025.8600000000001</v>
      </c>
      <c r="W185" s="268">
        <f t="shared" si="377"/>
        <v>1025.8600000000001</v>
      </c>
      <c r="X185" s="156"/>
      <c r="Y185" s="165"/>
      <c r="Z185" s="156"/>
      <c r="AA185" s="156"/>
      <c r="AB185" s="201" t="s">
        <v>573</v>
      </c>
    </row>
    <row r="186" spans="1:28" ht="12.6" customHeight="1" x14ac:dyDescent="0.2">
      <c r="A186" s="108"/>
      <c r="B186" s="674" t="s">
        <v>509</v>
      </c>
      <c r="C186" s="675"/>
      <c r="D186" s="675"/>
      <c r="E186" s="675"/>
      <c r="F186" s="413">
        <f>0.98*X2</f>
        <v>966.28</v>
      </c>
      <c r="G186" s="304">
        <f t="shared" ref="G186" si="391">+F186*$X$1</f>
        <v>966.28</v>
      </c>
      <c r="H186" s="302"/>
      <c r="I186" s="369"/>
      <c r="J186" s="529"/>
      <c r="K186" s="304"/>
      <c r="L186" s="529">
        <f>F186+90</f>
        <v>1056.28</v>
      </c>
      <c r="M186" s="304">
        <f t="shared" si="379"/>
        <v>1056.28</v>
      </c>
      <c r="N186" s="529">
        <f>F186+55</f>
        <v>1021.28</v>
      </c>
      <c r="O186" s="304">
        <f t="shared" si="380"/>
        <v>1021.28</v>
      </c>
      <c r="P186" s="529">
        <f>F186+50</f>
        <v>1016.28</v>
      </c>
      <c r="Q186" s="304">
        <f t="shared" si="381"/>
        <v>1016.28</v>
      </c>
      <c r="R186" s="529">
        <f>F186+42</f>
        <v>1008.28</v>
      </c>
      <c r="S186" s="304">
        <f t="shared" si="382"/>
        <v>1008.28</v>
      </c>
      <c r="T186" s="104">
        <f>F186+35</f>
        <v>1001.28</v>
      </c>
      <c r="U186" s="325">
        <f t="shared" si="383"/>
        <v>1001.28</v>
      </c>
      <c r="V186" s="104">
        <f>F186+30</f>
        <v>996.28</v>
      </c>
      <c r="W186" s="325">
        <f t="shared" si="377"/>
        <v>996.28</v>
      </c>
      <c r="X186" s="156"/>
      <c r="Y186" s="165"/>
      <c r="Z186" s="156"/>
      <c r="AA186" s="156"/>
      <c r="AB186" s="201">
        <v>428</v>
      </c>
    </row>
    <row r="187" spans="1:28" ht="12.6" customHeight="1" x14ac:dyDescent="0.2">
      <c r="A187" s="18"/>
      <c r="B187" s="628" t="s">
        <v>190</v>
      </c>
      <c r="C187" s="629"/>
      <c r="D187" s="629"/>
      <c r="E187" s="629"/>
      <c r="F187" s="412">
        <f>1.527*X2</f>
        <v>1505.6219999999998</v>
      </c>
      <c r="G187" s="303">
        <f t="shared" si="360"/>
        <v>1505.6219999999998</v>
      </c>
      <c r="H187" s="590">
        <f>F187+400</f>
        <v>1905.6219999999998</v>
      </c>
      <c r="I187" s="303">
        <f>+H187*$X$1</f>
        <v>1905.6219999999998</v>
      </c>
      <c r="J187" s="590">
        <f>F187+150</f>
        <v>1655.6219999999998</v>
      </c>
      <c r="K187" s="303">
        <f t="shared" ref="K187" si="392">+J187*$X$1</f>
        <v>1655.6219999999998</v>
      </c>
      <c r="L187" s="590">
        <f>F187+90</f>
        <v>1595.6219999999998</v>
      </c>
      <c r="M187" s="303">
        <f t="shared" si="379"/>
        <v>1595.6219999999998</v>
      </c>
      <c r="N187" s="590">
        <f>F187+55</f>
        <v>1560.6219999999998</v>
      </c>
      <c r="O187" s="303">
        <f t="shared" si="380"/>
        <v>1560.6219999999998</v>
      </c>
      <c r="P187" s="590">
        <f>F187+50</f>
        <v>1555.6219999999998</v>
      </c>
      <c r="Q187" s="303">
        <f t="shared" si="381"/>
        <v>1555.6219999999998</v>
      </c>
      <c r="R187" s="590">
        <f>F187+42</f>
        <v>1547.6219999999998</v>
      </c>
      <c r="S187" s="303">
        <f t="shared" si="382"/>
        <v>1547.6219999999998</v>
      </c>
      <c r="T187" s="105">
        <f>F187+35</f>
        <v>1540.6219999999998</v>
      </c>
      <c r="U187" s="268">
        <f t="shared" si="383"/>
        <v>1540.6219999999998</v>
      </c>
      <c r="V187" s="105">
        <f>F187+30</f>
        <v>1535.6219999999998</v>
      </c>
      <c r="W187" s="268">
        <f t="shared" si="377"/>
        <v>1535.6219999999998</v>
      </c>
      <c r="X187" s="156"/>
      <c r="Y187" s="165"/>
      <c r="Z187" s="156"/>
      <c r="AA187" s="156"/>
      <c r="AB187" s="201">
        <v>442</v>
      </c>
    </row>
    <row r="188" spans="1:28" ht="12.6" customHeight="1" x14ac:dyDescent="0.2">
      <c r="A188" s="18"/>
      <c r="B188" s="680" t="s">
        <v>191</v>
      </c>
      <c r="C188" s="681"/>
      <c r="D188" s="681"/>
      <c r="E188" s="681"/>
      <c r="F188" s="403"/>
      <c r="G188" s="841" t="s">
        <v>890</v>
      </c>
      <c r="H188" s="842"/>
      <c r="I188" s="842"/>
      <c r="J188" s="842"/>
      <c r="K188" s="842"/>
      <c r="L188" s="842"/>
      <c r="M188" s="842"/>
      <c r="N188" s="842"/>
      <c r="O188" s="842"/>
      <c r="P188" s="843"/>
      <c r="Q188" s="843"/>
      <c r="R188" s="843"/>
      <c r="S188" s="844"/>
      <c r="T188" s="72"/>
      <c r="U188" s="304"/>
      <c r="V188" s="104"/>
      <c r="W188" s="325"/>
      <c r="X188" s="166"/>
      <c r="Y188" s="165"/>
      <c r="Z188" s="156"/>
      <c r="AA188" s="156"/>
      <c r="AB188" s="201">
        <v>450</v>
      </c>
    </row>
    <row r="189" spans="1:28" ht="12.6" customHeight="1" x14ac:dyDescent="0.2">
      <c r="A189" s="18"/>
      <c r="B189" s="628" t="s">
        <v>192</v>
      </c>
      <c r="C189" s="629"/>
      <c r="D189" s="629"/>
      <c r="E189" s="629"/>
      <c r="F189" s="132"/>
      <c r="G189" s="845"/>
      <c r="H189" s="846"/>
      <c r="I189" s="846"/>
      <c r="J189" s="846"/>
      <c r="K189" s="846"/>
      <c r="L189" s="846"/>
      <c r="M189" s="846"/>
      <c r="N189" s="846"/>
      <c r="O189" s="846"/>
      <c r="P189" s="847"/>
      <c r="Q189" s="848"/>
      <c r="R189" s="847"/>
      <c r="S189" s="849"/>
      <c r="T189" s="72"/>
      <c r="U189" s="303"/>
      <c r="V189" s="105"/>
      <c r="W189" s="268"/>
      <c r="X189" s="166"/>
      <c r="Y189" s="165"/>
      <c r="Z189" s="156"/>
      <c r="AA189" s="156"/>
      <c r="AB189" s="201">
        <v>451</v>
      </c>
    </row>
    <row r="190" spans="1:28" ht="12.6" customHeight="1" x14ac:dyDescent="0.2">
      <c r="A190" s="18"/>
      <c r="B190" s="674" t="s">
        <v>193</v>
      </c>
      <c r="C190" s="675"/>
      <c r="D190" s="675"/>
      <c r="E190" s="675"/>
      <c r="F190" s="92"/>
      <c r="G190" s="845"/>
      <c r="H190" s="846"/>
      <c r="I190" s="846"/>
      <c r="J190" s="846"/>
      <c r="K190" s="846"/>
      <c r="L190" s="846"/>
      <c r="M190" s="846"/>
      <c r="N190" s="846"/>
      <c r="O190" s="846"/>
      <c r="P190" s="847"/>
      <c r="Q190" s="848"/>
      <c r="R190" s="847"/>
      <c r="S190" s="849"/>
      <c r="T190" s="72"/>
      <c r="U190" s="304"/>
      <c r="V190" s="104"/>
      <c r="W190" s="325"/>
      <c r="X190" s="166"/>
      <c r="Y190" s="165"/>
      <c r="Z190" s="156"/>
      <c r="AA190" s="156"/>
      <c r="AB190" s="201">
        <v>452</v>
      </c>
    </row>
    <row r="191" spans="1:28" ht="12.6" customHeight="1" x14ac:dyDescent="0.2">
      <c r="A191" s="18"/>
      <c r="B191" s="628" t="s">
        <v>194</v>
      </c>
      <c r="C191" s="629"/>
      <c r="D191" s="629"/>
      <c r="E191" s="629"/>
      <c r="F191" s="132"/>
      <c r="G191" s="845"/>
      <c r="H191" s="846"/>
      <c r="I191" s="846"/>
      <c r="J191" s="846"/>
      <c r="K191" s="846"/>
      <c r="L191" s="846"/>
      <c r="M191" s="846"/>
      <c r="N191" s="846"/>
      <c r="O191" s="846"/>
      <c r="P191" s="847"/>
      <c r="Q191" s="848"/>
      <c r="R191" s="847"/>
      <c r="S191" s="849"/>
      <c r="T191" s="72"/>
      <c r="U191" s="303"/>
      <c r="V191" s="105"/>
      <c r="W191" s="268"/>
      <c r="X191" s="166"/>
      <c r="Y191" s="165"/>
      <c r="Z191" s="156"/>
      <c r="AA191" s="156"/>
      <c r="AB191" s="201">
        <v>453</v>
      </c>
    </row>
    <row r="192" spans="1:28" ht="12.6" customHeight="1" x14ac:dyDescent="0.2">
      <c r="A192" s="18"/>
      <c r="B192" s="674" t="s">
        <v>195</v>
      </c>
      <c r="C192" s="675"/>
      <c r="D192" s="675"/>
      <c r="E192" s="675"/>
      <c r="F192" s="92"/>
      <c r="G192" s="845"/>
      <c r="H192" s="846"/>
      <c r="I192" s="846"/>
      <c r="J192" s="846"/>
      <c r="K192" s="846"/>
      <c r="L192" s="846"/>
      <c r="M192" s="846"/>
      <c r="N192" s="846"/>
      <c r="O192" s="846"/>
      <c r="P192" s="847"/>
      <c r="Q192" s="848"/>
      <c r="R192" s="847"/>
      <c r="S192" s="849"/>
      <c r="T192" s="72"/>
      <c r="U192" s="304"/>
      <c r="V192" s="104"/>
      <c r="W192" s="325"/>
      <c r="X192" s="166"/>
      <c r="Y192" s="165"/>
      <c r="Z192" s="156"/>
      <c r="AA192" s="156"/>
      <c r="AB192" s="201">
        <v>454</v>
      </c>
    </row>
    <row r="193" spans="1:28" ht="12.6" customHeight="1" x14ac:dyDescent="0.2">
      <c r="A193" s="18"/>
      <c r="B193" s="628" t="s">
        <v>196</v>
      </c>
      <c r="C193" s="629"/>
      <c r="D193" s="629"/>
      <c r="E193" s="629"/>
      <c r="F193" s="402"/>
      <c r="G193" s="850"/>
      <c r="H193" s="851"/>
      <c r="I193" s="851"/>
      <c r="J193" s="851"/>
      <c r="K193" s="851"/>
      <c r="L193" s="851"/>
      <c r="M193" s="851"/>
      <c r="N193" s="851"/>
      <c r="O193" s="851"/>
      <c r="P193" s="852"/>
      <c r="Q193" s="852"/>
      <c r="R193" s="852"/>
      <c r="S193" s="853"/>
      <c r="T193" s="72"/>
      <c r="U193" s="303"/>
      <c r="V193" s="105"/>
      <c r="W193" s="268"/>
      <c r="X193" s="166"/>
      <c r="Y193" s="165"/>
      <c r="Z193" s="156"/>
      <c r="AA193" s="156"/>
      <c r="AB193" s="201">
        <v>460</v>
      </c>
    </row>
    <row r="194" spans="1:28" ht="12.6" customHeight="1" x14ac:dyDescent="0.2">
      <c r="A194" s="18"/>
      <c r="B194" s="674" t="s">
        <v>383</v>
      </c>
      <c r="C194" s="734"/>
      <c r="D194" s="734"/>
      <c r="E194" s="734"/>
      <c r="F194" s="413">
        <f>1.974*X2</f>
        <v>1946.364</v>
      </c>
      <c r="G194" s="611">
        <f t="shared" ref="G194:G196" si="393">+F194*$X$1</f>
        <v>1946.364</v>
      </c>
      <c r="H194" s="294"/>
      <c r="I194" s="294"/>
      <c r="J194" s="529">
        <f t="shared" ref="J194:J199" si="394">F194+150</f>
        <v>2096.364</v>
      </c>
      <c r="K194" s="304">
        <f t="shared" ref="K194:K199" si="395">+J194*$X$1</f>
        <v>2096.364</v>
      </c>
      <c r="L194" s="529">
        <f t="shared" ref="L194:L199" si="396">F194+90</f>
        <v>2036.364</v>
      </c>
      <c r="M194" s="304">
        <f t="shared" ref="M194:M199" si="397">+L194*$X$1</f>
        <v>2036.364</v>
      </c>
      <c r="N194" s="529">
        <f t="shared" ref="N194:N200" si="398">F194+55</f>
        <v>2001.364</v>
      </c>
      <c r="O194" s="304">
        <f t="shared" ref="O194:O199" si="399">+N194*$X$1</f>
        <v>2001.364</v>
      </c>
      <c r="P194" s="529">
        <f t="shared" ref="P194:P200" si="400">F194+50</f>
        <v>1996.364</v>
      </c>
      <c r="Q194" s="304">
        <f t="shared" ref="Q194:Q199" si="401">+P194*$X$1</f>
        <v>1996.364</v>
      </c>
      <c r="R194" s="529">
        <f t="shared" ref="R194:R200" si="402">F194+42</f>
        <v>1988.364</v>
      </c>
      <c r="S194" s="304">
        <f t="shared" ref="S194:S199" si="403">+R194*$X$1</f>
        <v>1988.364</v>
      </c>
      <c r="T194" s="104">
        <f t="shared" ref="T194:T203" si="404">F194+35</f>
        <v>1981.364</v>
      </c>
      <c r="U194" s="325">
        <f t="shared" ref="U194:U199" si="405">+T194*$X$1</f>
        <v>1981.364</v>
      </c>
      <c r="V194" s="104">
        <f t="shared" ref="V194:V203" si="406">F194+30</f>
        <v>1976.364</v>
      </c>
      <c r="W194" s="325">
        <f t="shared" ref="W194:W199" si="407">+V194*$X$1</f>
        <v>1976.364</v>
      </c>
      <c r="X194" s="156"/>
      <c r="Y194" s="165"/>
      <c r="Z194" s="156"/>
      <c r="AA194" s="156"/>
      <c r="AB194" s="201">
        <v>465</v>
      </c>
    </row>
    <row r="195" spans="1:28" ht="12.6" customHeight="1" x14ac:dyDescent="0.2">
      <c r="A195" s="18"/>
      <c r="B195" s="706" t="s">
        <v>855</v>
      </c>
      <c r="C195" s="906"/>
      <c r="D195" s="906"/>
      <c r="E195" s="906"/>
      <c r="F195" s="412">
        <f>2.03*X2</f>
        <v>2001.5799999999997</v>
      </c>
      <c r="G195" s="363">
        <f t="shared" ref="G195" si="408">+F195*$X$1</f>
        <v>2001.5799999999997</v>
      </c>
      <c r="H195" s="295"/>
      <c r="I195" s="295"/>
      <c r="J195" s="590">
        <f t="shared" si="394"/>
        <v>2151.58</v>
      </c>
      <c r="K195" s="303">
        <f t="shared" si="395"/>
        <v>2151.58</v>
      </c>
      <c r="L195" s="590">
        <f t="shared" si="396"/>
        <v>2091.58</v>
      </c>
      <c r="M195" s="303">
        <f t="shared" si="397"/>
        <v>2091.58</v>
      </c>
      <c r="N195" s="590">
        <f t="shared" si="398"/>
        <v>2056.58</v>
      </c>
      <c r="O195" s="303">
        <f t="shared" si="399"/>
        <v>2056.58</v>
      </c>
      <c r="P195" s="590">
        <f t="shared" si="400"/>
        <v>2051.58</v>
      </c>
      <c r="Q195" s="303">
        <f t="shared" si="401"/>
        <v>2051.58</v>
      </c>
      <c r="R195" s="590">
        <f t="shared" si="402"/>
        <v>2043.5799999999997</v>
      </c>
      <c r="S195" s="303">
        <f t="shared" si="403"/>
        <v>2043.5799999999997</v>
      </c>
      <c r="T195" s="105">
        <f t="shared" si="404"/>
        <v>2036.5799999999997</v>
      </c>
      <c r="U195" s="268">
        <f t="shared" si="405"/>
        <v>2036.5799999999997</v>
      </c>
      <c r="V195" s="105">
        <f t="shared" si="406"/>
        <v>2031.5799999999997</v>
      </c>
      <c r="W195" s="268">
        <f t="shared" si="407"/>
        <v>2031.5799999999997</v>
      </c>
      <c r="X195" s="156"/>
      <c r="Y195" s="165"/>
      <c r="Z195" s="156"/>
      <c r="AA195" s="156"/>
      <c r="AB195" s="201">
        <v>466</v>
      </c>
    </row>
    <row r="196" spans="1:28" ht="12.6" customHeight="1" x14ac:dyDescent="0.2">
      <c r="A196" s="18"/>
      <c r="B196" s="680" t="s">
        <v>658</v>
      </c>
      <c r="C196" s="888"/>
      <c r="D196" s="888"/>
      <c r="E196" s="888"/>
      <c r="F196" s="417">
        <f>1.14*X2</f>
        <v>1124.04</v>
      </c>
      <c r="G196" s="364">
        <f t="shared" si="393"/>
        <v>1124.04</v>
      </c>
      <c r="H196" s="294"/>
      <c r="I196" s="294"/>
      <c r="J196" s="529">
        <f t="shared" si="394"/>
        <v>1274.04</v>
      </c>
      <c r="K196" s="304">
        <f t="shared" si="395"/>
        <v>1274.04</v>
      </c>
      <c r="L196" s="529">
        <f t="shared" si="396"/>
        <v>1214.04</v>
      </c>
      <c r="M196" s="304">
        <f t="shared" si="397"/>
        <v>1214.04</v>
      </c>
      <c r="N196" s="529">
        <f t="shared" si="398"/>
        <v>1179.04</v>
      </c>
      <c r="O196" s="304">
        <f t="shared" si="399"/>
        <v>1179.04</v>
      </c>
      <c r="P196" s="529">
        <f t="shared" si="400"/>
        <v>1174.04</v>
      </c>
      <c r="Q196" s="304">
        <f t="shared" si="401"/>
        <v>1174.04</v>
      </c>
      <c r="R196" s="529">
        <f t="shared" si="402"/>
        <v>1166.04</v>
      </c>
      <c r="S196" s="304">
        <f t="shared" si="403"/>
        <v>1166.04</v>
      </c>
      <c r="T196" s="104">
        <f t="shared" si="404"/>
        <v>1159.04</v>
      </c>
      <c r="U196" s="325">
        <f t="shared" si="405"/>
        <v>1159.04</v>
      </c>
      <c r="V196" s="104">
        <f t="shared" si="406"/>
        <v>1154.04</v>
      </c>
      <c r="W196" s="325">
        <f t="shared" si="407"/>
        <v>1154.04</v>
      </c>
      <c r="X196" s="156"/>
      <c r="Y196" s="156"/>
      <c r="Z196" s="156"/>
      <c r="AA196" s="156"/>
      <c r="AB196" s="201">
        <v>528</v>
      </c>
    </row>
    <row r="197" spans="1:28" ht="12.6" customHeight="1" x14ac:dyDescent="0.2">
      <c r="A197" s="18"/>
      <c r="B197" s="622" t="s">
        <v>384</v>
      </c>
      <c r="C197" s="651"/>
      <c r="D197" s="651"/>
      <c r="E197" s="652"/>
      <c r="F197" s="326">
        <v>3705</v>
      </c>
      <c r="G197" s="333">
        <f t="shared" ref="G197:G201" si="409">+F197*$X$1</f>
        <v>3705</v>
      </c>
      <c r="H197" s="295"/>
      <c r="I197" s="295"/>
      <c r="J197" s="590">
        <f t="shared" si="394"/>
        <v>3855</v>
      </c>
      <c r="K197" s="303">
        <f t="shared" si="395"/>
        <v>3855</v>
      </c>
      <c r="L197" s="590">
        <f t="shared" si="396"/>
        <v>3795</v>
      </c>
      <c r="M197" s="303">
        <f t="shared" si="397"/>
        <v>3795</v>
      </c>
      <c r="N197" s="590">
        <f t="shared" si="398"/>
        <v>3760</v>
      </c>
      <c r="O197" s="303">
        <f t="shared" si="399"/>
        <v>3760</v>
      </c>
      <c r="P197" s="590">
        <f t="shared" si="400"/>
        <v>3755</v>
      </c>
      <c r="Q197" s="303">
        <f t="shared" si="401"/>
        <v>3755</v>
      </c>
      <c r="R197" s="590">
        <f t="shared" si="402"/>
        <v>3747</v>
      </c>
      <c r="S197" s="303">
        <f t="shared" si="403"/>
        <v>3747</v>
      </c>
      <c r="T197" s="105">
        <f t="shared" si="404"/>
        <v>3740</v>
      </c>
      <c r="U197" s="268">
        <f t="shared" si="405"/>
        <v>3740</v>
      </c>
      <c r="V197" s="105">
        <f t="shared" si="406"/>
        <v>3735</v>
      </c>
      <c r="W197" s="268">
        <f t="shared" si="407"/>
        <v>3735</v>
      </c>
      <c r="X197" s="156"/>
      <c r="Y197" s="156"/>
      <c r="Z197" s="156"/>
      <c r="AA197" s="156"/>
      <c r="AB197" s="201"/>
    </row>
    <row r="198" spans="1:28" ht="12.6" customHeight="1" x14ac:dyDescent="0.2">
      <c r="A198" s="18"/>
      <c r="B198" s="674" t="s">
        <v>850</v>
      </c>
      <c r="C198" s="734"/>
      <c r="D198" s="734"/>
      <c r="E198" s="734"/>
      <c r="F198" s="413">
        <f>1.4*X2</f>
        <v>1380.3999999999999</v>
      </c>
      <c r="G198" s="611">
        <f t="shared" si="409"/>
        <v>1380.3999999999999</v>
      </c>
      <c r="H198" s="529">
        <f>F198+400</f>
        <v>1780.3999999999999</v>
      </c>
      <c r="I198" s="304">
        <f>+H198*$X$1</f>
        <v>1780.3999999999999</v>
      </c>
      <c r="J198" s="529">
        <f t="shared" si="394"/>
        <v>1530.3999999999999</v>
      </c>
      <c r="K198" s="304">
        <f t="shared" si="395"/>
        <v>1530.3999999999999</v>
      </c>
      <c r="L198" s="529">
        <f t="shared" si="396"/>
        <v>1470.3999999999999</v>
      </c>
      <c r="M198" s="304">
        <f t="shared" si="397"/>
        <v>1470.3999999999999</v>
      </c>
      <c r="N198" s="529">
        <f t="shared" si="398"/>
        <v>1435.3999999999999</v>
      </c>
      <c r="O198" s="304">
        <f t="shared" si="399"/>
        <v>1435.3999999999999</v>
      </c>
      <c r="P198" s="529">
        <f t="shared" si="400"/>
        <v>1430.3999999999999</v>
      </c>
      <c r="Q198" s="304">
        <f t="shared" si="401"/>
        <v>1430.3999999999999</v>
      </c>
      <c r="R198" s="529"/>
      <c r="S198" s="304"/>
      <c r="T198" s="104"/>
      <c r="U198" s="325"/>
      <c r="V198" s="104"/>
      <c r="W198" s="325"/>
      <c r="X198" s="156"/>
      <c r="Y198" s="165"/>
      <c r="Z198" s="156"/>
      <c r="AA198" s="156"/>
      <c r="AB198" s="201">
        <v>534</v>
      </c>
    </row>
    <row r="199" spans="1:28" ht="12.6" customHeight="1" x14ac:dyDescent="0.2">
      <c r="A199" s="18"/>
      <c r="B199" s="622" t="s">
        <v>385</v>
      </c>
      <c r="C199" s="623"/>
      <c r="D199" s="623"/>
      <c r="E199" s="624"/>
      <c r="F199" s="326">
        <v>1132</v>
      </c>
      <c r="G199" s="333">
        <f t="shared" si="409"/>
        <v>1132</v>
      </c>
      <c r="H199" s="295"/>
      <c r="I199" s="295"/>
      <c r="J199" s="590">
        <f t="shared" si="394"/>
        <v>1282</v>
      </c>
      <c r="K199" s="303">
        <f t="shared" si="395"/>
        <v>1282</v>
      </c>
      <c r="L199" s="590">
        <f t="shared" si="396"/>
        <v>1222</v>
      </c>
      <c r="M199" s="303">
        <f t="shared" si="397"/>
        <v>1222</v>
      </c>
      <c r="N199" s="590">
        <f t="shared" si="398"/>
        <v>1187</v>
      </c>
      <c r="O199" s="303">
        <f t="shared" si="399"/>
        <v>1187</v>
      </c>
      <c r="P199" s="590">
        <f t="shared" si="400"/>
        <v>1182</v>
      </c>
      <c r="Q199" s="303">
        <f t="shared" si="401"/>
        <v>1182</v>
      </c>
      <c r="R199" s="590">
        <f t="shared" si="402"/>
        <v>1174</v>
      </c>
      <c r="S199" s="303">
        <f t="shared" si="403"/>
        <v>1174</v>
      </c>
      <c r="T199" s="105">
        <f t="shared" si="404"/>
        <v>1167</v>
      </c>
      <c r="U199" s="268">
        <f t="shared" si="405"/>
        <v>1167</v>
      </c>
      <c r="V199" s="105">
        <f t="shared" si="406"/>
        <v>1162</v>
      </c>
      <c r="W199" s="268">
        <f t="shared" si="407"/>
        <v>1162</v>
      </c>
      <c r="X199" s="156"/>
      <c r="Y199" s="156"/>
      <c r="Z199" s="156"/>
      <c r="AA199" s="156"/>
      <c r="AB199" s="201"/>
    </row>
    <row r="200" spans="1:28" ht="12.6" customHeight="1" x14ac:dyDescent="0.2">
      <c r="A200" s="18"/>
      <c r="B200" s="680" t="s">
        <v>197</v>
      </c>
      <c r="C200" s="681"/>
      <c r="D200" s="681"/>
      <c r="E200" s="681"/>
      <c r="F200" s="340">
        <v>210</v>
      </c>
      <c r="G200" s="379">
        <f>+F200*$X$1</f>
        <v>210</v>
      </c>
      <c r="H200" s="1049" t="s">
        <v>375</v>
      </c>
      <c r="I200" s="1049"/>
      <c r="J200" s="1050"/>
      <c r="K200" s="1050"/>
      <c r="L200" s="1050"/>
      <c r="M200" s="1051"/>
      <c r="N200" s="529">
        <f t="shared" si="398"/>
        <v>265</v>
      </c>
      <c r="O200" s="304">
        <f t="shared" ref="O200" si="410">+N200*$X$1</f>
        <v>265</v>
      </c>
      <c r="P200" s="529">
        <f t="shared" si="400"/>
        <v>260</v>
      </c>
      <c r="Q200" s="304">
        <f t="shared" ref="Q200" si="411">+P200*$X$1</f>
        <v>260</v>
      </c>
      <c r="R200" s="529">
        <f t="shared" si="402"/>
        <v>252</v>
      </c>
      <c r="S200" s="304">
        <f t="shared" ref="S200" si="412">+R200*$X$1</f>
        <v>252</v>
      </c>
      <c r="T200" s="104">
        <f t="shared" si="404"/>
        <v>245</v>
      </c>
      <c r="U200" s="325">
        <f t="shared" ref="U200:U203" si="413">+T200*$X$1</f>
        <v>245</v>
      </c>
      <c r="V200" s="104">
        <f t="shared" si="406"/>
        <v>240</v>
      </c>
      <c r="W200" s="325">
        <f t="shared" ref="W200:W203" si="414">+V200*$X$1</f>
        <v>240</v>
      </c>
      <c r="X200" s="156"/>
      <c r="Y200" s="156"/>
      <c r="Z200" s="156"/>
      <c r="AA200" s="156"/>
      <c r="AB200" s="201">
        <v>539</v>
      </c>
    </row>
    <row r="201" spans="1:28" ht="12.6" customHeight="1" x14ac:dyDescent="0.2">
      <c r="A201" s="18"/>
      <c r="B201" s="714" t="s">
        <v>501</v>
      </c>
      <c r="C201" s="839"/>
      <c r="D201" s="839"/>
      <c r="E201" s="839"/>
      <c r="F201" s="326">
        <v>451</v>
      </c>
      <c r="G201" s="327">
        <f t="shared" si="409"/>
        <v>451</v>
      </c>
      <c r="H201" s="295"/>
      <c r="I201" s="295"/>
      <c r="J201" s="72"/>
      <c r="K201" s="303"/>
      <c r="L201" s="590"/>
      <c r="M201" s="303"/>
      <c r="N201" s="590"/>
      <c r="O201" s="303"/>
      <c r="P201" s="590"/>
      <c r="Q201" s="303"/>
      <c r="R201" s="590"/>
      <c r="S201" s="303"/>
      <c r="T201" s="105">
        <f t="shared" si="404"/>
        <v>486</v>
      </c>
      <c r="U201" s="268">
        <f t="shared" si="413"/>
        <v>486</v>
      </c>
      <c r="V201" s="105">
        <f t="shared" si="406"/>
        <v>481</v>
      </c>
      <c r="W201" s="268">
        <f t="shared" si="414"/>
        <v>481</v>
      </c>
      <c r="X201" s="156"/>
      <c r="Y201" s="156"/>
      <c r="Z201" s="156"/>
      <c r="AA201" s="156"/>
      <c r="AB201" s="201">
        <v>540</v>
      </c>
    </row>
    <row r="202" spans="1:28" ht="12.6" customHeight="1" x14ac:dyDescent="0.2">
      <c r="A202" s="18"/>
      <c r="B202" s="680" t="s">
        <v>503</v>
      </c>
      <c r="C202" s="888"/>
      <c r="D202" s="888"/>
      <c r="E202" s="888"/>
      <c r="F202" s="340">
        <v>780</v>
      </c>
      <c r="G202" s="364">
        <f t="shared" ref="G202" si="415">+F202*$X$1</f>
        <v>780</v>
      </c>
      <c r="H202" s="294"/>
      <c r="I202" s="294"/>
      <c r="J202" s="90"/>
      <c r="K202" s="304"/>
      <c r="L202" s="529"/>
      <c r="M202" s="304"/>
      <c r="N202" s="529"/>
      <c r="O202" s="304"/>
      <c r="P202" s="529"/>
      <c r="Q202" s="304"/>
      <c r="R202" s="529"/>
      <c r="S202" s="304"/>
      <c r="T202" s="104">
        <f t="shared" si="404"/>
        <v>815</v>
      </c>
      <c r="U202" s="325">
        <f t="shared" si="413"/>
        <v>815</v>
      </c>
      <c r="V202" s="104">
        <f t="shared" si="406"/>
        <v>810</v>
      </c>
      <c r="W202" s="325">
        <f t="shared" si="414"/>
        <v>810</v>
      </c>
      <c r="X202" s="156"/>
      <c r="Y202" s="156"/>
      <c r="Z202" s="156"/>
      <c r="AA202" s="156"/>
      <c r="AB202" s="201" t="s">
        <v>590</v>
      </c>
    </row>
    <row r="203" spans="1:28" ht="12.6" customHeight="1" x14ac:dyDescent="0.2">
      <c r="A203" s="18"/>
      <c r="B203" s="622" t="s">
        <v>454</v>
      </c>
      <c r="C203" s="623"/>
      <c r="D203" s="623"/>
      <c r="E203" s="624"/>
      <c r="F203" s="418">
        <f>18.74*X2</f>
        <v>18477.64</v>
      </c>
      <c r="G203" s="327">
        <f t="shared" ref="G203" si="416">+F203*$X$1</f>
        <v>18477.64</v>
      </c>
      <c r="H203" s="590">
        <f>F203+400</f>
        <v>18877.64</v>
      </c>
      <c r="I203" s="303">
        <f>+H203*$X$1</f>
        <v>18877.64</v>
      </c>
      <c r="J203" s="590">
        <f>F203+150</f>
        <v>18627.64</v>
      </c>
      <c r="K203" s="303">
        <f t="shared" ref="K203" si="417">+J203*$X$1</f>
        <v>18627.64</v>
      </c>
      <c r="L203" s="590">
        <f>F203+90</f>
        <v>18567.64</v>
      </c>
      <c r="M203" s="303">
        <f t="shared" ref="M203" si="418">+L203*$X$1</f>
        <v>18567.64</v>
      </c>
      <c r="N203" s="590">
        <f>F203+55</f>
        <v>18532.64</v>
      </c>
      <c r="O203" s="303">
        <f t="shared" ref="O203" si="419">+N203*$X$1</f>
        <v>18532.64</v>
      </c>
      <c r="P203" s="590">
        <f>F203+50</f>
        <v>18527.64</v>
      </c>
      <c r="Q203" s="303">
        <f t="shared" ref="Q203" si="420">+P203*$X$1</f>
        <v>18527.64</v>
      </c>
      <c r="R203" s="590">
        <f>F203+42</f>
        <v>18519.64</v>
      </c>
      <c r="S203" s="303">
        <f t="shared" ref="S203" si="421">+R203*$X$1</f>
        <v>18519.64</v>
      </c>
      <c r="T203" s="105">
        <f t="shared" si="404"/>
        <v>18512.64</v>
      </c>
      <c r="U203" s="268">
        <f t="shared" si="413"/>
        <v>18512.64</v>
      </c>
      <c r="V203" s="105">
        <f t="shared" si="406"/>
        <v>18507.64</v>
      </c>
      <c r="W203" s="268">
        <f t="shared" si="414"/>
        <v>18507.64</v>
      </c>
      <c r="X203" s="156"/>
      <c r="Y203" s="156"/>
      <c r="Z203" s="156"/>
      <c r="AA203" s="156"/>
      <c r="AB203" s="201">
        <v>542</v>
      </c>
    </row>
    <row r="204" spans="1:28" ht="12.6" customHeight="1" x14ac:dyDescent="0.2">
      <c r="A204" s="18"/>
      <c r="B204" s="674" t="s">
        <v>502</v>
      </c>
      <c r="C204" s="675"/>
      <c r="D204" s="675"/>
      <c r="E204" s="675"/>
      <c r="F204" s="304"/>
      <c r="G204" s="304"/>
      <c r="H204" s="529"/>
      <c r="I204" s="529"/>
      <c r="J204" s="529"/>
      <c r="K204" s="304"/>
      <c r="L204" s="529"/>
      <c r="M204" s="304"/>
      <c r="N204" s="529"/>
      <c r="O204" s="304"/>
      <c r="P204" s="529"/>
      <c r="Q204" s="304"/>
      <c r="R204" s="529"/>
      <c r="S204" s="304"/>
      <c r="T204" s="529"/>
      <c r="U204" s="304"/>
      <c r="V204" s="90"/>
      <c r="W204" s="370"/>
      <c r="X204" s="156"/>
      <c r="Y204" s="156"/>
      <c r="Z204" s="156"/>
      <c r="AA204" s="156"/>
      <c r="AB204" s="201">
        <v>544</v>
      </c>
    </row>
    <row r="205" spans="1:28" ht="12.6" customHeight="1" x14ac:dyDescent="0.2">
      <c r="A205" s="18"/>
      <c r="B205" s="873" t="s">
        <v>198</v>
      </c>
      <c r="C205" s="945"/>
      <c r="D205" s="945"/>
      <c r="E205" s="945"/>
      <c r="F205" s="362">
        <v>350</v>
      </c>
      <c r="G205" s="361">
        <f t="shared" ref="G205:G210" si="422">+F205*$X$1</f>
        <v>350</v>
      </c>
      <c r="H205" s="301"/>
      <c r="I205" s="301"/>
      <c r="J205" s="591">
        <f t="shared" ref="J205" si="423">F205+150</f>
        <v>500</v>
      </c>
      <c r="K205" s="361">
        <f t="shared" ref="K205" si="424">+J205*$X$1</f>
        <v>500</v>
      </c>
      <c r="L205" s="591">
        <f t="shared" ref="L205" si="425">F205+90</f>
        <v>440</v>
      </c>
      <c r="M205" s="361">
        <f t="shared" ref="M205" si="426">+L205*$X$1</f>
        <v>440</v>
      </c>
      <c r="N205" s="591">
        <f t="shared" ref="N205" si="427">F205+55</f>
        <v>405</v>
      </c>
      <c r="O205" s="361">
        <f t="shared" ref="O205" si="428">+N205*$X$1</f>
        <v>405</v>
      </c>
      <c r="P205" s="106"/>
      <c r="Q205" s="903" t="s">
        <v>152</v>
      </c>
      <c r="R205" s="904"/>
      <c r="S205" s="904"/>
      <c r="T205" s="904"/>
      <c r="U205" s="904"/>
      <c r="V205" s="904"/>
      <c r="W205" s="905"/>
      <c r="X205" s="136"/>
      <c r="Y205" s="136"/>
      <c r="Z205" s="136"/>
      <c r="AA205" s="136"/>
      <c r="AB205" s="201">
        <v>547</v>
      </c>
    </row>
    <row r="206" spans="1:28" ht="12.6" customHeight="1" x14ac:dyDescent="0.2">
      <c r="A206" s="18"/>
      <c r="B206" s="682" t="s">
        <v>386</v>
      </c>
      <c r="C206" s="943"/>
      <c r="D206" s="943"/>
      <c r="E206" s="944"/>
      <c r="F206" s="304">
        <v>3607</v>
      </c>
      <c r="G206" s="304">
        <f t="shared" si="422"/>
        <v>3607</v>
      </c>
      <c r="H206" s="294"/>
      <c r="I206" s="294"/>
      <c r="J206" s="529">
        <f t="shared" ref="J206:J211" si="429">F206+150</f>
        <v>3757</v>
      </c>
      <c r="K206" s="304">
        <f t="shared" ref="K206:K211" si="430">+J206*$X$1</f>
        <v>3757</v>
      </c>
      <c r="L206" s="529">
        <f t="shared" ref="L206:L211" si="431">F206+90</f>
        <v>3697</v>
      </c>
      <c r="M206" s="304">
        <f t="shared" ref="M206:M211" si="432">+L206*$X$1</f>
        <v>3697</v>
      </c>
      <c r="N206" s="529">
        <f t="shared" ref="N206:N211" si="433">F206+55</f>
        <v>3662</v>
      </c>
      <c r="O206" s="304">
        <f t="shared" ref="O206:O211" si="434">+N206*$X$1</f>
        <v>3662</v>
      </c>
      <c r="P206" s="529">
        <f t="shared" ref="P206:P211" si="435">F206+50</f>
        <v>3657</v>
      </c>
      <c r="Q206" s="304">
        <f t="shared" ref="Q206:Q211" si="436">+P206*$X$1</f>
        <v>3657</v>
      </c>
      <c r="R206" s="529">
        <f t="shared" ref="R206:R211" si="437">F206+42</f>
        <v>3649</v>
      </c>
      <c r="S206" s="304">
        <f t="shared" ref="S206:S211" si="438">+R206*$X$1</f>
        <v>3649</v>
      </c>
      <c r="T206" s="104">
        <f t="shared" ref="T206:T211" si="439">F206+35</f>
        <v>3642</v>
      </c>
      <c r="U206" s="325">
        <f t="shared" ref="U206:U211" si="440">+T206*$X$1</f>
        <v>3642</v>
      </c>
      <c r="V206" s="104">
        <f t="shared" ref="V206:V211" si="441">F206+30</f>
        <v>3637</v>
      </c>
      <c r="W206" s="325">
        <f t="shared" ref="W206:W211" si="442">+V206*$X$1</f>
        <v>3637</v>
      </c>
      <c r="X206" s="136"/>
      <c r="Y206" s="136"/>
      <c r="Z206" s="136"/>
      <c r="AA206" s="136"/>
      <c r="AB206" s="458"/>
    </row>
    <row r="207" spans="1:28" ht="12.6" customHeight="1" x14ac:dyDescent="0.2">
      <c r="A207" s="18"/>
      <c r="B207" s="622" t="s">
        <v>518</v>
      </c>
      <c r="C207" s="623"/>
      <c r="D207" s="623"/>
      <c r="E207" s="624"/>
      <c r="F207" s="326">
        <v>1014</v>
      </c>
      <c r="G207" s="303">
        <f t="shared" si="422"/>
        <v>1014</v>
      </c>
      <c r="H207" s="295"/>
      <c r="I207" s="295"/>
      <c r="J207" s="590">
        <f t="shared" si="429"/>
        <v>1164</v>
      </c>
      <c r="K207" s="303">
        <f t="shared" si="430"/>
        <v>1164</v>
      </c>
      <c r="L207" s="590">
        <f t="shared" si="431"/>
        <v>1104</v>
      </c>
      <c r="M207" s="303">
        <f t="shared" si="432"/>
        <v>1104</v>
      </c>
      <c r="N207" s="590">
        <f t="shared" si="433"/>
        <v>1069</v>
      </c>
      <c r="O207" s="303">
        <f t="shared" si="434"/>
        <v>1069</v>
      </c>
      <c r="P207" s="590">
        <f t="shared" si="435"/>
        <v>1064</v>
      </c>
      <c r="Q207" s="303">
        <f t="shared" si="436"/>
        <v>1064</v>
      </c>
      <c r="R207" s="590">
        <f t="shared" si="437"/>
        <v>1056</v>
      </c>
      <c r="S207" s="303">
        <f t="shared" si="438"/>
        <v>1056</v>
      </c>
      <c r="T207" s="105">
        <f t="shared" si="439"/>
        <v>1049</v>
      </c>
      <c r="U207" s="268">
        <f t="shared" si="440"/>
        <v>1049</v>
      </c>
      <c r="V207" s="105">
        <f t="shared" si="441"/>
        <v>1044</v>
      </c>
      <c r="W207" s="268">
        <f t="shared" si="442"/>
        <v>1044</v>
      </c>
      <c r="X207" s="156"/>
      <c r="Y207" s="156"/>
      <c r="Z207" s="156"/>
      <c r="AA207" s="156"/>
      <c r="AB207" s="201"/>
    </row>
    <row r="208" spans="1:28" ht="12.6" customHeight="1" x14ac:dyDescent="0.2">
      <c r="A208" s="18"/>
      <c r="B208" s="682" t="s">
        <v>476</v>
      </c>
      <c r="C208" s="943"/>
      <c r="D208" s="943"/>
      <c r="E208" s="944"/>
      <c r="F208" s="304">
        <v>3490</v>
      </c>
      <c r="G208" s="304">
        <f t="shared" si="422"/>
        <v>3490</v>
      </c>
      <c r="H208" s="294"/>
      <c r="I208" s="294"/>
      <c r="J208" s="529">
        <f t="shared" si="429"/>
        <v>3640</v>
      </c>
      <c r="K208" s="304">
        <f t="shared" si="430"/>
        <v>3640</v>
      </c>
      <c r="L208" s="529">
        <f t="shared" si="431"/>
        <v>3580</v>
      </c>
      <c r="M208" s="304">
        <f t="shared" si="432"/>
        <v>3580</v>
      </c>
      <c r="N208" s="529">
        <f t="shared" si="433"/>
        <v>3545</v>
      </c>
      <c r="O208" s="304">
        <f t="shared" si="434"/>
        <v>3545</v>
      </c>
      <c r="P208" s="529">
        <f t="shared" si="435"/>
        <v>3540</v>
      </c>
      <c r="Q208" s="304">
        <f t="shared" si="436"/>
        <v>3540</v>
      </c>
      <c r="R208" s="529">
        <f t="shared" si="437"/>
        <v>3532</v>
      </c>
      <c r="S208" s="304">
        <f t="shared" si="438"/>
        <v>3532</v>
      </c>
      <c r="T208" s="104">
        <f t="shared" si="439"/>
        <v>3525</v>
      </c>
      <c r="U208" s="325">
        <f t="shared" si="440"/>
        <v>3525</v>
      </c>
      <c r="V208" s="104">
        <f t="shared" si="441"/>
        <v>3520</v>
      </c>
      <c r="W208" s="325">
        <f t="shared" si="442"/>
        <v>3520</v>
      </c>
      <c r="X208" s="136"/>
      <c r="Y208" s="136"/>
      <c r="Z208" s="136"/>
      <c r="AA208" s="136"/>
      <c r="AB208" s="201">
        <v>551</v>
      </c>
    </row>
    <row r="209" spans="1:28" ht="12.6" customHeight="1" x14ac:dyDescent="0.2">
      <c r="A209" s="18"/>
      <c r="B209" s="685" t="s">
        <v>474</v>
      </c>
      <c r="C209" s="686"/>
      <c r="D209" s="686"/>
      <c r="E209" s="687"/>
      <c r="F209" s="326">
        <v>3880</v>
      </c>
      <c r="G209" s="303">
        <f t="shared" si="422"/>
        <v>3880</v>
      </c>
      <c r="H209" s="295"/>
      <c r="I209" s="295"/>
      <c r="J209" s="590">
        <f t="shared" si="429"/>
        <v>4030</v>
      </c>
      <c r="K209" s="303">
        <f t="shared" si="430"/>
        <v>4030</v>
      </c>
      <c r="L209" s="590">
        <f t="shared" si="431"/>
        <v>3970</v>
      </c>
      <c r="M209" s="303">
        <f t="shared" si="432"/>
        <v>3970</v>
      </c>
      <c r="N209" s="590">
        <f t="shared" si="433"/>
        <v>3935</v>
      </c>
      <c r="O209" s="303">
        <f t="shared" si="434"/>
        <v>3935</v>
      </c>
      <c r="P209" s="590">
        <f t="shared" si="435"/>
        <v>3930</v>
      </c>
      <c r="Q209" s="303">
        <f t="shared" si="436"/>
        <v>3930</v>
      </c>
      <c r="R209" s="590">
        <f t="shared" si="437"/>
        <v>3922</v>
      </c>
      <c r="S209" s="303">
        <f t="shared" si="438"/>
        <v>3922</v>
      </c>
      <c r="T209" s="105">
        <f t="shared" si="439"/>
        <v>3915</v>
      </c>
      <c r="U209" s="268">
        <f t="shared" si="440"/>
        <v>3915</v>
      </c>
      <c r="V209" s="105">
        <f t="shared" si="441"/>
        <v>3910</v>
      </c>
      <c r="W209" s="268">
        <f t="shared" si="442"/>
        <v>3910</v>
      </c>
      <c r="X209" s="136"/>
      <c r="Y209" s="136"/>
      <c r="Z209" s="136"/>
      <c r="AA209" s="136"/>
      <c r="AB209" s="201" t="s">
        <v>473</v>
      </c>
    </row>
    <row r="210" spans="1:28" ht="12.6" customHeight="1" x14ac:dyDescent="0.2">
      <c r="A210" s="18"/>
      <c r="B210" s="697" t="s">
        <v>475</v>
      </c>
      <c r="C210" s="698"/>
      <c r="D210" s="698"/>
      <c r="E210" s="699"/>
      <c r="F210" s="340">
        <v>4172</v>
      </c>
      <c r="G210" s="304">
        <f t="shared" si="422"/>
        <v>4172</v>
      </c>
      <c r="H210" s="294"/>
      <c r="I210" s="294"/>
      <c r="J210" s="529">
        <f t="shared" si="429"/>
        <v>4322</v>
      </c>
      <c r="K210" s="304">
        <f t="shared" si="430"/>
        <v>4322</v>
      </c>
      <c r="L210" s="529">
        <f t="shared" si="431"/>
        <v>4262</v>
      </c>
      <c r="M210" s="304">
        <f t="shared" si="432"/>
        <v>4262</v>
      </c>
      <c r="N210" s="529">
        <f t="shared" si="433"/>
        <v>4227</v>
      </c>
      <c r="O210" s="304">
        <f t="shared" si="434"/>
        <v>4227</v>
      </c>
      <c r="P210" s="529">
        <f t="shared" si="435"/>
        <v>4222</v>
      </c>
      <c r="Q210" s="304">
        <f t="shared" si="436"/>
        <v>4222</v>
      </c>
      <c r="R210" s="529">
        <f t="shared" si="437"/>
        <v>4214</v>
      </c>
      <c r="S210" s="304">
        <f t="shared" si="438"/>
        <v>4214</v>
      </c>
      <c r="T210" s="104">
        <f t="shared" si="439"/>
        <v>4207</v>
      </c>
      <c r="U210" s="325">
        <f t="shared" si="440"/>
        <v>4207</v>
      </c>
      <c r="V210" s="104">
        <f t="shared" si="441"/>
        <v>4202</v>
      </c>
      <c r="W210" s="325">
        <f t="shared" si="442"/>
        <v>4202</v>
      </c>
      <c r="X210" s="136"/>
      <c r="Y210" s="136"/>
      <c r="Z210" s="136"/>
      <c r="AA210" s="136"/>
      <c r="AB210" s="201" t="s">
        <v>477</v>
      </c>
    </row>
    <row r="211" spans="1:28" ht="12.6" customHeight="1" x14ac:dyDescent="0.2">
      <c r="A211" s="18"/>
      <c r="B211" s="628" t="s">
        <v>430</v>
      </c>
      <c r="C211" s="649"/>
      <c r="D211" s="649"/>
      <c r="E211" s="649"/>
      <c r="F211" s="303">
        <v>3705</v>
      </c>
      <c r="G211" s="303">
        <f t="shared" ref="G211" si="443">+F211*$X$1</f>
        <v>3705</v>
      </c>
      <c r="H211" s="295"/>
      <c r="I211" s="295"/>
      <c r="J211" s="590">
        <f t="shared" si="429"/>
        <v>3855</v>
      </c>
      <c r="K211" s="303">
        <f t="shared" si="430"/>
        <v>3855</v>
      </c>
      <c r="L211" s="590">
        <f t="shared" si="431"/>
        <v>3795</v>
      </c>
      <c r="M211" s="303">
        <f t="shared" si="432"/>
        <v>3795</v>
      </c>
      <c r="N211" s="590">
        <f t="shared" si="433"/>
        <v>3760</v>
      </c>
      <c r="O211" s="303">
        <f t="shared" si="434"/>
        <v>3760</v>
      </c>
      <c r="P211" s="590">
        <f t="shared" si="435"/>
        <v>3755</v>
      </c>
      <c r="Q211" s="303">
        <f t="shared" si="436"/>
        <v>3755</v>
      </c>
      <c r="R211" s="590">
        <f t="shared" si="437"/>
        <v>3747</v>
      </c>
      <c r="S211" s="303">
        <f t="shared" si="438"/>
        <v>3747</v>
      </c>
      <c r="T211" s="105">
        <f t="shared" si="439"/>
        <v>3740</v>
      </c>
      <c r="U211" s="268">
        <f t="shared" si="440"/>
        <v>3740</v>
      </c>
      <c r="V211" s="105">
        <f t="shared" si="441"/>
        <v>3735</v>
      </c>
      <c r="W211" s="268">
        <f t="shared" si="442"/>
        <v>3735</v>
      </c>
      <c r="X211" s="136"/>
      <c r="Y211" s="136"/>
      <c r="Z211" s="136"/>
      <c r="AA211" s="136"/>
      <c r="AB211" s="201">
        <v>553</v>
      </c>
    </row>
    <row r="212" spans="1:28" ht="12.6" customHeight="1" x14ac:dyDescent="0.2">
      <c r="A212" s="18"/>
      <c r="B212" s="680" t="s">
        <v>657</v>
      </c>
      <c r="C212" s="888"/>
      <c r="D212" s="888"/>
      <c r="E212" s="888"/>
      <c r="F212" s="417">
        <f>7.391*X2</f>
        <v>7287.5259999999998</v>
      </c>
      <c r="G212" s="364">
        <f t="shared" ref="G212" si="444">+F212*$X$1</f>
        <v>7287.5259999999998</v>
      </c>
      <c r="H212" s="529">
        <f>F212+410</f>
        <v>7697.5259999999998</v>
      </c>
      <c r="I212" s="304">
        <f>+H212*$X$1</f>
        <v>7697.5259999999998</v>
      </c>
      <c r="J212" s="529">
        <f>F212+360</f>
        <v>7647.5259999999998</v>
      </c>
      <c r="K212" s="304">
        <f>+J212*$X$1</f>
        <v>7647.5259999999998</v>
      </c>
      <c r="L212" s="529">
        <f>F212+330</f>
        <v>7617.5259999999998</v>
      </c>
      <c r="M212" s="304">
        <f t="shared" ref="M212:M213" si="445">+L212*$X$1</f>
        <v>7617.5259999999998</v>
      </c>
      <c r="N212" s="529">
        <f>F212+290</f>
        <v>7577.5259999999998</v>
      </c>
      <c r="O212" s="304">
        <f t="shared" ref="O212:O213" si="446">+N212*$X$1</f>
        <v>7577.5259999999998</v>
      </c>
      <c r="P212" s="529">
        <f>F212+240</f>
        <v>7527.5259999999998</v>
      </c>
      <c r="Q212" s="304">
        <f t="shared" ref="Q212" si="447">+P212*$X$1</f>
        <v>7527.5259999999998</v>
      </c>
      <c r="R212" s="529">
        <f>F212+220</f>
        <v>7507.5259999999998</v>
      </c>
      <c r="S212" s="304">
        <f t="shared" ref="S212" si="448">+R212*$X$1</f>
        <v>7507.5259999999998</v>
      </c>
      <c r="T212" s="104">
        <f>F212+200</f>
        <v>7487.5259999999998</v>
      </c>
      <c r="U212" s="325">
        <f t="shared" ref="U212" si="449">+T212*$X$1</f>
        <v>7487.5259999999998</v>
      </c>
      <c r="V212" s="104">
        <f>F212+175</f>
        <v>7462.5259999999998</v>
      </c>
      <c r="W212" s="325">
        <f t="shared" ref="W212" si="450">+V212*$X$1</f>
        <v>7462.5259999999998</v>
      </c>
      <c r="X212" s="156"/>
      <c r="Y212" s="156"/>
      <c r="Z212" s="156"/>
      <c r="AA212" s="156"/>
      <c r="AB212" s="201">
        <v>616</v>
      </c>
    </row>
    <row r="213" spans="1:28" ht="12.6" customHeight="1" x14ac:dyDescent="0.2">
      <c r="A213" s="18"/>
      <c r="B213" s="1022" t="s">
        <v>379</v>
      </c>
      <c r="C213" s="1023"/>
      <c r="D213" s="1023"/>
      <c r="E213" s="1023"/>
      <c r="F213" s="361">
        <v>180</v>
      </c>
      <c r="G213" s="361">
        <f t="shared" ref="G213:G216" si="451">+F213*$X$1</f>
        <v>180</v>
      </c>
      <c r="H213" s="301"/>
      <c r="I213" s="367"/>
      <c r="J213" s="591">
        <f>F213+150</f>
        <v>330</v>
      </c>
      <c r="K213" s="361">
        <f t="shared" ref="K213" si="452">+J213*$X$1</f>
        <v>330</v>
      </c>
      <c r="L213" s="591">
        <f>F213+90</f>
        <v>270</v>
      </c>
      <c r="M213" s="361">
        <f t="shared" si="445"/>
        <v>270</v>
      </c>
      <c r="N213" s="591">
        <f>F213+55</f>
        <v>235</v>
      </c>
      <c r="O213" s="361">
        <f t="shared" si="446"/>
        <v>235</v>
      </c>
      <c r="P213" s="591"/>
      <c r="Q213" s="591"/>
      <c r="R213" s="591"/>
      <c r="S213" s="591"/>
      <c r="T213" s="591"/>
      <c r="U213" s="591"/>
      <c r="V213" s="106"/>
      <c r="W213" s="106"/>
      <c r="X213" s="156"/>
      <c r="Y213" s="156"/>
      <c r="Z213" s="156"/>
      <c r="AA213" s="156"/>
      <c r="AB213" s="201">
        <v>618</v>
      </c>
    </row>
    <row r="214" spans="1:28" ht="12.6" customHeight="1" x14ac:dyDescent="0.2">
      <c r="A214" s="108"/>
      <c r="B214" s="704" t="s">
        <v>512</v>
      </c>
      <c r="C214" s="705"/>
      <c r="D214" s="705"/>
      <c r="E214" s="705"/>
      <c r="F214" s="361">
        <v>500</v>
      </c>
      <c r="G214" s="361">
        <f t="shared" si="451"/>
        <v>500</v>
      </c>
      <c r="H214" s="591"/>
      <c r="I214" s="361"/>
      <c r="J214" s="301"/>
      <c r="K214" s="367"/>
      <c r="L214" s="591">
        <f>F214+110</f>
        <v>610</v>
      </c>
      <c r="M214" s="361">
        <f t="shared" ref="M214:M221" si="453">+L214*$X$1</f>
        <v>610</v>
      </c>
      <c r="N214" s="591"/>
      <c r="O214" s="361"/>
      <c r="P214" s="591">
        <f>F214+5.1</f>
        <v>505.1</v>
      </c>
      <c r="Q214" s="1025" t="s">
        <v>152</v>
      </c>
      <c r="R214" s="1026"/>
      <c r="S214" s="1026"/>
      <c r="T214" s="1026"/>
      <c r="U214" s="1026"/>
      <c r="V214" s="1026"/>
      <c r="W214" s="1026"/>
      <c r="X214" s="137"/>
      <c r="Y214" s="156"/>
      <c r="Z214" s="156"/>
      <c r="AA214" s="156"/>
      <c r="AB214" s="201">
        <v>621</v>
      </c>
    </row>
    <row r="215" spans="1:28" ht="12.6" customHeight="1" x14ac:dyDescent="0.2">
      <c r="A215" s="21"/>
      <c r="B215" s="628" t="s">
        <v>199</v>
      </c>
      <c r="C215" s="649"/>
      <c r="D215" s="649"/>
      <c r="E215" s="649"/>
      <c r="F215" s="412">
        <f>2.93*X2</f>
        <v>2888.98</v>
      </c>
      <c r="G215" s="303">
        <f>+F215*$X$1</f>
        <v>2888.98</v>
      </c>
      <c r="H215" s="339"/>
      <c r="I215" s="368"/>
      <c r="J215" s="590">
        <f t="shared" ref="J215:J220" si="454">F215+150</f>
        <v>3038.98</v>
      </c>
      <c r="K215" s="303">
        <f t="shared" ref="K215:K220" si="455">+J215*$X$1</f>
        <v>3038.98</v>
      </c>
      <c r="L215" s="590">
        <f t="shared" ref="L215:L220" si="456">F215+90</f>
        <v>2978.98</v>
      </c>
      <c r="M215" s="303">
        <f t="shared" si="453"/>
        <v>2978.98</v>
      </c>
      <c r="N215" s="590">
        <f t="shared" ref="N215:N220" si="457">F215+55</f>
        <v>2943.98</v>
      </c>
      <c r="O215" s="303">
        <f t="shared" ref="O215:O221" si="458">+N215*$X$1</f>
        <v>2943.98</v>
      </c>
      <c r="P215" s="590">
        <f t="shared" ref="P215:P220" si="459">F215+50</f>
        <v>2938.98</v>
      </c>
      <c r="Q215" s="303">
        <f t="shared" ref="Q215:Q221" si="460">+P215*$X$1</f>
        <v>2938.98</v>
      </c>
      <c r="R215" s="590">
        <f t="shared" ref="R215:R220" si="461">F215+42</f>
        <v>2930.98</v>
      </c>
      <c r="S215" s="303">
        <f t="shared" ref="S215:S221" si="462">+R215*$X$1</f>
        <v>2930.98</v>
      </c>
      <c r="T215" s="105">
        <f t="shared" ref="T215:T220" si="463">F215+35</f>
        <v>2923.98</v>
      </c>
      <c r="U215" s="268">
        <f t="shared" ref="U215:U221" si="464">+T215*$X$1</f>
        <v>2923.98</v>
      </c>
      <c r="V215" s="105">
        <f t="shared" ref="V215:V220" si="465">F215+30</f>
        <v>2918.98</v>
      </c>
      <c r="W215" s="268">
        <f t="shared" ref="W215:W221" si="466">+V215*$X$1</f>
        <v>2918.98</v>
      </c>
      <c r="X215" s="156"/>
      <c r="Y215" s="165"/>
      <c r="Z215" s="156"/>
      <c r="AA215" s="156"/>
      <c r="AB215" s="201">
        <v>624</v>
      </c>
    </row>
    <row r="216" spans="1:28" ht="12.6" customHeight="1" x14ac:dyDescent="0.2">
      <c r="A216" s="21"/>
      <c r="B216" s="693" t="s">
        <v>200</v>
      </c>
      <c r="C216" s="914"/>
      <c r="D216" s="914"/>
      <c r="E216" s="914"/>
      <c r="F216" s="413">
        <f>5.057*X2</f>
        <v>4986.2020000000002</v>
      </c>
      <c r="G216" s="304">
        <f t="shared" si="451"/>
        <v>4986.2020000000002</v>
      </c>
      <c r="H216" s="302"/>
      <c r="I216" s="369"/>
      <c r="J216" s="529">
        <f t="shared" si="454"/>
        <v>5136.2020000000002</v>
      </c>
      <c r="K216" s="304">
        <f t="shared" si="455"/>
        <v>5136.2020000000002</v>
      </c>
      <c r="L216" s="529">
        <f t="shared" si="456"/>
        <v>5076.2020000000002</v>
      </c>
      <c r="M216" s="304">
        <f t="shared" si="453"/>
        <v>5076.2020000000002</v>
      </c>
      <c r="N216" s="529">
        <f t="shared" si="457"/>
        <v>5041.2020000000002</v>
      </c>
      <c r="O216" s="304">
        <f t="shared" si="458"/>
        <v>5041.2020000000002</v>
      </c>
      <c r="P216" s="529">
        <f t="shared" si="459"/>
        <v>5036.2020000000002</v>
      </c>
      <c r="Q216" s="304">
        <f t="shared" si="460"/>
        <v>5036.2020000000002</v>
      </c>
      <c r="R216" s="529">
        <f t="shared" si="461"/>
        <v>5028.2020000000002</v>
      </c>
      <c r="S216" s="304">
        <f t="shared" si="462"/>
        <v>5028.2020000000002</v>
      </c>
      <c r="T216" s="104">
        <f t="shared" si="463"/>
        <v>5021.2020000000002</v>
      </c>
      <c r="U216" s="325">
        <f t="shared" si="464"/>
        <v>5021.2020000000002</v>
      </c>
      <c r="V216" s="104">
        <f t="shared" si="465"/>
        <v>5016.2020000000002</v>
      </c>
      <c r="W216" s="325">
        <f t="shared" si="466"/>
        <v>5016.2020000000002</v>
      </c>
      <c r="X216" s="156"/>
      <c r="Y216" s="165"/>
      <c r="Z216" s="156"/>
      <c r="AA216" s="156"/>
      <c r="AB216" s="201" t="s">
        <v>201</v>
      </c>
    </row>
    <row r="217" spans="1:28" ht="12.6" customHeight="1" x14ac:dyDescent="0.2">
      <c r="A217" s="21"/>
      <c r="B217" s="622" t="s">
        <v>202</v>
      </c>
      <c r="C217" s="623"/>
      <c r="D217" s="623"/>
      <c r="E217" s="624"/>
      <c r="F217" s="412">
        <f>5.595*X2</f>
        <v>5516.67</v>
      </c>
      <c r="G217" s="303">
        <f t="shared" ref="G217:G222" si="467">+F217*$X$1</f>
        <v>5516.67</v>
      </c>
      <c r="H217" s="339"/>
      <c r="I217" s="368"/>
      <c r="J217" s="590">
        <f t="shared" si="454"/>
        <v>5666.67</v>
      </c>
      <c r="K217" s="303">
        <f t="shared" si="455"/>
        <v>5666.67</v>
      </c>
      <c r="L217" s="590">
        <f t="shared" si="456"/>
        <v>5606.67</v>
      </c>
      <c r="M217" s="303">
        <f t="shared" si="453"/>
        <v>5606.67</v>
      </c>
      <c r="N217" s="590">
        <f t="shared" si="457"/>
        <v>5571.67</v>
      </c>
      <c r="O217" s="303">
        <f t="shared" si="458"/>
        <v>5571.67</v>
      </c>
      <c r="P217" s="590">
        <f t="shared" si="459"/>
        <v>5566.67</v>
      </c>
      <c r="Q217" s="303">
        <f t="shared" si="460"/>
        <v>5566.67</v>
      </c>
      <c r="R217" s="590">
        <f t="shared" si="461"/>
        <v>5558.67</v>
      </c>
      <c r="S217" s="303">
        <f t="shared" si="462"/>
        <v>5558.67</v>
      </c>
      <c r="T217" s="105">
        <f t="shared" si="463"/>
        <v>5551.67</v>
      </c>
      <c r="U217" s="268">
        <f t="shared" si="464"/>
        <v>5551.67</v>
      </c>
      <c r="V217" s="105">
        <f t="shared" si="465"/>
        <v>5546.67</v>
      </c>
      <c r="W217" s="268">
        <f t="shared" si="466"/>
        <v>5546.67</v>
      </c>
      <c r="X217" s="156"/>
      <c r="Y217" s="165"/>
      <c r="Z217" s="156"/>
      <c r="AA217" s="156"/>
      <c r="AB217" s="201">
        <v>629</v>
      </c>
    </row>
    <row r="218" spans="1:28" ht="12.6" customHeight="1" x14ac:dyDescent="0.2">
      <c r="A218" s="21"/>
      <c r="B218" s="682" t="s">
        <v>436</v>
      </c>
      <c r="C218" s="683"/>
      <c r="D218" s="683"/>
      <c r="E218" s="684"/>
      <c r="F218" s="413">
        <f>10.631*X2</f>
        <v>10482.166000000001</v>
      </c>
      <c r="G218" s="304">
        <f t="shared" si="467"/>
        <v>10482.166000000001</v>
      </c>
      <c r="H218" s="302"/>
      <c r="I218" s="369"/>
      <c r="J218" s="529">
        <f t="shared" si="454"/>
        <v>10632.166000000001</v>
      </c>
      <c r="K218" s="304">
        <f t="shared" si="455"/>
        <v>10632.166000000001</v>
      </c>
      <c r="L218" s="529">
        <f t="shared" si="456"/>
        <v>10572.166000000001</v>
      </c>
      <c r="M218" s="304">
        <f t="shared" si="453"/>
        <v>10572.166000000001</v>
      </c>
      <c r="N218" s="529">
        <f t="shared" si="457"/>
        <v>10537.166000000001</v>
      </c>
      <c r="O218" s="304">
        <f t="shared" si="458"/>
        <v>10537.166000000001</v>
      </c>
      <c r="P218" s="529">
        <f t="shared" si="459"/>
        <v>10532.166000000001</v>
      </c>
      <c r="Q218" s="304">
        <f t="shared" si="460"/>
        <v>10532.166000000001</v>
      </c>
      <c r="R218" s="529">
        <f t="shared" si="461"/>
        <v>10524.166000000001</v>
      </c>
      <c r="S218" s="304">
        <f t="shared" si="462"/>
        <v>10524.166000000001</v>
      </c>
      <c r="T218" s="104">
        <f t="shared" si="463"/>
        <v>10517.166000000001</v>
      </c>
      <c r="U218" s="325">
        <f t="shared" si="464"/>
        <v>10517.166000000001</v>
      </c>
      <c r="V218" s="104">
        <f t="shared" si="465"/>
        <v>10512.166000000001</v>
      </c>
      <c r="W218" s="325">
        <f t="shared" si="466"/>
        <v>10512.166000000001</v>
      </c>
      <c r="X218" s="156"/>
      <c r="Y218" s="165"/>
      <c r="Z218" s="156"/>
      <c r="AA218" s="156"/>
      <c r="AB218" s="201">
        <v>630</v>
      </c>
    </row>
    <row r="219" spans="1:28" ht="12.6" customHeight="1" x14ac:dyDescent="0.2">
      <c r="A219" s="21"/>
      <c r="B219" s="622" t="s">
        <v>569</v>
      </c>
      <c r="C219" s="623"/>
      <c r="D219" s="623"/>
      <c r="E219" s="624"/>
      <c r="F219" s="412">
        <f>1.326*X2</f>
        <v>1307.4360000000001</v>
      </c>
      <c r="G219" s="305">
        <f t="shared" ref="G219" si="468">+F219*$X$1</f>
        <v>1307.4360000000001</v>
      </c>
      <c r="H219" s="339"/>
      <c r="I219" s="376"/>
      <c r="J219" s="590">
        <f t="shared" si="454"/>
        <v>1457.4360000000001</v>
      </c>
      <c r="K219" s="303">
        <f t="shared" si="455"/>
        <v>1457.4360000000001</v>
      </c>
      <c r="L219" s="590">
        <f t="shared" si="456"/>
        <v>1397.4360000000001</v>
      </c>
      <c r="M219" s="303">
        <f t="shared" si="453"/>
        <v>1397.4360000000001</v>
      </c>
      <c r="N219" s="590">
        <f t="shared" si="457"/>
        <v>1362.4360000000001</v>
      </c>
      <c r="O219" s="303">
        <f t="shared" si="458"/>
        <v>1362.4360000000001</v>
      </c>
      <c r="P219" s="590">
        <f t="shared" si="459"/>
        <v>1357.4360000000001</v>
      </c>
      <c r="Q219" s="303">
        <f t="shared" si="460"/>
        <v>1357.4360000000001</v>
      </c>
      <c r="R219" s="590">
        <f t="shared" si="461"/>
        <v>1349.4360000000001</v>
      </c>
      <c r="S219" s="303">
        <f t="shared" si="462"/>
        <v>1349.4360000000001</v>
      </c>
      <c r="T219" s="105">
        <f t="shared" si="463"/>
        <v>1342.4360000000001</v>
      </c>
      <c r="U219" s="268">
        <f t="shared" si="464"/>
        <v>1342.4360000000001</v>
      </c>
      <c r="V219" s="105">
        <f t="shared" si="465"/>
        <v>1337.4360000000001</v>
      </c>
      <c r="W219" s="268">
        <f t="shared" si="466"/>
        <v>1337.4360000000001</v>
      </c>
      <c r="X219" s="156"/>
      <c r="Y219" s="165"/>
      <c r="Z219" s="156"/>
      <c r="AA219" s="156"/>
      <c r="AB219" s="201">
        <v>631</v>
      </c>
    </row>
    <row r="220" spans="1:28" ht="12.6" customHeight="1" x14ac:dyDescent="0.2">
      <c r="A220" s="21"/>
      <c r="B220" s="682" t="s">
        <v>531</v>
      </c>
      <c r="C220" s="683"/>
      <c r="D220" s="683"/>
      <c r="E220" s="684"/>
      <c r="F220" s="413">
        <f>1.352*X2</f>
        <v>1333.0720000000001</v>
      </c>
      <c r="G220" s="306">
        <f t="shared" si="467"/>
        <v>1333.0720000000001</v>
      </c>
      <c r="H220" s="302"/>
      <c r="I220" s="377"/>
      <c r="J220" s="529">
        <f t="shared" si="454"/>
        <v>1483.0720000000001</v>
      </c>
      <c r="K220" s="304">
        <f t="shared" si="455"/>
        <v>1483.0720000000001</v>
      </c>
      <c r="L220" s="529">
        <f t="shared" si="456"/>
        <v>1423.0720000000001</v>
      </c>
      <c r="M220" s="304">
        <f t="shared" si="453"/>
        <v>1423.0720000000001</v>
      </c>
      <c r="N220" s="529">
        <f t="shared" si="457"/>
        <v>1388.0720000000001</v>
      </c>
      <c r="O220" s="304">
        <f t="shared" si="458"/>
        <v>1388.0720000000001</v>
      </c>
      <c r="P220" s="529">
        <f t="shared" si="459"/>
        <v>1383.0720000000001</v>
      </c>
      <c r="Q220" s="304">
        <f t="shared" si="460"/>
        <v>1383.0720000000001</v>
      </c>
      <c r="R220" s="529">
        <f t="shared" si="461"/>
        <v>1375.0720000000001</v>
      </c>
      <c r="S220" s="304">
        <f t="shared" si="462"/>
        <v>1375.0720000000001</v>
      </c>
      <c r="T220" s="104">
        <f t="shared" si="463"/>
        <v>1368.0720000000001</v>
      </c>
      <c r="U220" s="325">
        <f t="shared" si="464"/>
        <v>1368.0720000000001</v>
      </c>
      <c r="V220" s="104">
        <f t="shared" si="465"/>
        <v>1363.0720000000001</v>
      </c>
      <c r="W220" s="325">
        <f t="shared" si="466"/>
        <v>1363.0720000000001</v>
      </c>
      <c r="X220" s="156"/>
      <c r="Y220" s="165"/>
      <c r="Z220" s="156"/>
      <c r="AA220" s="156"/>
      <c r="AB220" s="201">
        <v>640</v>
      </c>
    </row>
    <row r="221" spans="1:28" ht="12.6" customHeight="1" x14ac:dyDescent="0.2">
      <c r="A221" s="21"/>
      <c r="B221" s="622" t="s">
        <v>551</v>
      </c>
      <c r="C221" s="623"/>
      <c r="D221" s="623"/>
      <c r="E221" s="624"/>
      <c r="F221" s="412">
        <f>15.8*X2</f>
        <v>15578.800000000001</v>
      </c>
      <c r="G221" s="305">
        <f t="shared" si="467"/>
        <v>15578.800000000001</v>
      </c>
      <c r="H221" s="590">
        <f>F221+400</f>
        <v>15978.800000000001</v>
      </c>
      <c r="I221" s="303">
        <f t="shared" ref="I221:I222" si="469">+H221*$X$1</f>
        <v>15978.800000000001</v>
      </c>
      <c r="J221" s="590">
        <f>F221+170</f>
        <v>15748.800000000001</v>
      </c>
      <c r="K221" s="303">
        <f t="shared" ref="K221:K222" si="470">+J221*$X$1</f>
        <v>15748.800000000001</v>
      </c>
      <c r="L221" s="602">
        <f t="shared" ref="L221" si="471">F221+130</f>
        <v>15708.800000000001</v>
      </c>
      <c r="M221" s="303">
        <f t="shared" si="453"/>
        <v>15708.800000000001</v>
      </c>
      <c r="N221" s="602">
        <f t="shared" ref="N221" si="472">F221+100</f>
        <v>15678.800000000001</v>
      </c>
      <c r="O221" s="303">
        <f t="shared" si="458"/>
        <v>15678.800000000001</v>
      </c>
      <c r="P221" s="602">
        <f t="shared" ref="P221" si="473">F221+80</f>
        <v>15658.800000000001</v>
      </c>
      <c r="Q221" s="303">
        <f t="shared" si="460"/>
        <v>15658.800000000001</v>
      </c>
      <c r="R221" s="602">
        <f t="shared" ref="R221" si="474">F221+74</f>
        <v>15652.800000000001</v>
      </c>
      <c r="S221" s="303">
        <f t="shared" si="462"/>
        <v>15652.800000000001</v>
      </c>
      <c r="T221" s="602">
        <f t="shared" ref="T221" si="475">F221+67</f>
        <v>15645.800000000001</v>
      </c>
      <c r="U221" s="303">
        <f t="shared" si="464"/>
        <v>15645.800000000001</v>
      </c>
      <c r="V221" s="602">
        <f t="shared" ref="V221" si="476">F221+55</f>
        <v>15633.800000000001</v>
      </c>
      <c r="W221" s="303">
        <f t="shared" si="466"/>
        <v>15633.800000000001</v>
      </c>
      <c r="X221" s="156"/>
      <c r="Y221" s="165"/>
      <c r="Z221" s="156"/>
      <c r="AA221" s="156"/>
      <c r="AB221" s="201">
        <v>672</v>
      </c>
    </row>
    <row r="222" spans="1:28" ht="12.6" customHeight="1" x14ac:dyDescent="0.2">
      <c r="A222" s="18"/>
      <c r="B222" s="674" t="s">
        <v>203</v>
      </c>
      <c r="C222" s="675"/>
      <c r="D222" s="675"/>
      <c r="E222" s="675"/>
      <c r="F222" s="413">
        <f>6.848*X2</f>
        <v>6752.1279999999997</v>
      </c>
      <c r="G222" s="304">
        <f t="shared" si="467"/>
        <v>6752.1279999999997</v>
      </c>
      <c r="H222" s="90">
        <f t="shared" ref="H222" si="477">F222+400</f>
        <v>7152.1279999999997</v>
      </c>
      <c r="I222" s="304">
        <f t="shared" si="469"/>
        <v>7152.1279999999997</v>
      </c>
      <c r="J222" s="529">
        <f t="shared" ref="J222" si="478">F222+170</f>
        <v>6922.1279999999997</v>
      </c>
      <c r="K222" s="304">
        <f t="shared" si="470"/>
        <v>6922.1279999999997</v>
      </c>
      <c r="L222" s="529">
        <f t="shared" ref="L222" si="479">F222+130</f>
        <v>6882.1279999999997</v>
      </c>
      <c r="M222" s="304">
        <f t="shared" ref="M222" si="480">+L222*$X$1</f>
        <v>6882.1279999999997</v>
      </c>
      <c r="N222" s="529">
        <f t="shared" ref="N222" si="481">F222+100</f>
        <v>6852.1279999999997</v>
      </c>
      <c r="O222" s="304">
        <f t="shared" ref="O222" si="482">+N222*$X$1</f>
        <v>6852.1279999999997</v>
      </c>
      <c r="P222" s="529">
        <f t="shared" ref="P222" si="483">F222+80</f>
        <v>6832.1279999999997</v>
      </c>
      <c r="Q222" s="304">
        <f t="shared" ref="Q222" si="484">+P222*$X$1</f>
        <v>6832.1279999999997</v>
      </c>
      <c r="R222" s="529">
        <f t="shared" ref="R222" si="485">F222+74</f>
        <v>6826.1279999999997</v>
      </c>
      <c r="S222" s="304">
        <f t="shared" ref="S222" si="486">+R222*$X$1</f>
        <v>6826.1279999999997</v>
      </c>
      <c r="T222" s="529">
        <f t="shared" ref="T222" si="487">F222+67</f>
        <v>6819.1279999999997</v>
      </c>
      <c r="U222" s="304">
        <f t="shared" ref="U222" si="488">+T222*$X$1</f>
        <v>6819.1279999999997</v>
      </c>
      <c r="V222" s="529">
        <f t="shared" ref="V222" si="489">F222+55</f>
        <v>6807.1279999999997</v>
      </c>
      <c r="W222" s="304">
        <f t="shared" ref="W222" si="490">+V222*$X$1</f>
        <v>6807.1279999999997</v>
      </c>
      <c r="X222" s="642"/>
      <c r="Y222" s="650"/>
      <c r="Z222" s="650"/>
      <c r="AA222" s="643"/>
      <c r="AB222" s="201">
        <v>705</v>
      </c>
    </row>
    <row r="223" spans="1:28" ht="12.6" customHeight="1" x14ac:dyDescent="0.2">
      <c r="A223" s="18"/>
      <c r="B223" s="628" t="s">
        <v>545</v>
      </c>
      <c r="C223" s="629"/>
      <c r="D223" s="629"/>
      <c r="E223" s="629"/>
      <c r="F223" s="303">
        <v>10476</v>
      </c>
      <c r="G223" s="303">
        <f t="shared" ref="G223" si="491">+F223*$X$1</f>
        <v>10476</v>
      </c>
      <c r="H223" s="602">
        <f t="shared" ref="H223" si="492">F223+400</f>
        <v>10876</v>
      </c>
      <c r="I223" s="303">
        <f t="shared" ref="I223" si="493">+H223*$X$1</f>
        <v>10876</v>
      </c>
      <c r="J223" s="602">
        <f t="shared" ref="J223:J234" si="494">F223+170</f>
        <v>10646</v>
      </c>
      <c r="K223" s="303">
        <f t="shared" ref="K223" si="495">+J223*$X$1</f>
        <v>10646</v>
      </c>
      <c r="L223" s="602">
        <f t="shared" ref="L223:L234" si="496">F223+120</f>
        <v>10596</v>
      </c>
      <c r="M223" s="303">
        <f t="shared" ref="M223" si="497">+L223*$X$1</f>
        <v>10596</v>
      </c>
      <c r="N223" s="602">
        <f t="shared" ref="N223:N234" si="498">F223+100</f>
        <v>10576</v>
      </c>
      <c r="O223" s="303">
        <f t="shared" ref="O223" si="499">+N223*$X$1</f>
        <v>10576</v>
      </c>
      <c r="P223" s="602">
        <f t="shared" ref="P223:P234" si="500">F223+80</f>
        <v>10556</v>
      </c>
      <c r="Q223" s="303">
        <f t="shared" ref="Q223" si="501">+P223*$X$1</f>
        <v>10556</v>
      </c>
      <c r="R223" s="602">
        <f t="shared" ref="R223:R234" si="502">F223+70</f>
        <v>10546</v>
      </c>
      <c r="S223" s="303">
        <f t="shared" ref="S223" si="503">+R223*$X$1</f>
        <v>10546</v>
      </c>
      <c r="T223" s="105">
        <f t="shared" ref="T223:T234" si="504">F223+60</f>
        <v>10536</v>
      </c>
      <c r="U223" s="268">
        <f t="shared" ref="U223" si="505">+T223*$X$1</f>
        <v>10536</v>
      </c>
      <c r="V223" s="105">
        <f t="shared" ref="V223:V234" si="506">F223+50</f>
        <v>10526</v>
      </c>
      <c r="W223" s="268">
        <f t="shared" ref="W223" si="507">+V223*$X$1</f>
        <v>10526</v>
      </c>
      <c r="X223" s="625"/>
      <c r="Y223" s="626"/>
      <c r="Z223" s="626"/>
      <c r="AA223" s="627"/>
      <c r="AB223" s="201">
        <v>815</v>
      </c>
    </row>
    <row r="224" spans="1:28" ht="12.6" customHeight="1" x14ac:dyDescent="0.2">
      <c r="A224" s="18"/>
      <c r="B224" s="674" t="s">
        <v>544</v>
      </c>
      <c r="C224" s="675"/>
      <c r="D224" s="675"/>
      <c r="E224" s="675"/>
      <c r="F224" s="304">
        <v>16878</v>
      </c>
      <c r="G224" s="304">
        <f t="shared" ref="G224" si="508">+F224*$X$1</f>
        <v>16878</v>
      </c>
      <c r="H224" s="529">
        <f t="shared" ref="H224:H234" si="509">F224+400</f>
        <v>17278</v>
      </c>
      <c r="I224" s="304">
        <f t="shared" ref="I224:I234" si="510">+H224*$X$1</f>
        <v>17278</v>
      </c>
      <c r="J224" s="529">
        <f t="shared" si="494"/>
        <v>17048</v>
      </c>
      <c r="K224" s="304">
        <f t="shared" ref="K224:K234" si="511">+J224*$X$1</f>
        <v>17048</v>
      </c>
      <c r="L224" s="529">
        <f t="shared" si="496"/>
        <v>16998</v>
      </c>
      <c r="M224" s="304">
        <f t="shared" ref="M224:M234" si="512">+L224*$X$1</f>
        <v>16998</v>
      </c>
      <c r="N224" s="529">
        <f t="shared" si="498"/>
        <v>16978</v>
      </c>
      <c r="O224" s="304">
        <f t="shared" ref="O224:O234" si="513">+N224*$X$1</f>
        <v>16978</v>
      </c>
      <c r="P224" s="529">
        <f t="shared" si="500"/>
        <v>16958</v>
      </c>
      <c r="Q224" s="304">
        <f t="shared" ref="Q224:Q234" si="514">+P224*$X$1</f>
        <v>16958</v>
      </c>
      <c r="R224" s="529">
        <f t="shared" si="502"/>
        <v>16948</v>
      </c>
      <c r="S224" s="304">
        <f t="shared" ref="S224:S234" si="515">+R224*$X$1</f>
        <v>16948</v>
      </c>
      <c r="T224" s="104">
        <f t="shared" si="504"/>
        <v>16938</v>
      </c>
      <c r="U224" s="325">
        <f t="shared" ref="U224:U234" si="516">+T224*$X$1</f>
        <v>16938</v>
      </c>
      <c r="V224" s="104">
        <f t="shared" si="506"/>
        <v>16928</v>
      </c>
      <c r="W224" s="325">
        <f t="shared" ref="W224:W234" si="517">+V224*$X$1</f>
        <v>16928</v>
      </c>
      <c r="X224" s="625"/>
      <c r="Y224" s="626"/>
      <c r="Z224" s="626"/>
      <c r="AA224" s="627"/>
      <c r="AB224" s="201">
        <v>819</v>
      </c>
    </row>
    <row r="225" spans="1:34" ht="12.6" customHeight="1" x14ac:dyDescent="0.2">
      <c r="A225" s="18"/>
      <c r="B225" s="628" t="s">
        <v>741</v>
      </c>
      <c r="C225" s="629"/>
      <c r="D225" s="629"/>
      <c r="E225" s="629"/>
      <c r="F225" s="412">
        <f>4.7*X2</f>
        <v>4634.2</v>
      </c>
      <c r="G225" s="303">
        <f>+F225*$X$1</f>
        <v>4634.2</v>
      </c>
      <c r="H225" s="602">
        <f t="shared" si="509"/>
        <v>5034.2</v>
      </c>
      <c r="I225" s="303">
        <f t="shared" si="510"/>
        <v>5034.2</v>
      </c>
      <c r="J225" s="602">
        <f t="shared" si="494"/>
        <v>4804.2</v>
      </c>
      <c r="K225" s="303">
        <f t="shared" si="511"/>
        <v>4804.2</v>
      </c>
      <c r="L225" s="602">
        <f t="shared" si="496"/>
        <v>4754.2</v>
      </c>
      <c r="M225" s="303">
        <f t="shared" si="512"/>
        <v>4754.2</v>
      </c>
      <c r="N225" s="602">
        <f t="shared" si="498"/>
        <v>4734.2</v>
      </c>
      <c r="O225" s="303">
        <f t="shared" si="513"/>
        <v>4734.2</v>
      </c>
      <c r="P225" s="602">
        <f t="shared" si="500"/>
        <v>4714.2</v>
      </c>
      <c r="Q225" s="303">
        <f t="shared" si="514"/>
        <v>4714.2</v>
      </c>
      <c r="R225" s="602">
        <f t="shared" si="502"/>
        <v>4704.2</v>
      </c>
      <c r="S225" s="303">
        <f t="shared" si="515"/>
        <v>4704.2</v>
      </c>
      <c r="T225" s="105">
        <f t="shared" si="504"/>
        <v>4694.2</v>
      </c>
      <c r="U225" s="268">
        <f t="shared" si="516"/>
        <v>4694.2</v>
      </c>
      <c r="V225" s="105">
        <f t="shared" si="506"/>
        <v>4684.2</v>
      </c>
      <c r="W225" s="268">
        <f t="shared" si="517"/>
        <v>4684.2</v>
      </c>
      <c r="X225" s="625"/>
      <c r="Y225" s="626"/>
      <c r="Z225" s="626"/>
      <c r="AA225" s="627"/>
      <c r="AB225" s="201">
        <v>821</v>
      </c>
    </row>
    <row r="226" spans="1:34" ht="12.6" customHeight="1" x14ac:dyDescent="0.2">
      <c r="A226" s="18"/>
      <c r="B226" s="674" t="s">
        <v>538</v>
      </c>
      <c r="C226" s="675"/>
      <c r="D226" s="675"/>
      <c r="E226" s="675"/>
      <c r="F226" s="304">
        <v>15132</v>
      </c>
      <c r="G226" s="304">
        <f t="shared" ref="G226:G230" si="518">+F226*$X$1</f>
        <v>15132</v>
      </c>
      <c r="H226" s="529">
        <f t="shared" si="509"/>
        <v>15532</v>
      </c>
      <c r="I226" s="304">
        <f t="shared" si="510"/>
        <v>15532</v>
      </c>
      <c r="J226" s="529">
        <f t="shared" si="494"/>
        <v>15302</v>
      </c>
      <c r="K226" s="304">
        <f t="shared" si="511"/>
        <v>15302</v>
      </c>
      <c r="L226" s="529">
        <f t="shared" si="496"/>
        <v>15252</v>
      </c>
      <c r="M226" s="304">
        <f t="shared" si="512"/>
        <v>15252</v>
      </c>
      <c r="N226" s="529">
        <f t="shared" si="498"/>
        <v>15232</v>
      </c>
      <c r="O226" s="304">
        <f t="shared" si="513"/>
        <v>15232</v>
      </c>
      <c r="P226" s="529">
        <f t="shared" si="500"/>
        <v>15212</v>
      </c>
      <c r="Q226" s="304">
        <f t="shared" si="514"/>
        <v>15212</v>
      </c>
      <c r="R226" s="529">
        <f t="shared" si="502"/>
        <v>15202</v>
      </c>
      <c r="S226" s="304">
        <f t="shared" si="515"/>
        <v>15202</v>
      </c>
      <c r="T226" s="104">
        <f t="shared" si="504"/>
        <v>15192</v>
      </c>
      <c r="U226" s="325">
        <f t="shared" si="516"/>
        <v>15192</v>
      </c>
      <c r="V226" s="104">
        <f t="shared" si="506"/>
        <v>15182</v>
      </c>
      <c r="W226" s="325">
        <f t="shared" si="517"/>
        <v>15182</v>
      </c>
      <c r="X226" s="625"/>
      <c r="Y226" s="626"/>
      <c r="Z226" s="626"/>
      <c r="AA226" s="627"/>
      <c r="AB226" s="201">
        <v>823</v>
      </c>
    </row>
    <row r="227" spans="1:34" ht="12.6" customHeight="1" x14ac:dyDescent="0.2">
      <c r="A227" s="18"/>
      <c r="B227" s="628" t="s">
        <v>892</v>
      </c>
      <c r="C227" s="629"/>
      <c r="D227" s="629"/>
      <c r="E227" s="629"/>
      <c r="F227" s="412">
        <f>3.18*X2</f>
        <v>3135.48</v>
      </c>
      <c r="G227" s="303">
        <f>+F227*$X$1</f>
        <v>3135.48</v>
      </c>
      <c r="H227" s="602">
        <f t="shared" si="509"/>
        <v>3535.48</v>
      </c>
      <c r="I227" s="303">
        <f t="shared" si="510"/>
        <v>3535.48</v>
      </c>
      <c r="J227" s="602">
        <f t="shared" si="494"/>
        <v>3305.48</v>
      </c>
      <c r="K227" s="303">
        <f t="shared" si="511"/>
        <v>3305.48</v>
      </c>
      <c r="L227" s="602">
        <f t="shared" si="496"/>
        <v>3255.48</v>
      </c>
      <c r="M227" s="303">
        <f t="shared" si="512"/>
        <v>3255.48</v>
      </c>
      <c r="N227" s="602">
        <f t="shared" si="498"/>
        <v>3235.48</v>
      </c>
      <c r="O227" s="303">
        <f t="shared" si="513"/>
        <v>3235.48</v>
      </c>
      <c r="P227" s="602">
        <f t="shared" si="500"/>
        <v>3215.48</v>
      </c>
      <c r="Q227" s="303">
        <f t="shared" si="514"/>
        <v>3215.48</v>
      </c>
      <c r="R227" s="602">
        <f t="shared" si="502"/>
        <v>3205.48</v>
      </c>
      <c r="S227" s="303">
        <f t="shared" si="515"/>
        <v>3205.48</v>
      </c>
      <c r="T227" s="105">
        <f t="shared" si="504"/>
        <v>3195.48</v>
      </c>
      <c r="U227" s="268">
        <f t="shared" si="516"/>
        <v>3195.48</v>
      </c>
      <c r="V227" s="105">
        <f t="shared" si="506"/>
        <v>3185.48</v>
      </c>
      <c r="W227" s="268">
        <f t="shared" si="517"/>
        <v>3185.48</v>
      </c>
      <c r="X227" s="625"/>
      <c r="Y227" s="626"/>
      <c r="Z227" s="626"/>
      <c r="AA227" s="627"/>
      <c r="AB227" s="201">
        <v>825</v>
      </c>
    </row>
    <row r="228" spans="1:34" ht="12.6" customHeight="1" x14ac:dyDescent="0.2">
      <c r="A228" s="18"/>
      <c r="B228" s="674" t="s">
        <v>736</v>
      </c>
      <c r="C228" s="675"/>
      <c r="D228" s="675"/>
      <c r="E228" s="675"/>
      <c r="F228" s="413">
        <f>7.5*X2</f>
        <v>7395</v>
      </c>
      <c r="G228" s="304">
        <f>+F228*$X$1</f>
        <v>7395</v>
      </c>
      <c r="H228" s="529">
        <f t="shared" si="509"/>
        <v>7795</v>
      </c>
      <c r="I228" s="304">
        <f t="shared" si="510"/>
        <v>7795</v>
      </c>
      <c r="J228" s="529">
        <f t="shared" si="494"/>
        <v>7565</v>
      </c>
      <c r="K228" s="304">
        <f t="shared" si="511"/>
        <v>7565</v>
      </c>
      <c r="L228" s="529">
        <f t="shared" si="496"/>
        <v>7515</v>
      </c>
      <c r="M228" s="304">
        <f t="shared" si="512"/>
        <v>7515</v>
      </c>
      <c r="N228" s="529">
        <f t="shared" si="498"/>
        <v>7495</v>
      </c>
      <c r="O228" s="304">
        <f t="shared" si="513"/>
        <v>7495</v>
      </c>
      <c r="P228" s="529">
        <f t="shared" si="500"/>
        <v>7475</v>
      </c>
      <c r="Q228" s="304">
        <f t="shared" si="514"/>
        <v>7475</v>
      </c>
      <c r="R228" s="529">
        <f t="shared" si="502"/>
        <v>7465</v>
      </c>
      <c r="S228" s="304">
        <f t="shared" si="515"/>
        <v>7465</v>
      </c>
      <c r="T228" s="104">
        <f t="shared" si="504"/>
        <v>7455</v>
      </c>
      <c r="U228" s="325">
        <f t="shared" si="516"/>
        <v>7455</v>
      </c>
      <c r="V228" s="104">
        <f t="shared" si="506"/>
        <v>7445</v>
      </c>
      <c r="W228" s="325">
        <f t="shared" si="517"/>
        <v>7445</v>
      </c>
      <c r="X228" s="625"/>
      <c r="Y228" s="626"/>
      <c r="Z228" s="626"/>
      <c r="AA228" s="627"/>
      <c r="AB228" s="201">
        <v>826</v>
      </c>
    </row>
    <row r="229" spans="1:34" ht="12.6" customHeight="1" x14ac:dyDescent="0.2">
      <c r="A229" s="18"/>
      <c r="B229" s="628" t="s">
        <v>737</v>
      </c>
      <c r="C229" s="629"/>
      <c r="D229" s="629"/>
      <c r="E229" s="629"/>
      <c r="F229" s="412">
        <f>8.75*X2</f>
        <v>8627.5</v>
      </c>
      <c r="G229" s="303">
        <f>+F229*$X$1</f>
        <v>8627.5</v>
      </c>
      <c r="H229" s="602">
        <f t="shared" si="509"/>
        <v>9027.5</v>
      </c>
      <c r="I229" s="303">
        <f t="shared" si="510"/>
        <v>9027.5</v>
      </c>
      <c r="J229" s="602">
        <f t="shared" si="494"/>
        <v>8797.5</v>
      </c>
      <c r="K229" s="303">
        <f t="shared" si="511"/>
        <v>8797.5</v>
      </c>
      <c r="L229" s="602">
        <f t="shared" si="496"/>
        <v>8747.5</v>
      </c>
      <c r="M229" s="303">
        <f t="shared" si="512"/>
        <v>8747.5</v>
      </c>
      <c r="N229" s="602">
        <f t="shared" si="498"/>
        <v>8727.5</v>
      </c>
      <c r="O229" s="303">
        <f t="shared" si="513"/>
        <v>8727.5</v>
      </c>
      <c r="P229" s="602">
        <f t="shared" si="500"/>
        <v>8707.5</v>
      </c>
      <c r="Q229" s="303">
        <f t="shared" si="514"/>
        <v>8707.5</v>
      </c>
      <c r="R229" s="602">
        <f t="shared" si="502"/>
        <v>8697.5</v>
      </c>
      <c r="S229" s="303">
        <f t="shared" si="515"/>
        <v>8697.5</v>
      </c>
      <c r="T229" s="105">
        <f t="shared" si="504"/>
        <v>8687.5</v>
      </c>
      <c r="U229" s="268">
        <f t="shared" si="516"/>
        <v>8687.5</v>
      </c>
      <c r="V229" s="105">
        <f t="shared" si="506"/>
        <v>8677.5</v>
      </c>
      <c r="W229" s="268">
        <f t="shared" si="517"/>
        <v>8677.5</v>
      </c>
      <c r="X229" s="625"/>
      <c r="Y229" s="626"/>
      <c r="Z229" s="626"/>
      <c r="AA229" s="627"/>
      <c r="AB229" s="201">
        <v>828</v>
      </c>
    </row>
    <row r="230" spans="1:34" ht="12.6" customHeight="1" x14ac:dyDescent="0.2">
      <c r="A230" s="18"/>
      <c r="B230" s="674" t="s">
        <v>653</v>
      </c>
      <c r="C230" s="675"/>
      <c r="D230" s="675"/>
      <c r="E230" s="675"/>
      <c r="F230" s="413">
        <f>3.612*X2</f>
        <v>3561.4320000000002</v>
      </c>
      <c r="G230" s="304">
        <f t="shared" si="518"/>
        <v>3561.4320000000002</v>
      </c>
      <c r="H230" s="529">
        <f t="shared" si="509"/>
        <v>3961.4320000000002</v>
      </c>
      <c r="I230" s="304">
        <f t="shared" si="510"/>
        <v>3961.4320000000002</v>
      </c>
      <c r="J230" s="529">
        <f t="shared" si="494"/>
        <v>3731.4320000000002</v>
      </c>
      <c r="K230" s="304">
        <f t="shared" si="511"/>
        <v>3731.4320000000002</v>
      </c>
      <c r="L230" s="529">
        <f t="shared" si="496"/>
        <v>3681.4320000000002</v>
      </c>
      <c r="M230" s="304">
        <f t="shared" si="512"/>
        <v>3681.4320000000002</v>
      </c>
      <c r="N230" s="529">
        <f t="shared" si="498"/>
        <v>3661.4320000000002</v>
      </c>
      <c r="O230" s="304">
        <f t="shared" si="513"/>
        <v>3661.4320000000002</v>
      </c>
      <c r="P230" s="529">
        <f t="shared" si="500"/>
        <v>3641.4320000000002</v>
      </c>
      <c r="Q230" s="304">
        <f t="shared" si="514"/>
        <v>3641.4320000000002</v>
      </c>
      <c r="R230" s="529">
        <f t="shared" si="502"/>
        <v>3631.4320000000002</v>
      </c>
      <c r="S230" s="304">
        <f t="shared" si="515"/>
        <v>3631.4320000000002</v>
      </c>
      <c r="T230" s="104">
        <f t="shared" si="504"/>
        <v>3621.4320000000002</v>
      </c>
      <c r="U230" s="325">
        <f t="shared" si="516"/>
        <v>3621.4320000000002</v>
      </c>
      <c r="V230" s="104">
        <f t="shared" si="506"/>
        <v>3611.4320000000002</v>
      </c>
      <c r="W230" s="325">
        <f t="shared" si="517"/>
        <v>3611.4320000000002</v>
      </c>
      <c r="X230" s="625"/>
      <c r="Y230" s="626"/>
      <c r="Z230" s="626"/>
      <c r="AA230" s="627"/>
      <c r="AB230" s="201">
        <v>829</v>
      </c>
    </row>
    <row r="231" spans="1:34" ht="12.6" customHeight="1" x14ac:dyDescent="0.2">
      <c r="A231" s="18"/>
      <c r="B231" s="628" t="s">
        <v>893</v>
      </c>
      <c r="C231" s="629"/>
      <c r="D231" s="629"/>
      <c r="E231" s="629"/>
      <c r="F231" s="412">
        <f>9.6*X2</f>
        <v>9465.6</v>
      </c>
      <c r="G231" s="303">
        <f>+F231*$X$1</f>
        <v>9465.6</v>
      </c>
      <c r="H231" s="602">
        <f t="shared" si="509"/>
        <v>9865.6</v>
      </c>
      <c r="I231" s="303">
        <f t="shared" si="510"/>
        <v>9865.6</v>
      </c>
      <c r="J231" s="602">
        <f t="shared" si="494"/>
        <v>9635.6</v>
      </c>
      <c r="K231" s="303">
        <f t="shared" si="511"/>
        <v>9635.6</v>
      </c>
      <c r="L231" s="602">
        <f t="shared" si="496"/>
        <v>9585.6</v>
      </c>
      <c r="M231" s="303">
        <f t="shared" si="512"/>
        <v>9585.6</v>
      </c>
      <c r="N231" s="602">
        <f t="shared" si="498"/>
        <v>9565.6</v>
      </c>
      <c r="O231" s="303">
        <f t="shared" si="513"/>
        <v>9565.6</v>
      </c>
      <c r="P231" s="602">
        <f t="shared" si="500"/>
        <v>9545.6</v>
      </c>
      <c r="Q231" s="303">
        <f t="shared" si="514"/>
        <v>9545.6</v>
      </c>
      <c r="R231" s="602">
        <f t="shared" si="502"/>
        <v>9535.6</v>
      </c>
      <c r="S231" s="303">
        <f t="shared" si="515"/>
        <v>9535.6</v>
      </c>
      <c r="T231" s="105">
        <f t="shared" si="504"/>
        <v>9525.6</v>
      </c>
      <c r="U231" s="268">
        <f t="shared" si="516"/>
        <v>9525.6</v>
      </c>
      <c r="V231" s="105">
        <f t="shared" si="506"/>
        <v>9515.6</v>
      </c>
      <c r="W231" s="268">
        <f t="shared" si="517"/>
        <v>9515.6</v>
      </c>
      <c r="X231" s="625"/>
      <c r="Y231" s="626"/>
      <c r="Z231" s="626"/>
      <c r="AA231" s="627"/>
      <c r="AB231" s="201">
        <v>831</v>
      </c>
    </row>
    <row r="232" spans="1:34" ht="12.6" customHeight="1" x14ac:dyDescent="0.2">
      <c r="A232" s="18"/>
      <c r="B232" s="674" t="s">
        <v>595</v>
      </c>
      <c r="C232" s="675"/>
      <c r="D232" s="675"/>
      <c r="E232" s="675"/>
      <c r="F232" s="413">
        <f>11.8*X2</f>
        <v>11634.800000000001</v>
      </c>
      <c r="G232" s="304">
        <f t="shared" ref="G232" si="519">+F232*$X$1</f>
        <v>11634.800000000001</v>
      </c>
      <c r="H232" s="529">
        <f t="shared" si="509"/>
        <v>12034.800000000001</v>
      </c>
      <c r="I232" s="304">
        <f t="shared" si="510"/>
        <v>12034.800000000001</v>
      </c>
      <c r="J232" s="529">
        <f t="shared" si="494"/>
        <v>11804.800000000001</v>
      </c>
      <c r="K232" s="304">
        <f t="shared" si="511"/>
        <v>11804.800000000001</v>
      </c>
      <c r="L232" s="529">
        <f t="shared" si="496"/>
        <v>11754.800000000001</v>
      </c>
      <c r="M232" s="304">
        <f t="shared" si="512"/>
        <v>11754.800000000001</v>
      </c>
      <c r="N232" s="529">
        <f t="shared" si="498"/>
        <v>11734.800000000001</v>
      </c>
      <c r="O232" s="304">
        <f t="shared" si="513"/>
        <v>11734.800000000001</v>
      </c>
      <c r="P232" s="529">
        <f t="shared" si="500"/>
        <v>11714.800000000001</v>
      </c>
      <c r="Q232" s="304">
        <f t="shared" si="514"/>
        <v>11714.800000000001</v>
      </c>
      <c r="R232" s="529">
        <f t="shared" si="502"/>
        <v>11704.800000000001</v>
      </c>
      <c r="S232" s="304">
        <f t="shared" si="515"/>
        <v>11704.800000000001</v>
      </c>
      <c r="T232" s="104">
        <f t="shared" si="504"/>
        <v>11694.800000000001</v>
      </c>
      <c r="U232" s="325">
        <f t="shared" si="516"/>
        <v>11694.800000000001</v>
      </c>
      <c r="V232" s="104">
        <f t="shared" si="506"/>
        <v>11684.800000000001</v>
      </c>
      <c r="W232" s="325">
        <f t="shared" si="517"/>
        <v>11684.800000000001</v>
      </c>
      <c r="X232" s="625"/>
      <c r="Y232" s="626"/>
      <c r="Z232" s="626"/>
      <c r="AA232" s="627"/>
      <c r="AB232" s="201">
        <v>833</v>
      </c>
    </row>
    <row r="233" spans="1:34" ht="12.6" customHeight="1" x14ac:dyDescent="0.2">
      <c r="A233" s="18"/>
      <c r="B233" s="628" t="s">
        <v>649</v>
      </c>
      <c r="C233" s="629"/>
      <c r="D233" s="629"/>
      <c r="E233" s="629"/>
      <c r="F233" s="412">
        <f>8.61*X2</f>
        <v>8489.4599999999991</v>
      </c>
      <c r="G233" s="303">
        <f t="shared" ref="G233:G234" si="520">+F233*$X$1</f>
        <v>8489.4599999999991</v>
      </c>
      <c r="H233" s="602">
        <f t="shared" si="509"/>
        <v>8889.4599999999991</v>
      </c>
      <c r="I233" s="303">
        <f t="shared" si="510"/>
        <v>8889.4599999999991</v>
      </c>
      <c r="J233" s="602">
        <f t="shared" si="494"/>
        <v>8659.4599999999991</v>
      </c>
      <c r="K233" s="303">
        <f t="shared" si="511"/>
        <v>8659.4599999999991</v>
      </c>
      <c r="L233" s="602">
        <f t="shared" si="496"/>
        <v>8609.4599999999991</v>
      </c>
      <c r="M233" s="303">
        <f t="shared" si="512"/>
        <v>8609.4599999999991</v>
      </c>
      <c r="N233" s="602">
        <f t="shared" si="498"/>
        <v>8589.4599999999991</v>
      </c>
      <c r="O233" s="303">
        <f t="shared" si="513"/>
        <v>8589.4599999999991</v>
      </c>
      <c r="P233" s="602">
        <f t="shared" si="500"/>
        <v>8569.4599999999991</v>
      </c>
      <c r="Q233" s="303">
        <f t="shared" si="514"/>
        <v>8569.4599999999991</v>
      </c>
      <c r="R233" s="602">
        <f t="shared" si="502"/>
        <v>8559.4599999999991</v>
      </c>
      <c r="S233" s="303">
        <f t="shared" si="515"/>
        <v>8559.4599999999991</v>
      </c>
      <c r="T233" s="105">
        <f t="shared" si="504"/>
        <v>8549.4599999999991</v>
      </c>
      <c r="U233" s="268">
        <f t="shared" si="516"/>
        <v>8549.4599999999991</v>
      </c>
      <c r="V233" s="105">
        <f t="shared" si="506"/>
        <v>8539.4599999999991</v>
      </c>
      <c r="W233" s="268">
        <f t="shared" si="517"/>
        <v>8539.4599999999991</v>
      </c>
      <c r="X233" s="625"/>
      <c r="Y233" s="626"/>
      <c r="Z233" s="626"/>
      <c r="AA233" s="627"/>
      <c r="AB233" s="201">
        <v>834</v>
      </c>
    </row>
    <row r="234" spans="1:34" ht="12.6" customHeight="1" x14ac:dyDescent="0.2">
      <c r="A234" s="18"/>
      <c r="B234" s="674" t="s">
        <v>651</v>
      </c>
      <c r="C234" s="675"/>
      <c r="D234" s="675"/>
      <c r="E234" s="675"/>
      <c r="F234" s="413">
        <f>7.19*X2</f>
        <v>7089.34</v>
      </c>
      <c r="G234" s="304">
        <f t="shared" si="520"/>
        <v>7089.34</v>
      </c>
      <c r="H234" s="529">
        <f t="shared" si="509"/>
        <v>7489.34</v>
      </c>
      <c r="I234" s="304">
        <f t="shared" si="510"/>
        <v>7489.34</v>
      </c>
      <c r="J234" s="529">
        <f t="shared" si="494"/>
        <v>7259.34</v>
      </c>
      <c r="K234" s="304">
        <f t="shared" si="511"/>
        <v>7259.34</v>
      </c>
      <c r="L234" s="529">
        <f t="shared" si="496"/>
        <v>7209.34</v>
      </c>
      <c r="M234" s="304">
        <f t="shared" si="512"/>
        <v>7209.34</v>
      </c>
      <c r="N234" s="529">
        <f t="shared" si="498"/>
        <v>7189.34</v>
      </c>
      <c r="O234" s="304">
        <f t="shared" si="513"/>
        <v>7189.34</v>
      </c>
      <c r="P234" s="529">
        <f t="shared" si="500"/>
        <v>7169.34</v>
      </c>
      <c r="Q234" s="304">
        <f t="shared" si="514"/>
        <v>7169.34</v>
      </c>
      <c r="R234" s="529">
        <f t="shared" si="502"/>
        <v>7159.34</v>
      </c>
      <c r="S234" s="304">
        <f t="shared" si="515"/>
        <v>7159.34</v>
      </c>
      <c r="T234" s="104">
        <f t="shared" si="504"/>
        <v>7149.34</v>
      </c>
      <c r="U234" s="325">
        <f t="shared" si="516"/>
        <v>7149.34</v>
      </c>
      <c r="V234" s="104">
        <f t="shared" si="506"/>
        <v>7139.34</v>
      </c>
      <c r="W234" s="325">
        <f t="shared" si="517"/>
        <v>7139.34</v>
      </c>
      <c r="X234" s="625"/>
      <c r="Y234" s="626"/>
      <c r="Z234" s="626"/>
      <c r="AA234" s="627"/>
      <c r="AB234" s="201">
        <v>836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5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AB235" s="101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5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AB236" s="4"/>
    </row>
    <row r="237" spans="1:34" ht="12.6" customHeight="1" x14ac:dyDescent="0.2">
      <c r="A237" s="18"/>
      <c r="B237" s="3"/>
      <c r="C237" s="3"/>
      <c r="D237" s="3"/>
      <c r="E237" s="76"/>
      <c r="F237" s="1024"/>
      <c r="G237" s="1024"/>
      <c r="H237" s="1024"/>
      <c r="I237" s="1024"/>
      <c r="J237" s="1024"/>
      <c r="K237" s="290"/>
      <c r="L237" s="289"/>
      <c r="M237" s="289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AB237" s="4"/>
    </row>
    <row r="238" spans="1:34" ht="15.75" customHeight="1" x14ac:dyDescent="0.2">
      <c r="A238" s="18"/>
      <c r="B238" s="916" t="s">
        <v>11</v>
      </c>
      <c r="C238" s="1030" t="s">
        <v>12</v>
      </c>
      <c r="D238" s="1031"/>
      <c r="E238" s="1031"/>
      <c r="F238" s="806" t="s">
        <v>13</v>
      </c>
      <c r="G238" s="806" t="s">
        <v>13</v>
      </c>
      <c r="H238" s="660" t="s">
        <v>856</v>
      </c>
      <c r="I238" s="660"/>
      <c r="J238" s="661"/>
      <c r="K238" s="661"/>
      <c r="L238" s="661"/>
      <c r="M238" s="661"/>
      <c r="N238" s="661"/>
      <c r="O238" s="661"/>
      <c r="P238" s="661"/>
      <c r="Q238" s="661"/>
      <c r="R238" s="661"/>
      <c r="S238" s="661"/>
      <c r="T238" s="661"/>
      <c r="U238" s="661"/>
      <c r="V238" s="661"/>
      <c r="W238" s="661"/>
      <c r="X238" s="635" t="s">
        <v>14</v>
      </c>
      <c r="Y238" s="636"/>
      <c r="Z238" s="636"/>
      <c r="AA238" s="637"/>
      <c r="AB238" s="633" t="s">
        <v>15</v>
      </c>
      <c r="AF238" s="631" t="s">
        <v>3</v>
      </c>
      <c r="AG238" s="632"/>
      <c r="AH238" s="632"/>
    </row>
    <row r="239" spans="1:34" ht="11.25" customHeight="1" x14ac:dyDescent="0.2">
      <c r="A239" s="18"/>
      <c r="B239" s="916"/>
      <c r="C239" s="1031"/>
      <c r="D239" s="1031"/>
      <c r="E239" s="1031"/>
      <c r="F239" s="807"/>
      <c r="G239" s="807"/>
      <c r="H239" s="568"/>
      <c r="I239" s="560" t="s">
        <v>298</v>
      </c>
      <c r="J239" s="562"/>
      <c r="K239" s="560" t="s">
        <v>17</v>
      </c>
      <c r="L239" s="563"/>
      <c r="M239" s="563" t="s">
        <v>18</v>
      </c>
      <c r="N239" s="563"/>
      <c r="O239" s="560" t="s">
        <v>19</v>
      </c>
      <c r="P239" s="563"/>
      <c r="Q239" s="563" t="s">
        <v>300</v>
      </c>
      <c r="R239" s="563"/>
      <c r="S239" s="563" t="s">
        <v>20</v>
      </c>
      <c r="T239" s="563"/>
      <c r="U239" s="563" t="s">
        <v>21</v>
      </c>
      <c r="V239" s="563"/>
      <c r="W239" s="563" t="s">
        <v>22</v>
      </c>
      <c r="X239" s="638"/>
      <c r="Y239" s="639"/>
      <c r="Z239" s="639"/>
      <c r="AA239" s="640"/>
      <c r="AB239" s="634"/>
    </row>
    <row r="240" spans="1:34" ht="12.6" customHeight="1" x14ac:dyDescent="0.2">
      <c r="A240" s="18"/>
      <c r="B240" s="714" t="s">
        <v>519</v>
      </c>
      <c r="C240" s="715"/>
      <c r="D240" s="715"/>
      <c r="E240" s="715"/>
      <c r="F240" s="418">
        <f>8.45*X2</f>
        <v>8331.6999999999989</v>
      </c>
      <c r="G240" s="326">
        <f>+F240*$X$1</f>
        <v>8331.6999999999989</v>
      </c>
      <c r="H240" s="621">
        <f t="shared" ref="H240" si="521">F240+400</f>
        <v>8731.6999999999989</v>
      </c>
      <c r="I240" s="303">
        <f t="shared" ref="I240" si="522">+H240*$X$1</f>
        <v>8731.6999999999989</v>
      </c>
      <c r="J240" s="621">
        <f>F240+170</f>
        <v>8501.6999999999989</v>
      </c>
      <c r="K240" s="303">
        <f t="shared" ref="K240" si="523">+J240*$X$1</f>
        <v>8501.6999999999989</v>
      </c>
      <c r="L240" s="621">
        <f>F240+120</f>
        <v>8451.6999999999989</v>
      </c>
      <c r="M240" s="303">
        <f t="shared" ref="M240" si="524">+L240*$X$1</f>
        <v>8451.6999999999989</v>
      </c>
      <c r="N240" s="621">
        <f>F240+100</f>
        <v>8431.6999999999989</v>
      </c>
      <c r="O240" s="303">
        <f t="shared" ref="O240" si="525">+N240*$X$1</f>
        <v>8431.6999999999989</v>
      </c>
      <c r="P240" s="621">
        <f>F240+80</f>
        <v>8411.6999999999989</v>
      </c>
      <c r="Q240" s="303">
        <f t="shared" ref="Q240" si="526">+P240*$X$1</f>
        <v>8411.6999999999989</v>
      </c>
      <c r="R240" s="621">
        <f>F240+70</f>
        <v>8401.6999999999989</v>
      </c>
      <c r="S240" s="303">
        <f t="shared" ref="S240" si="527">+R240*$X$1</f>
        <v>8401.6999999999989</v>
      </c>
      <c r="T240" s="105">
        <f>F240+60</f>
        <v>8391.6999999999989</v>
      </c>
      <c r="U240" s="268">
        <f t="shared" ref="U240" si="528">+T240*$X$1</f>
        <v>8391.6999999999989</v>
      </c>
      <c r="V240" s="105">
        <f>F240+50</f>
        <v>8381.6999999999989</v>
      </c>
      <c r="W240" s="268">
        <f t="shared" ref="W240" si="529">+V240*$X$1</f>
        <v>8381.6999999999989</v>
      </c>
      <c r="X240" s="625"/>
      <c r="Y240" s="626"/>
      <c r="Z240" s="626"/>
      <c r="AA240" s="627"/>
      <c r="AB240" s="443">
        <v>916</v>
      </c>
    </row>
    <row r="241" spans="1:33" ht="12.6" customHeight="1" x14ac:dyDescent="0.2">
      <c r="A241" s="18"/>
      <c r="B241" s="674" t="s">
        <v>840</v>
      </c>
      <c r="C241" s="675"/>
      <c r="D241" s="675"/>
      <c r="E241" s="675"/>
      <c r="F241" s="413">
        <f>6.4*X2</f>
        <v>6310.4000000000005</v>
      </c>
      <c r="G241" s="304">
        <f>+F241*$X$1</f>
        <v>6310.4000000000005</v>
      </c>
      <c r="H241" s="529">
        <f t="shared" ref="H241:H252" si="530">F241+400</f>
        <v>6710.4000000000005</v>
      </c>
      <c r="I241" s="304">
        <f t="shared" ref="I241:I252" si="531">+H241*$X$1</f>
        <v>6710.4000000000005</v>
      </c>
      <c r="J241" s="529">
        <f t="shared" ref="J241:J252" si="532">F241+170</f>
        <v>6480.4000000000005</v>
      </c>
      <c r="K241" s="304">
        <f t="shared" ref="K241:K252" si="533">+J241*$X$1</f>
        <v>6480.4000000000005</v>
      </c>
      <c r="L241" s="529">
        <f t="shared" ref="L241:L252" si="534">F241+120</f>
        <v>6430.4000000000005</v>
      </c>
      <c r="M241" s="304">
        <f t="shared" ref="M241:M252" si="535">+L241*$X$1</f>
        <v>6430.4000000000005</v>
      </c>
      <c r="N241" s="529">
        <f t="shared" ref="N241:N252" si="536">F241+100</f>
        <v>6410.4000000000005</v>
      </c>
      <c r="O241" s="304">
        <f t="shared" ref="O241:O252" si="537">+N241*$X$1</f>
        <v>6410.4000000000005</v>
      </c>
      <c r="P241" s="529">
        <f t="shared" ref="P241:P252" si="538">F241+80</f>
        <v>6390.4000000000005</v>
      </c>
      <c r="Q241" s="304">
        <f t="shared" ref="Q241:Q252" si="539">+P241*$X$1</f>
        <v>6390.4000000000005</v>
      </c>
      <c r="R241" s="529">
        <f t="shared" ref="R241:R252" si="540">F241+70</f>
        <v>6380.4000000000005</v>
      </c>
      <c r="S241" s="304">
        <f t="shared" ref="S241:S252" si="541">+R241*$X$1</f>
        <v>6380.4000000000005</v>
      </c>
      <c r="T241" s="104">
        <f t="shared" ref="T241:T252" si="542">F241+60</f>
        <v>6370.4000000000005</v>
      </c>
      <c r="U241" s="325">
        <f t="shared" ref="U241:U252" si="543">+T241*$X$1</f>
        <v>6370.4000000000005</v>
      </c>
      <c r="V241" s="104">
        <f t="shared" ref="V241:V252" si="544">F241+50</f>
        <v>6360.4000000000005</v>
      </c>
      <c r="W241" s="325">
        <f t="shared" ref="W241:W252" si="545">+V241*$X$1</f>
        <v>6360.4000000000005</v>
      </c>
      <c r="X241" s="625"/>
      <c r="Y241" s="626"/>
      <c r="Z241" s="626"/>
      <c r="AA241" s="627"/>
      <c r="AB241" s="201">
        <v>917</v>
      </c>
    </row>
    <row r="242" spans="1:33" ht="12.6" customHeight="1" x14ac:dyDescent="0.2">
      <c r="A242" s="18"/>
      <c r="B242" s="628" t="s">
        <v>204</v>
      </c>
      <c r="C242" s="629"/>
      <c r="D242" s="629"/>
      <c r="E242" s="629"/>
      <c r="F242" s="412">
        <f>10.34*X2</f>
        <v>10195.24</v>
      </c>
      <c r="G242" s="303">
        <f>+F242*$X$1</f>
        <v>10195.24</v>
      </c>
      <c r="H242" s="621">
        <f t="shared" si="530"/>
        <v>10595.24</v>
      </c>
      <c r="I242" s="303">
        <f t="shared" si="531"/>
        <v>10595.24</v>
      </c>
      <c r="J242" s="621">
        <f t="shared" si="532"/>
        <v>10365.24</v>
      </c>
      <c r="K242" s="303">
        <f t="shared" si="533"/>
        <v>10365.24</v>
      </c>
      <c r="L242" s="621">
        <f t="shared" si="534"/>
        <v>10315.24</v>
      </c>
      <c r="M242" s="303">
        <f t="shared" si="535"/>
        <v>10315.24</v>
      </c>
      <c r="N242" s="621">
        <f t="shared" si="536"/>
        <v>10295.24</v>
      </c>
      <c r="O242" s="303">
        <f t="shared" si="537"/>
        <v>10295.24</v>
      </c>
      <c r="P242" s="621">
        <f t="shared" si="538"/>
        <v>10275.24</v>
      </c>
      <c r="Q242" s="303">
        <f t="shared" si="539"/>
        <v>10275.24</v>
      </c>
      <c r="R242" s="621">
        <f t="shared" si="540"/>
        <v>10265.24</v>
      </c>
      <c r="S242" s="303">
        <f t="shared" si="541"/>
        <v>10265.24</v>
      </c>
      <c r="T242" s="105">
        <f t="shared" si="542"/>
        <v>10255.24</v>
      </c>
      <c r="U242" s="268">
        <f t="shared" si="543"/>
        <v>10255.24</v>
      </c>
      <c r="V242" s="105">
        <f t="shared" si="544"/>
        <v>10245.24</v>
      </c>
      <c r="W242" s="268">
        <f t="shared" si="545"/>
        <v>10245.24</v>
      </c>
      <c r="X242" s="1032"/>
      <c r="Y242" s="1033"/>
      <c r="Z242" s="1033"/>
      <c r="AA242" s="1034"/>
      <c r="AB242" s="454">
        <v>918</v>
      </c>
    </row>
    <row r="243" spans="1:33" ht="12.6" customHeight="1" x14ac:dyDescent="0.2">
      <c r="A243" s="18"/>
      <c r="B243" s="674" t="s">
        <v>465</v>
      </c>
      <c r="C243" s="675"/>
      <c r="D243" s="675"/>
      <c r="E243" s="675"/>
      <c r="F243" s="413">
        <f>8.9*X2</f>
        <v>8775.4</v>
      </c>
      <c r="G243" s="304">
        <f>+F243*$X$1</f>
        <v>8775.4</v>
      </c>
      <c r="H243" s="529">
        <f t="shared" si="530"/>
        <v>9175.4</v>
      </c>
      <c r="I243" s="304">
        <f t="shared" si="531"/>
        <v>9175.4</v>
      </c>
      <c r="J243" s="529">
        <f t="shared" si="532"/>
        <v>8945.4</v>
      </c>
      <c r="K243" s="304">
        <f t="shared" si="533"/>
        <v>8945.4</v>
      </c>
      <c r="L243" s="529">
        <f t="shared" si="534"/>
        <v>8895.4</v>
      </c>
      <c r="M243" s="304">
        <f t="shared" si="535"/>
        <v>8895.4</v>
      </c>
      <c r="N243" s="529">
        <f t="shared" si="536"/>
        <v>8875.4</v>
      </c>
      <c r="O243" s="304">
        <f t="shared" si="537"/>
        <v>8875.4</v>
      </c>
      <c r="P243" s="529">
        <f t="shared" si="538"/>
        <v>8855.4</v>
      </c>
      <c r="Q243" s="304">
        <f t="shared" si="539"/>
        <v>8855.4</v>
      </c>
      <c r="R243" s="529">
        <f t="shared" si="540"/>
        <v>8845.4</v>
      </c>
      <c r="S243" s="304">
        <f t="shared" si="541"/>
        <v>8845.4</v>
      </c>
      <c r="T243" s="104">
        <f t="shared" si="542"/>
        <v>8835.4</v>
      </c>
      <c r="U243" s="325">
        <f t="shared" si="543"/>
        <v>8835.4</v>
      </c>
      <c r="V243" s="104">
        <f t="shared" si="544"/>
        <v>8825.4</v>
      </c>
      <c r="W243" s="325">
        <f t="shared" si="545"/>
        <v>8825.4</v>
      </c>
      <c r="X243" s="625"/>
      <c r="Y243" s="753"/>
      <c r="Z243" s="753"/>
      <c r="AA243" s="627"/>
      <c r="AB243" s="201">
        <v>919</v>
      </c>
    </row>
    <row r="244" spans="1:33" ht="12.6" customHeight="1" x14ac:dyDescent="0.2">
      <c r="A244" s="18"/>
      <c r="B244" s="628" t="s">
        <v>864</v>
      </c>
      <c r="C244" s="629"/>
      <c r="D244" s="629"/>
      <c r="E244" s="629"/>
      <c r="F244" s="412">
        <f>7.55*X2</f>
        <v>7444.3</v>
      </c>
      <c r="G244" s="303">
        <f t="shared" ref="G244:G247" si="546">+F244*$X$1</f>
        <v>7444.3</v>
      </c>
      <c r="H244" s="621">
        <f t="shared" si="530"/>
        <v>7844.3</v>
      </c>
      <c r="I244" s="303">
        <f t="shared" si="531"/>
        <v>7844.3</v>
      </c>
      <c r="J244" s="621">
        <f t="shared" si="532"/>
        <v>7614.3</v>
      </c>
      <c r="K244" s="303">
        <f t="shared" si="533"/>
        <v>7614.3</v>
      </c>
      <c r="L244" s="621">
        <f t="shared" si="534"/>
        <v>7564.3</v>
      </c>
      <c r="M244" s="303">
        <f t="shared" si="535"/>
        <v>7564.3</v>
      </c>
      <c r="N244" s="621">
        <f t="shared" si="536"/>
        <v>7544.3</v>
      </c>
      <c r="O244" s="303">
        <f t="shared" si="537"/>
        <v>7544.3</v>
      </c>
      <c r="P244" s="621">
        <f t="shared" si="538"/>
        <v>7524.3</v>
      </c>
      <c r="Q244" s="303">
        <f t="shared" si="539"/>
        <v>7524.3</v>
      </c>
      <c r="R244" s="621">
        <f t="shared" si="540"/>
        <v>7514.3</v>
      </c>
      <c r="S244" s="303">
        <f t="shared" si="541"/>
        <v>7514.3</v>
      </c>
      <c r="T244" s="105">
        <f t="shared" si="542"/>
        <v>7504.3</v>
      </c>
      <c r="U244" s="268">
        <f t="shared" si="543"/>
        <v>7504.3</v>
      </c>
      <c r="V244" s="105">
        <f t="shared" si="544"/>
        <v>7494.3</v>
      </c>
      <c r="W244" s="268">
        <f t="shared" si="545"/>
        <v>7494.3</v>
      </c>
      <c r="X244" s="625"/>
      <c r="Y244" s="626"/>
      <c r="Z244" s="626"/>
      <c r="AA244" s="627"/>
      <c r="AB244" s="201">
        <v>920</v>
      </c>
    </row>
    <row r="245" spans="1:33" ht="12.6" customHeight="1" x14ac:dyDescent="0.2">
      <c r="A245" s="18"/>
      <c r="B245" s="674" t="s">
        <v>863</v>
      </c>
      <c r="C245" s="675"/>
      <c r="D245" s="675"/>
      <c r="E245" s="675"/>
      <c r="F245" s="413">
        <f>7.55*X2</f>
        <v>7444.3</v>
      </c>
      <c r="G245" s="304">
        <f t="shared" ref="G245" si="547">+F245*$X$1</f>
        <v>7444.3</v>
      </c>
      <c r="H245" s="529">
        <f t="shared" si="530"/>
        <v>7844.3</v>
      </c>
      <c r="I245" s="304">
        <f t="shared" si="531"/>
        <v>7844.3</v>
      </c>
      <c r="J245" s="529">
        <f t="shared" si="532"/>
        <v>7614.3</v>
      </c>
      <c r="K245" s="304">
        <f t="shared" si="533"/>
        <v>7614.3</v>
      </c>
      <c r="L245" s="529">
        <f t="shared" si="534"/>
        <v>7564.3</v>
      </c>
      <c r="M245" s="304">
        <f t="shared" si="535"/>
        <v>7564.3</v>
      </c>
      <c r="N245" s="529">
        <f t="shared" si="536"/>
        <v>7544.3</v>
      </c>
      <c r="O245" s="304">
        <f t="shared" si="537"/>
        <v>7544.3</v>
      </c>
      <c r="P245" s="529">
        <f t="shared" si="538"/>
        <v>7524.3</v>
      </c>
      <c r="Q245" s="304">
        <f t="shared" si="539"/>
        <v>7524.3</v>
      </c>
      <c r="R245" s="529">
        <f t="shared" si="540"/>
        <v>7514.3</v>
      </c>
      <c r="S245" s="304">
        <f t="shared" si="541"/>
        <v>7514.3</v>
      </c>
      <c r="T245" s="104">
        <f t="shared" si="542"/>
        <v>7504.3</v>
      </c>
      <c r="U245" s="325">
        <f t="shared" si="543"/>
        <v>7504.3</v>
      </c>
      <c r="V245" s="104">
        <f t="shared" si="544"/>
        <v>7494.3</v>
      </c>
      <c r="W245" s="325">
        <f t="shared" si="545"/>
        <v>7494.3</v>
      </c>
      <c r="X245" s="625"/>
      <c r="Y245" s="626"/>
      <c r="Z245" s="626"/>
      <c r="AA245" s="627"/>
      <c r="AB245" s="201" t="s">
        <v>865</v>
      </c>
    </row>
    <row r="246" spans="1:33" ht="12.6" customHeight="1" x14ac:dyDescent="0.2">
      <c r="A246" s="18"/>
      <c r="B246" s="628" t="s">
        <v>869</v>
      </c>
      <c r="C246" s="629"/>
      <c r="D246" s="629"/>
      <c r="E246" s="629"/>
      <c r="F246" s="412">
        <f>7.4*X2</f>
        <v>7296.4000000000005</v>
      </c>
      <c r="G246" s="303">
        <f t="shared" si="546"/>
        <v>7296.4000000000005</v>
      </c>
      <c r="H246" s="621">
        <f t="shared" si="530"/>
        <v>7696.4000000000005</v>
      </c>
      <c r="I246" s="303">
        <f t="shared" si="531"/>
        <v>7696.4000000000005</v>
      </c>
      <c r="J246" s="621">
        <f t="shared" si="532"/>
        <v>7466.4000000000005</v>
      </c>
      <c r="K246" s="303">
        <f t="shared" si="533"/>
        <v>7466.4000000000005</v>
      </c>
      <c r="L246" s="621">
        <f t="shared" si="534"/>
        <v>7416.4000000000005</v>
      </c>
      <c r="M246" s="303">
        <f t="shared" si="535"/>
        <v>7416.4000000000005</v>
      </c>
      <c r="N246" s="621">
        <f t="shared" si="536"/>
        <v>7396.4000000000005</v>
      </c>
      <c r="O246" s="303">
        <f t="shared" si="537"/>
        <v>7396.4000000000005</v>
      </c>
      <c r="P246" s="621">
        <f t="shared" si="538"/>
        <v>7376.4000000000005</v>
      </c>
      <c r="Q246" s="303">
        <f t="shared" si="539"/>
        <v>7376.4000000000005</v>
      </c>
      <c r="R246" s="621">
        <f t="shared" si="540"/>
        <v>7366.4000000000005</v>
      </c>
      <c r="S246" s="303">
        <f t="shared" si="541"/>
        <v>7366.4000000000005</v>
      </c>
      <c r="T246" s="105">
        <f t="shared" si="542"/>
        <v>7356.4000000000005</v>
      </c>
      <c r="U246" s="268">
        <f t="shared" si="543"/>
        <v>7356.4000000000005</v>
      </c>
      <c r="V246" s="105">
        <f t="shared" si="544"/>
        <v>7346.4000000000005</v>
      </c>
      <c r="W246" s="268">
        <f t="shared" si="545"/>
        <v>7346.4000000000005</v>
      </c>
      <c r="X246" s="625"/>
      <c r="Y246" s="626"/>
      <c r="Z246" s="626"/>
      <c r="AA246" s="627"/>
      <c r="AB246" s="201">
        <v>921</v>
      </c>
    </row>
    <row r="247" spans="1:33" ht="12.6" customHeight="1" x14ac:dyDescent="0.2">
      <c r="A247" s="18"/>
      <c r="B247" s="706" t="s">
        <v>841</v>
      </c>
      <c r="C247" s="840"/>
      <c r="D247" s="840"/>
      <c r="E247" s="840"/>
      <c r="F247" s="413">
        <f>5.71*X2</f>
        <v>5630.06</v>
      </c>
      <c r="G247" s="304">
        <f t="shared" si="546"/>
        <v>5630.06</v>
      </c>
      <c r="H247" s="529">
        <f t="shared" si="530"/>
        <v>6030.06</v>
      </c>
      <c r="I247" s="304">
        <f t="shared" si="531"/>
        <v>6030.06</v>
      </c>
      <c r="J247" s="529">
        <f t="shared" si="532"/>
        <v>5800.06</v>
      </c>
      <c r="K247" s="304">
        <f t="shared" si="533"/>
        <v>5800.06</v>
      </c>
      <c r="L247" s="529">
        <f t="shared" si="534"/>
        <v>5750.06</v>
      </c>
      <c r="M247" s="304">
        <f t="shared" si="535"/>
        <v>5750.06</v>
      </c>
      <c r="N247" s="529">
        <f t="shared" si="536"/>
        <v>5730.06</v>
      </c>
      <c r="O247" s="304">
        <f t="shared" si="537"/>
        <v>5730.06</v>
      </c>
      <c r="P247" s="529">
        <f t="shared" si="538"/>
        <v>5710.06</v>
      </c>
      <c r="Q247" s="304">
        <f t="shared" si="539"/>
        <v>5710.06</v>
      </c>
      <c r="R247" s="529">
        <f t="shared" si="540"/>
        <v>5700.06</v>
      </c>
      <c r="S247" s="304">
        <f t="shared" si="541"/>
        <v>5700.06</v>
      </c>
      <c r="T247" s="104">
        <f t="shared" si="542"/>
        <v>5690.06</v>
      </c>
      <c r="U247" s="325">
        <f t="shared" si="543"/>
        <v>5690.06</v>
      </c>
      <c r="V247" s="104">
        <f t="shared" si="544"/>
        <v>5680.06</v>
      </c>
      <c r="W247" s="325">
        <f t="shared" si="545"/>
        <v>5680.06</v>
      </c>
      <c r="X247" s="642"/>
      <c r="Y247" s="650"/>
      <c r="Z247" s="650"/>
      <c r="AA247" s="643"/>
      <c r="AB247" s="201" t="s">
        <v>842</v>
      </c>
    </row>
    <row r="248" spans="1:33" ht="12.6" customHeight="1" x14ac:dyDescent="0.2">
      <c r="A248" s="108"/>
      <c r="B248" s="628" t="s">
        <v>453</v>
      </c>
      <c r="C248" s="629"/>
      <c r="D248" s="629"/>
      <c r="E248" s="629"/>
      <c r="F248" s="412">
        <f>7*X2</f>
        <v>6902</v>
      </c>
      <c r="G248" s="303">
        <f t="shared" ref="G248:G251" si="548">+F248*$X$1</f>
        <v>6902</v>
      </c>
      <c r="H248" s="621">
        <f t="shared" si="530"/>
        <v>7302</v>
      </c>
      <c r="I248" s="303">
        <f t="shared" si="531"/>
        <v>7302</v>
      </c>
      <c r="J248" s="621">
        <f t="shared" si="532"/>
        <v>7072</v>
      </c>
      <c r="K248" s="303">
        <f t="shared" si="533"/>
        <v>7072</v>
      </c>
      <c r="L248" s="621">
        <f t="shared" si="534"/>
        <v>7022</v>
      </c>
      <c r="M248" s="303">
        <f t="shared" si="535"/>
        <v>7022</v>
      </c>
      <c r="N248" s="621">
        <f t="shared" si="536"/>
        <v>7002</v>
      </c>
      <c r="O248" s="303">
        <f t="shared" si="537"/>
        <v>7002</v>
      </c>
      <c r="P248" s="621">
        <f t="shared" si="538"/>
        <v>6982</v>
      </c>
      <c r="Q248" s="303">
        <f t="shared" si="539"/>
        <v>6982</v>
      </c>
      <c r="R248" s="621">
        <f t="shared" si="540"/>
        <v>6972</v>
      </c>
      <c r="S248" s="303">
        <f t="shared" si="541"/>
        <v>6972</v>
      </c>
      <c r="T248" s="105">
        <f t="shared" si="542"/>
        <v>6962</v>
      </c>
      <c r="U248" s="268">
        <f t="shared" si="543"/>
        <v>6962</v>
      </c>
      <c r="V248" s="105">
        <f t="shared" si="544"/>
        <v>6952</v>
      </c>
      <c r="W248" s="268">
        <f t="shared" si="545"/>
        <v>6952</v>
      </c>
      <c r="X248" s="625"/>
      <c r="Y248" s="626"/>
      <c r="Z248" s="626"/>
      <c r="AA248" s="627"/>
      <c r="AB248" s="201">
        <v>928</v>
      </c>
    </row>
    <row r="249" spans="1:33" ht="12.6" customHeight="1" x14ac:dyDescent="0.2">
      <c r="A249" s="18"/>
      <c r="B249" s="674" t="s">
        <v>412</v>
      </c>
      <c r="C249" s="675"/>
      <c r="D249" s="675"/>
      <c r="E249" s="675"/>
      <c r="F249" s="413">
        <f>8.6*X2</f>
        <v>8479.6</v>
      </c>
      <c r="G249" s="304">
        <f t="shared" si="548"/>
        <v>8479.6</v>
      </c>
      <c r="H249" s="529">
        <f t="shared" si="530"/>
        <v>8879.6</v>
      </c>
      <c r="I249" s="304">
        <f t="shared" si="531"/>
        <v>8879.6</v>
      </c>
      <c r="J249" s="529">
        <f t="shared" si="532"/>
        <v>8649.6</v>
      </c>
      <c r="K249" s="304">
        <f t="shared" si="533"/>
        <v>8649.6</v>
      </c>
      <c r="L249" s="529">
        <f t="shared" si="534"/>
        <v>8599.6</v>
      </c>
      <c r="M249" s="304">
        <f t="shared" si="535"/>
        <v>8599.6</v>
      </c>
      <c r="N249" s="529">
        <f t="shared" si="536"/>
        <v>8579.6</v>
      </c>
      <c r="O249" s="304">
        <f t="shared" si="537"/>
        <v>8579.6</v>
      </c>
      <c r="P249" s="529">
        <f t="shared" si="538"/>
        <v>8559.6</v>
      </c>
      <c r="Q249" s="304">
        <f t="shared" si="539"/>
        <v>8559.6</v>
      </c>
      <c r="R249" s="529">
        <f t="shared" si="540"/>
        <v>8549.6</v>
      </c>
      <c r="S249" s="304">
        <f t="shared" si="541"/>
        <v>8549.6</v>
      </c>
      <c r="T249" s="104">
        <f t="shared" si="542"/>
        <v>8539.6</v>
      </c>
      <c r="U249" s="325">
        <f t="shared" si="543"/>
        <v>8539.6</v>
      </c>
      <c r="V249" s="104">
        <f t="shared" si="544"/>
        <v>8529.6</v>
      </c>
      <c r="W249" s="325">
        <f t="shared" si="545"/>
        <v>8529.6</v>
      </c>
      <c r="X249" s="625"/>
      <c r="Y249" s="753"/>
      <c r="Z249" s="753"/>
      <c r="AA249" s="627"/>
      <c r="AB249" s="201">
        <v>931</v>
      </c>
    </row>
    <row r="250" spans="1:33" ht="12.6" customHeight="1" x14ac:dyDescent="0.2">
      <c r="A250" s="18"/>
      <c r="B250" s="628" t="s">
        <v>839</v>
      </c>
      <c r="C250" s="629"/>
      <c r="D250" s="629"/>
      <c r="E250" s="629"/>
      <c r="F250" s="412">
        <f>2.98*X2</f>
        <v>2938.28</v>
      </c>
      <c r="G250" s="303">
        <f t="shared" si="548"/>
        <v>2938.28</v>
      </c>
      <c r="H250" s="621">
        <f t="shared" si="530"/>
        <v>3338.28</v>
      </c>
      <c r="I250" s="303">
        <f t="shared" si="531"/>
        <v>3338.28</v>
      </c>
      <c r="J250" s="621">
        <f t="shared" si="532"/>
        <v>3108.28</v>
      </c>
      <c r="K250" s="303">
        <f t="shared" si="533"/>
        <v>3108.28</v>
      </c>
      <c r="L250" s="621">
        <f t="shared" si="534"/>
        <v>3058.28</v>
      </c>
      <c r="M250" s="303">
        <f t="shared" si="535"/>
        <v>3058.28</v>
      </c>
      <c r="N250" s="621">
        <f t="shared" si="536"/>
        <v>3038.28</v>
      </c>
      <c r="O250" s="303">
        <f t="shared" si="537"/>
        <v>3038.28</v>
      </c>
      <c r="P250" s="621">
        <f t="shared" si="538"/>
        <v>3018.28</v>
      </c>
      <c r="Q250" s="303">
        <f t="shared" si="539"/>
        <v>3018.28</v>
      </c>
      <c r="R250" s="621">
        <f t="shared" si="540"/>
        <v>3008.28</v>
      </c>
      <c r="S250" s="303">
        <f t="shared" si="541"/>
        <v>3008.28</v>
      </c>
      <c r="T250" s="105">
        <f t="shared" si="542"/>
        <v>2998.28</v>
      </c>
      <c r="U250" s="268">
        <f t="shared" si="543"/>
        <v>2998.28</v>
      </c>
      <c r="V250" s="105">
        <f t="shared" si="544"/>
        <v>2988.28</v>
      </c>
      <c r="W250" s="268">
        <f t="shared" si="545"/>
        <v>2988.28</v>
      </c>
      <c r="X250" s="625"/>
      <c r="Y250" s="753"/>
      <c r="Z250" s="753"/>
      <c r="AA250" s="627"/>
      <c r="AB250" s="201">
        <v>933</v>
      </c>
    </row>
    <row r="251" spans="1:33" ht="12.6" customHeight="1" x14ac:dyDescent="0.2">
      <c r="A251" s="18"/>
      <c r="B251" s="674" t="s">
        <v>619</v>
      </c>
      <c r="C251" s="675"/>
      <c r="D251" s="675"/>
      <c r="E251" s="675"/>
      <c r="F251" s="413">
        <f>7.6*X2</f>
        <v>7493.5999999999995</v>
      </c>
      <c r="G251" s="304">
        <f t="shared" si="548"/>
        <v>7493.5999999999995</v>
      </c>
      <c r="H251" s="529">
        <f t="shared" si="530"/>
        <v>7893.5999999999995</v>
      </c>
      <c r="I251" s="304">
        <f t="shared" si="531"/>
        <v>7893.5999999999995</v>
      </c>
      <c r="J251" s="529">
        <f t="shared" si="532"/>
        <v>7663.5999999999995</v>
      </c>
      <c r="K251" s="304">
        <f t="shared" si="533"/>
        <v>7663.5999999999995</v>
      </c>
      <c r="L251" s="529">
        <f t="shared" si="534"/>
        <v>7613.5999999999995</v>
      </c>
      <c r="M251" s="304">
        <f t="shared" si="535"/>
        <v>7613.5999999999995</v>
      </c>
      <c r="N251" s="529">
        <f t="shared" si="536"/>
        <v>7593.5999999999995</v>
      </c>
      <c r="O251" s="304">
        <f t="shared" si="537"/>
        <v>7593.5999999999995</v>
      </c>
      <c r="P251" s="529">
        <f t="shared" si="538"/>
        <v>7573.5999999999995</v>
      </c>
      <c r="Q251" s="304">
        <f t="shared" si="539"/>
        <v>7573.5999999999995</v>
      </c>
      <c r="R251" s="529">
        <f t="shared" si="540"/>
        <v>7563.5999999999995</v>
      </c>
      <c r="S251" s="304">
        <f t="shared" si="541"/>
        <v>7563.5999999999995</v>
      </c>
      <c r="T251" s="104">
        <f t="shared" si="542"/>
        <v>7553.5999999999995</v>
      </c>
      <c r="U251" s="325">
        <f t="shared" si="543"/>
        <v>7553.5999999999995</v>
      </c>
      <c r="V251" s="104">
        <f t="shared" si="544"/>
        <v>7543.5999999999995</v>
      </c>
      <c r="W251" s="325">
        <f t="shared" si="545"/>
        <v>7543.5999999999995</v>
      </c>
      <c r="X251" s="408"/>
      <c r="Y251" s="408"/>
      <c r="Z251" s="408"/>
      <c r="AA251" s="408"/>
      <c r="AB251" s="201">
        <v>935</v>
      </c>
    </row>
    <row r="252" spans="1:33" ht="12.6" customHeight="1" x14ac:dyDescent="0.2">
      <c r="A252" s="18"/>
      <c r="B252" s="628" t="s">
        <v>652</v>
      </c>
      <c r="C252" s="629"/>
      <c r="D252" s="629"/>
      <c r="E252" s="629"/>
      <c r="F252" s="412">
        <f>10*X2</f>
        <v>9860</v>
      </c>
      <c r="G252" s="303">
        <f t="shared" ref="G252" si="549">+F252*$X$1</f>
        <v>9860</v>
      </c>
      <c r="H252" s="621">
        <f t="shared" si="530"/>
        <v>10260</v>
      </c>
      <c r="I252" s="303">
        <f t="shared" si="531"/>
        <v>10260</v>
      </c>
      <c r="J252" s="621">
        <f t="shared" si="532"/>
        <v>10030</v>
      </c>
      <c r="K252" s="303">
        <f t="shared" si="533"/>
        <v>10030</v>
      </c>
      <c r="L252" s="621">
        <f t="shared" si="534"/>
        <v>9980</v>
      </c>
      <c r="M252" s="303">
        <f t="shared" si="535"/>
        <v>9980</v>
      </c>
      <c r="N252" s="621">
        <f t="shared" si="536"/>
        <v>9960</v>
      </c>
      <c r="O252" s="303">
        <f t="shared" si="537"/>
        <v>9960</v>
      </c>
      <c r="P252" s="621">
        <f t="shared" si="538"/>
        <v>9940</v>
      </c>
      <c r="Q252" s="303">
        <f t="shared" si="539"/>
        <v>9940</v>
      </c>
      <c r="R252" s="621">
        <f t="shared" si="540"/>
        <v>9930</v>
      </c>
      <c r="S252" s="303">
        <f t="shared" si="541"/>
        <v>9930</v>
      </c>
      <c r="T252" s="105">
        <f t="shared" si="542"/>
        <v>9920</v>
      </c>
      <c r="U252" s="268">
        <f t="shared" si="543"/>
        <v>9920</v>
      </c>
      <c r="V252" s="105">
        <f t="shared" si="544"/>
        <v>9910</v>
      </c>
      <c r="W252" s="268">
        <f t="shared" si="545"/>
        <v>9910</v>
      </c>
      <c r="X252" s="625"/>
      <c r="Y252" s="626"/>
      <c r="Z252" s="626"/>
      <c r="AA252" s="627"/>
      <c r="AB252" s="201">
        <v>936</v>
      </c>
    </row>
    <row r="253" spans="1:33" ht="12.6" customHeight="1" x14ac:dyDescent="0.2">
      <c r="A253" s="18"/>
      <c r="B253" s="682" t="s">
        <v>205</v>
      </c>
      <c r="C253" s="889"/>
      <c r="D253" s="889"/>
      <c r="E253" s="890"/>
      <c r="F253" s="413">
        <f>5.483*X2</f>
        <v>5406.2379999999994</v>
      </c>
      <c r="G253" s="304">
        <f t="shared" ref="G253:G258" si="550">+F253*$X$1</f>
        <v>5406.2379999999994</v>
      </c>
      <c r="H253" s="529">
        <f t="shared" ref="H253:H256" si="551">F253+400</f>
        <v>5806.2379999999994</v>
      </c>
      <c r="I253" s="304">
        <f t="shared" ref="I253:I256" si="552">+H253*$X$1</f>
        <v>5806.2379999999994</v>
      </c>
      <c r="J253" s="529">
        <f t="shared" ref="J253:J256" si="553">F253+150</f>
        <v>5556.2379999999994</v>
      </c>
      <c r="K253" s="304">
        <f t="shared" ref="K253:K256" si="554">+J253*$X$1</f>
        <v>5556.2379999999994</v>
      </c>
      <c r="L253" s="529">
        <f t="shared" ref="L253:L256" si="555">F253+90</f>
        <v>5496.2379999999994</v>
      </c>
      <c r="M253" s="304">
        <f t="shared" ref="M253:M256" si="556">+L253*$X$1</f>
        <v>5496.2379999999994</v>
      </c>
      <c r="N253" s="529">
        <f t="shared" ref="N253:N256" si="557">F253+55</f>
        <v>5461.2379999999994</v>
      </c>
      <c r="O253" s="304">
        <f t="shared" ref="O253:O256" si="558">+N253*$X$1</f>
        <v>5461.2379999999994</v>
      </c>
      <c r="P253" s="529">
        <f t="shared" ref="P253:P256" si="559">F253+50</f>
        <v>5456.2379999999994</v>
      </c>
      <c r="Q253" s="304">
        <f t="shared" ref="Q253:Q256" si="560">+P253*$X$1</f>
        <v>5456.2379999999994</v>
      </c>
      <c r="R253" s="529">
        <f t="shared" ref="R253:R256" si="561">F253+42</f>
        <v>5448.2379999999994</v>
      </c>
      <c r="S253" s="304">
        <f t="shared" ref="S253:S256" si="562">+R253*$X$1</f>
        <v>5448.2379999999994</v>
      </c>
      <c r="T253" s="104">
        <f t="shared" ref="T253:T256" si="563">F253+35</f>
        <v>5441.2379999999994</v>
      </c>
      <c r="U253" s="325">
        <f t="shared" ref="U253:U256" si="564">+T253*$X$1</f>
        <v>5441.2379999999994</v>
      </c>
      <c r="V253" s="104">
        <f t="shared" ref="V253:V256" si="565">F253+30</f>
        <v>5436.2379999999994</v>
      </c>
      <c r="W253" s="325">
        <f t="shared" ref="W253:W256" si="566">+V253*$X$1</f>
        <v>5436.2379999999994</v>
      </c>
      <c r="X253" s="139"/>
      <c r="Y253" s="141"/>
      <c r="Z253" s="136"/>
      <c r="AA253" s="136"/>
      <c r="AB253" s="201">
        <v>945</v>
      </c>
      <c r="AD253" s="66"/>
      <c r="AE253" s="66"/>
      <c r="AF253" s="66"/>
      <c r="AG253" s="66"/>
    </row>
    <row r="254" spans="1:33" ht="12.6" customHeight="1" x14ac:dyDescent="0.2">
      <c r="A254" s="18"/>
      <c r="B254" s="628" t="s">
        <v>508</v>
      </c>
      <c r="C254" s="629"/>
      <c r="D254" s="629"/>
      <c r="E254" s="629"/>
      <c r="F254" s="412">
        <f>4.502*X2</f>
        <v>4438.9719999999998</v>
      </c>
      <c r="G254" s="303">
        <f t="shared" ref="G254" si="567">+F254*$X$1</f>
        <v>4438.9719999999998</v>
      </c>
      <c r="H254" s="598">
        <f t="shared" si="551"/>
        <v>4838.9719999999998</v>
      </c>
      <c r="I254" s="303">
        <f t="shared" si="552"/>
        <v>4838.9719999999998</v>
      </c>
      <c r="J254" s="598">
        <f t="shared" si="553"/>
        <v>4588.9719999999998</v>
      </c>
      <c r="K254" s="303">
        <f t="shared" si="554"/>
        <v>4588.9719999999998</v>
      </c>
      <c r="L254" s="598">
        <f t="shared" si="555"/>
        <v>4528.9719999999998</v>
      </c>
      <c r="M254" s="303">
        <f t="shared" si="556"/>
        <v>4528.9719999999998</v>
      </c>
      <c r="N254" s="598">
        <f t="shared" si="557"/>
        <v>4493.9719999999998</v>
      </c>
      <c r="O254" s="303">
        <f t="shared" si="558"/>
        <v>4493.9719999999998</v>
      </c>
      <c r="P254" s="598">
        <f t="shared" si="559"/>
        <v>4488.9719999999998</v>
      </c>
      <c r="Q254" s="303">
        <f t="shared" si="560"/>
        <v>4488.9719999999998</v>
      </c>
      <c r="R254" s="598">
        <f t="shared" si="561"/>
        <v>4480.9719999999998</v>
      </c>
      <c r="S254" s="303">
        <f t="shared" si="562"/>
        <v>4480.9719999999998</v>
      </c>
      <c r="T254" s="105">
        <f t="shared" si="563"/>
        <v>4473.9719999999998</v>
      </c>
      <c r="U254" s="268">
        <f t="shared" si="564"/>
        <v>4473.9719999999998</v>
      </c>
      <c r="V254" s="105">
        <f t="shared" si="565"/>
        <v>4468.9719999999998</v>
      </c>
      <c r="W254" s="268">
        <f t="shared" si="566"/>
        <v>4468.9719999999998</v>
      </c>
      <c r="X254" s="160"/>
      <c r="Y254" s="160"/>
      <c r="Z254" s="160"/>
      <c r="AA254" s="160"/>
      <c r="AB254" s="201">
        <v>946</v>
      </c>
    </row>
    <row r="255" spans="1:33" ht="12.6" customHeight="1" x14ac:dyDescent="0.2">
      <c r="A255" s="18"/>
      <c r="B255" s="654" t="s">
        <v>206</v>
      </c>
      <c r="C255" s="655"/>
      <c r="D255" s="655"/>
      <c r="E255" s="656"/>
      <c r="F255" s="413">
        <f>5.1*X2</f>
        <v>5028.5999999999995</v>
      </c>
      <c r="G255" s="304">
        <f t="shared" si="550"/>
        <v>5028.5999999999995</v>
      </c>
      <c r="H255" s="529">
        <f t="shared" si="551"/>
        <v>5428.5999999999995</v>
      </c>
      <c r="I255" s="304">
        <f t="shared" si="552"/>
        <v>5428.5999999999995</v>
      </c>
      <c r="J255" s="529"/>
      <c r="K255" s="304"/>
      <c r="L255" s="529"/>
      <c r="M255" s="304"/>
      <c r="N255" s="529"/>
      <c r="O255" s="304"/>
      <c r="P255" s="529"/>
      <c r="Q255" s="304"/>
      <c r="R255" s="529"/>
      <c r="S255" s="304"/>
      <c r="T255" s="104"/>
      <c r="U255" s="325"/>
      <c r="V255" s="104"/>
      <c r="W255" s="325"/>
      <c r="X255" s="625"/>
      <c r="Y255" s="753"/>
      <c r="Z255" s="753"/>
      <c r="AA255" s="627"/>
      <c r="AB255" s="454">
        <v>949</v>
      </c>
    </row>
    <row r="256" spans="1:33" ht="12.6" customHeight="1" x14ac:dyDescent="0.2">
      <c r="A256" s="18"/>
      <c r="B256" s="628" t="s">
        <v>207</v>
      </c>
      <c r="C256" s="629"/>
      <c r="D256" s="629"/>
      <c r="E256" s="629"/>
      <c r="F256" s="412">
        <f>4.7*X2</f>
        <v>4634.2</v>
      </c>
      <c r="G256" s="303">
        <f t="shared" si="550"/>
        <v>4634.2</v>
      </c>
      <c r="H256" s="598">
        <f t="shared" si="551"/>
        <v>5034.2</v>
      </c>
      <c r="I256" s="303">
        <f t="shared" si="552"/>
        <v>5034.2</v>
      </c>
      <c r="J256" s="598">
        <f t="shared" si="553"/>
        <v>4784.2</v>
      </c>
      <c r="K256" s="303">
        <f t="shared" si="554"/>
        <v>4784.2</v>
      </c>
      <c r="L256" s="598">
        <f t="shared" si="555"/>
        <v>4724.2</v>
      </c>
      <c r="M256" s="303">
        <f t="shared" si="556"/>
        <v>4724.2</v>
      </c>
      <c r="N256" s="598">
        <f t="shared" si="557"/>
        <v>4689.2</v>
      </c>
      <c r="O256" s="303">
        <f t="shared" si="558"/>
        <v>4689.2</v>
      </c>
      <c r="P256" s="598">
        <f t="shared" si="559"/>
        <v>4684.2</v>
      </c>
      <c r="Q256" s="303">
        <f t="shared" si="560"/>
        <v>4684.2</v>
      </c>
      <c r="R256" s="598">
        <f t="shared" si="561"/>
        <v>4676.2</v>
      </c>
      <c r="S256" s="303">
        <f t="shared" si="562"/>
        <v>4676.2</v>
      </c>
      <c r="T256" s="105">
        <f t="shared" si="563"/>
        <v>4669.2</v>
      </c>
      <c r="U256" s="268">
        <f t="shared" si="564"/>
        <v>4669.2</v>
      </c>
      <c r="V256" s="105">
        <f t="shared" si="565"/>
        <v>4664.2</v>
      </c>
      <c r="W256" s="268">
        <f t="shared" si="566"/>
        <v>4664.2</v>
      </c>
      <c r="X256" s="625"/>
      <c r="Y256" s="753"/>
      <c r="Z256" s="753"/>
      <c r="AA256" s="627"/>
      <c r="AB256" s="201">
        <v>950</v>
      </c>
    </row>
    <row r="257" spans="1:38" ht="12.6" customHeight="1" x14ac:dyDescent="0.2">
      <c r="A257" s="18"/>
      <c r="B257" s="674" t="s">
        <v>620</v>
      </c>
      <c r="C257" s="675"/>
      <c r="D257" s="675"/>
      <c r="E257" s="675"/>
      <c r="F257" s="413">
        <f>6*X2</f>
        <v>5916</v>
      </c>
      <c r="G257" s="304">
        <f t="shared" si="550"/>
        <v>5916</v>
      </c>
      <c r="H257" s="529">
        <f>F257+400</f>
        <v>6316</v>
      </c>
      <c r="I257" s="304">
        <f>+H257*$X$1</f>
        <v>6316</v>
      </c>
      <c r="J257" s="529">
        <f>F257+150</f>
        <v>6066</v>
      </c>
      <c r="K257" s="304">
        <f t="shared" ref="K257:K258" si="568">+J257*$X$1</f>
        <v>6066</v>
      </c>
      <c r="L257" s="529">
        <f>F257+90</f>
        <v>6006</v>
      </c>
      <c r="M257" s="304">
        <f t="shared" ref="M257:M258" si="569">+L257*$X$1</f>
        <v>6006</v>
      </c>
      <c r="N257" s="529">
        <f>F257+55</f>
        <v>5971</v>
      </c>
      <c r="O257" s="304">
        <f t="shared" ref="O257:O258" si="570">+N257*$X$1</f>
        <v>5971</v>
      </c>
      <c r="P257" s="529">
        <f>F257+50</f>
        <v>5966</v>
      </c>
      <c r="Q257" s="304">
        <f t="shared" ref="Q257:Q258" si="571">+P257*$X$1</f>
        <v>5966</v>
      </c>
      <c r="R257" s="529">
        <f>F257+42</f>
        <v>5958</v>
      </c>
      <c r="S257" s="304">
        <f t="shared" ref="S257:S258" si="572">+R257*$X$1</f>
        <v>5958</v>
      </c>
      <c r="T257" s="104">
        <f>F257+35</f>
        <v>5951</v>
      </c>
      <c r="U257" s="325">
        <f t="shared" ref="U257:U258" si="573">+T257*$X$1</f>
        <v>5951</v>
      </c>
      <c r="V257" s="104">
        <f>F257+30</f>
        <v>5946</v>
      </c>
      <c r="W257" s="325">
        <f t="shared" ref="W257:W258" si="574">+V257*$X$1</f>
        <v>5946</v>
      </c>
      <c r="X257" s="646"/>
      <c r="Y257" s="647"/>
      <c r="Z257" s="647"/>
      <c r="AA257" s="648"/>
      <c r="AB257" s="201">
        <v>962</v>
      </c>
    </row>
    <row r="258" spans="1:38" ht="12.6" customHeight="1" x14ac:dyDescent="0.2">
      <c r="A258" s="18"/>
      <c r="B258" s="706" t="s">
        <v>900</v>
      </c>
      <c r="C258" s="840"/>
      <c r="D258" s="840"/>
      <c r="E258" s="840"/>
      <c r="F258" s="412">
        <f>10.94*X2</f>
        <v>10786.84</v>
      </c>
      <c r="G258" s="303">
        <f t="shared" si="550"/>
        <v>10786.84</v>
      </c>
      <c r="H258" s="598">
        <f t="shared" ref="H258" si="575">F258+400</f>
        <v>11186.84</v>
      </c>
      <c r="I258" s="303">
        <f t="shared" ref="I258" si="576">+H258*$X$1</f>
        <v>11186.84</v>
      </c>
      <c r="J258" s="598">
        <f t="shared" ref="J258" si="577">F258+150</f>
        <v>10936.84</v>
      </c>
      <c r="K258" s="303">
        <f t="shared" si="568"/>
        <v>10936.84</v>
      </c>
      <c r="L258" s="598">
        <f t="shared" ref="L258" si="578">F258+90</f>
        <v>10876.84</v>
      </c>
      <c r="M258" s="303">
        <f t="shared" si="569"/>
        <v>10876.84</v>
      </c>
      <c r="N258" s="598">
        <f t="shared" ref="N258" si="579">F258+55</f>
        <v>10841.84</v>
      </c>
      <c r="O258" s="303">
        <f t="shared" si="570"/>
        <v>10841.84</v>
      </c>
      <c r="P258" s="598">
        <f t="shared" ref="P258" si="580">F258+50</f>
        <v>10836.84</v>
      </c>
      <c r="Q258" s="303">
        <f t="shared" si="571"/>
        <v>10836.84</v>
      </c>
      <c r="R258" s="598">
        <f t="shared" ref="R258" si="581">F258+42</f>
        <v>10828.84</v>
      </c>
      <c r="S258" s="303">
        <f t="shared" si="572"/>
        <v>10828.84</v>
      </c>
      <c r="T258" s="105">
        <f t="shared" ref="T258" si="582">F258+35</f>
        <v>10821.84</v>
      </c>
      <c r="U258" s="268">
        <f t="shared" si="573"/>
        <v>10821.84</v>
      </c>
      <c r="V258" s="105">
        <f t="shared" ref="V258" si="583">F258+30</f>
        <v>10816.84</v>
      </c>
      <c r="W258" s="268">
        <f t="shared" si="574"/>
        <v>10816.84</v>
      </c>
      <c r="X258" s="521"/>
      <c r="Y258" s="521"/>
      <c r="Z258" s="521"/>
      <c r="AA258" s="521"/>
      <c r="AB258" s="201">
        <v>963</v>
      </c>
    </row>
    <row r="259" spans="1:38" s="1" customFormat="1" ht="12.6" customHeight="1" x14ac:dyDescent="0.2">
      <c r="A259" s="19"/>
      <c r="B259" s="674" t="s">
        <v>394</v>
      </c>
      <c r="C259" s="675"/>
      <c r="D259" s="675"/>
      <c r="E259" s="675"/>
      <c r="F259" s="304">
        <v>390</v>
      </c>
      <c r="G259" s="304">
        <f>+F259*$X$1</f>
        <v>390</v>
      </c>
      <c r="H259" s="294"/>
      <c r="I259" s="294"/>
      <c r="J259" s="529">
        <f>F259+150</f>
        <v>540</v>
      </c>
      <c r="K259" s="304">
        <f t="shared" ref="K259" si="584">+J259*$X$1</f>
        <v>540</v>
      </c>
      <c r="L259" s="529">
        <f>F259+90</f>
        <v>480</v>
      </c>
      <c r="M259" s="304">
        <f t="shared" ref="M259" si="585">+L259*$X$1</f>
        <v>480</v>
      </c>
      <c r="N259" s="529">
        <f>F259+55</f>
        <v>445</v>
      </c>
      <c r="O259" s="304">
        <f t="shared" ref="O259" si="586">+N259*$X$1</f>
        <v>445</v>
      </c>
      <c r="P259" s="529">
        <f>F259+50</f>
        <v>440</v>
      </c>
      <c r="Q259" s="304">
        <f t="shared" ref="Q259" si="587">+P259*$X$1</f>
        <v>440</v>
      </c>
      <c r="R259" s="529">
        <f>F259+42</f>
        <v>432</v>
      </c>
      <c r="S259" s="304">
        <f t="shared" ref="S259" si="588">+R259*$X$1</f>
        <v>432</v>
      </c>
      <c r="T259" s="104">
        <f>F259+35</f>
        <v>425</v>
      </c>
      <c r="U259" s="325">
        <f t="shared" ref="U259" si="589">+T259*$X$1</f>
        <v>425</v>
      </c>
      <c r="V259" s="104">
        <f>F259+30</f>
        <v>420</v>
      </c>
      <c r="W259" s="325">
        <f t="shared" ref="W259" si="590">+V259*$X$1</f>
        <v>420</v>
      </c>
      <c r="X259" s="157"/>
      <c r="Y259" s="157"/>
      <c r="Z259" s="157"/>
      <c r="AA259" s="157"/>
      <c r="AB259" s="201">
        <v>998</v>
      </c>
      <c r="AC259" s="76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19"/>
      <c r="B260" s="622" t="s">
        <v>217</v>
      </c>
      <c r="C260" s="651"/>
      <c r="D260" s="651"/>
      <c r="E260" s="652"/>
      <c r="F260" s="303">
        <v>1400</v>
      </c>
      <c r="G260" s="326">
        <f t="shared" ref="G260" si="591">+F260*$X$1</f>
        <v>1400</v>
      </c>
      <c r="H260" s="1039" t="s">
        <v>417</v>
      </c>
      <c r="I260" s="1040"/>
      <c r="J260" s="1040"/>
      <c r="K260" s="1040"/>
      <c r="L260" s="1040"/>
      <c r="M260" s="1041"/>
      <c r="N260" s="590">
        <f>F260+100</f>
        <v>1500</v>
      </c>
      <c r="O260" s="303">
        <f t="shared" ref="O260" si="592">+N260*$X$1</f>
        <v>1500</v>
      </c>
      <c r="P260" s="590">
        <f>F260+80</f>
        <v>1480</v>
      </c>
      <c r="Q260" s="303">
        <f t="shared" ref="Q260" si="593">+P260*$X$1</f>
        <v>1480</v>
      </c>
      <c r="R260" s="590">
        <f>F260+63</f>
        <v>1463</v>
      </c>
      <c r="S260" s="303">
        <f t="shared" ref="S260" si="594">+R260*$X$1</f>
        <v>1463</v>
      </c>
      <c r="T260" s="590">
        <f>F260+55</f>
        <v>1455</v>
      </c>
      <c r="U260" s="303">
        <f t="shared" ref="U260" si="595">+T260*$X$1</f>
        <v>1455</v>
      </c>
      <c r="V260" s="590">
        <f>F260+50</f>
        <v>1450</v>
      </c>
      <c r="W260" s="303">
        <f t="shared" ref="W260" si="596">+V260*$X$1</f>
        <v>1450</v>
      </c>
      <c r="X260" s="641"/>
      <c r="Y260" s="642"/>
      <c r="Z260" s="642"/>
      <c r="AA260" s="643"/>
      <c r="AB260" s="201">
        <v>1001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19"/>
      <c r="B261" s="682" t="s">
        <v>218</v>
      </c>
      <c r="C261" s="1047"/>
      <c r="D261" s="1047"/>
      <c r="E261" s="1048"/>
      <c r="F261" s="340">
        <v>1400</v>
      </c>
      <c r="G261" s="304">
        <f t="shared" ref="G261:G269" si="597">+F261*$X$1</f>
        <v>1400</v>
      </c>
      <c r="H261" s="1042"/>
      <c r="I261" s="1043"/>
      <c r="J261" s="1043"/>
      <c r="K261" s="1040"/>
      <c r="L261" s="1043"/>
      <c r="M261" s="1041"/>
      <c r="N261" s="590">
        <f>F261+100</f>
        <v>1500</v>
      </c>
      <c r="O261" s="304">
        <f t="shared" ref="O261:O264" si="598">+N261*$X$1</f>
        <v>1500</v>
      </c>
      <c r="P261" s="529">
        <f>F261+80</f>
        <v>1480</v>
      </c>
      <c r="Q261" s="304">
        <f t="shared" ref="Q261:Q264" si="599">+P261*$X$1</f>
        <v>1480</v>
      </c>
      <c r="R261" s="529">
        <f>F261+63</f>
        <v>1463</v>
      </c>
      <c r="S261" s="304">
        <f t="shared" ref="S261:S264" si="600">+R261*$X$1</f>
        <v>1463</v>
      </c>
      <c r="T261" s="529">
        <f>F261+55</f>
        <v>1455</v>
      </c>
      <c r="U261" s="304">
        <f t="shared" ref="U261:U264" si="601">+T261*$X$1</f>
        <v>1455</v>
      </c>
      <c r="V261" s="529">
        <f>F261+50</f>
        <v>1450</v>
      </c>
      <c r="W261" s="304">
        <f t="shared" ref="W261:W264" si="602">+V261*$X$1</f>
        <v>1450</v>
      </c>
      <c r="X261" s="641"/>
      <c r="Y261" s="642"/>
      <c r="Z261" s="642"/>
      <c r="AA261" s="643"/>
      <c r="AB261" s="201">
        <v>1002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19"/>
      <c r="B262" s="622" t="s">
        <v>669</v>
      </c>
      <c r="C262" s="651"/>
      <c r="D262" s="651"/>
      <c r="E262" s="652"/>
      <c r="F262" s="303">
        <v>1400</v>
      </c>
      <c r="G262" s="303">
        <f t="shared" si="597"/>
        <v>1400</v>
      </c>
      <c r="H262" s="1042"/>
      <c r="I262" s="1043"/>
      <c r="J262" s="1043"/>
      <c r="K262" s="1040"/>
      <c r="L262" s="1043"/>
      <c r="M262" s="1041"/>
      <c r="N262" s="590">
        <f>F262+100</f>
        <v>1500</v>
      </c>
      <c r="O262" s="303">
        <f t="shared" si="598"/>
        <v>1500</v>
      </c>
      <c r="P262" s="590">
        <f>F262+80</f>
        <v>1480</v>
      </c>
      <c r="Q262" s="303">
        <f t="shared" si="599"/>
        <v>1480</v>
      </c>
      <c r="R262" s="590">
        <f>F262+63</f>
        <v>1463</v>
      </c>
      <c r="S262" s="303">
        <f t="shared" si="600"/>
        <v>1463</v>
      </c>
      <c r="T262" s="590">
        <f>F262+55</f>
        <v>1455</v>
      </c>
      <c r="U262" s="303">
        <f t="shared" si="601"/>
        <v>1455</v>
      </c>
      <c r="V262" s="590">
        <f>F262+50</f>
        <v>1450</v>
      </c>
      <c r="W262" s="303">
        <f t="shared" si="602"/>
        <v>1450</v>
      </c>
      <c r="X262" s="641"/>
      <c r="Y262" s="642"/>
      <c r="Z262" s="642"/>
      <c r="AA262" s="643"/>
      <c r="AB262" s="201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19"/>
      <c r="B263" s="674" t="s">
        <v>730</v>
      </c>
      <c r="C263" s="675"/>
      <c r="D263" s="675"/>
      <c r="E263" s="675"/>
      <c r="F263" s="304">
        <v>1650</v>
      </c>
      <c r="G263" s="304">
        <f t="shared" si="597"/>
        <v>1650</v>
      </c>
      <c r="H263" s="1042"/>
      <c r="I263" s="1043"/>
      <c r="J263" s="1043"/>
      <c r="K263" s="1040"/>
      <c r="L263" s="1043"/>
      <c r="M263" s="1041"/>
      <c r="N263" s="590">
        <f>F263+100</f>
        <v>1750</v>
      </c>
      <c r="O263" s="304">
        <f t="shared" si="598"/>
        <v>1750</v>
      </c>
      <c r="P263" s="529">
        <f>F263+80</f>
        <v>1730</v>
      </c>
      <c r="Q263" s="304">
        <f t="shared" si="599"/>
        <v>1730</v>
      </c>
      <c r="R263" s="529">
        <f>F263+63</f>
        <v>1713</v>
      </c>
      <c r="S263" s="304">
        <f t="shared" si="600"/>
        <v>1713</v>
      </c>
      <c r="T263" s="529">
        <f>F263+55</f>
        <v>1705</v>
      </c>
      <c r="U263" s="304">
        <f t="shared" si="601"/>
        <v>1705</v>
      </c>
      <c r="V263" s="529">
        <f>F263+50</f>
        <v>1700</v>
      </c>
      <c r="W263" s="304">
        <f t="shared" si="602"/>
        <v>1700</v>
      </c>
      <c r="X263" s="641"/>
      <c r="Y263" s="650"/>
      <c r="Z263" s="650"/>
      <c r="AA263" s="643"/>
      <c r="AB263" s="201">
        <v>1004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19"/>
      <c r="B264" s="622" t="s">
        <v>729</v>
      </c>
      <c r="C264" s="651"/>
      <c r="D264" s="651"/>
      <c r="E264" s="652"/>
      <c r="F264" s="303">
        <v>1650</v>
      </c>
      <c r="G264" s="303">
        <f t="shared" si="597"/>
        <v>1650</v>
      </c>
      <c r="H264" s="1042"/>
      <c r="I264" s="1043"/>
      <c r="J264" s="1043"/>
      <c r="K264" s="1040"/>
      <c r="L264" s="1043"/>
      <c r="M264" s="1041"/>
      <c r="N264" s="590">
        <f>F264+100</f>
        <v>1750</v>
      </c>
      <c r="O264" s="303">
        <f t="shared" si="598"/>
        <v>1750</v>
      </c>
      <c r="P264" s="590">
        <f>F264+80</f>
        <v>1730</v>
      </c>
      <c r="Q264" s="303">
        <f t="shared" si="599"/>
        <v>1730</v>
      </c>
      <c r="R264" s="590">
        <f>F264+63</f>
        <v>1713</v>
      </c>
      <c r="S264" s="303">
        <f t="shared" si="600"/>
        <v>1713</v>
      </c>
      <c r="T264" s="590">
        <f>F264+55</f>
        <v>1705</v>
      </c>
      <c r="U264" s="303">
        <f t="shared" si="601"/>
        <v>1705</v>
      </c>
      <c r="V264" s="590">
        <f>F264+50</f>
        <v>1700</v>
      </c>
      <c r="W264" s="303">
        <f t="shared" si="602"/>
        <v>1700</v>
      </c>
      <c r="X264" s="641"/>
      <c r="Y264" s="642"/>
      <c r="Z264" s="642"/>
      <c r="AA264" s="643"/>
      <c r="AB264" s="201">
        <v>1005</v>
      </c>
      <c r="AC264" s="4"/>
      <c r="AD264" s="4"/>
      <c r="AE264" s="4"/>
      <c r="AF264" s="4"/>
      <c r="AG264" s="4"/>
      <c r="AH264" s="133"/>
      <c r="AI264" s="4"/>
      <c r="AJ264" s="4"/>
      <c r="AK264" s="4"/>
      <c r="AL264" s="4"/>
    </row>
    <row r="265" spans="1:38" s="1" customFormat="1" ht="12.6" customHeight="1" x14ac:dyDescent="0.2">
      <c r="A265" s="19"/>
      <c r="B265" s="682" t="s">
        <v>219</v>
      </c>
      <c r="C265" s="683"/>
      <c r="D265" s="683"/>
      <c r="E265" s="684"/>
      <c r="F265" s="304"/>
      <c r="G265" s="304"/>
      <c r="H265" s="1044"/>
      <c r="I265" s="1045"/>
      <c r="J265" s="1045"/>
      <c r="K265" s="1045"/>
      <c r="L265" s="1045"/>
      <c r="M265" s="1046"/>
      <c r="N265" s="529"/>
      <c r="O265" s="304"/>
      <c r="P265" s="529"/>
      <c r="Q265" s="304"/>
      <c r="R265" s="529"/>
      <c r="S265" s="304"/>
      <c r="T265" s="529"/>
      <c r="U265" s="304"/>
      <c r="V265" s="529"/>
      <c r="W265" s="304"/>
      <c r="X265" s="641"/>
      <c r="Y265" s="642"/>
      <c r="Z265" s="642"/>
      <c r="AA265" s="643"/>
      <c r="AB265" s="201">
        <v>1006</v>
      </c>
      <c r="AC265" s="4"/>
      <c r="AD265" s="4"/>
      <c r="AE265" s="4"/>
      <c r="AF265" s="4"/>
      <c r="AG265" s="4"/>
      <c r="AH265" s="133"/>
      <c r="AI265" s="4"/>
      <c r="AJ265" s="4"/>
      <c r="AK265" s="4"/>
      <c r="AL265" s="4"/>
    </row>
    <row r="266" spans="1:38" s="1" customFormat="1" ht="12.6" customHeight="1" x14ac:dyDescent="0.2">
      <c r="A266" s="19"/>
      <c r="B266" s="622" t="s">
        <v>889</v>
      </c>
      <c r="C266" s="623"/>
      <c r="D266" s="623"/>
      <c r="E266" s="624"/>
      <c r="F266" s="420">
        <f>2.78*X2</f>
        <v>2741.08</v>
      </c>
      <c r="G266" s="305">
        <f t="shared" ref="G266" si="603">+F266*$X$1</f>
        <v>2741.08</v>
      </c>
      <c r="H266" s="72">
        <f>F266+400</f>
        <v>3141.08</v>
      </c>
      <c r="I266" s="303">
        <f t="shared" ref="I266" si="604">+H266*$X$1</f>
        <v>3141.08</v>
      </c>
      <c r="J266" s="602">
        <f>F266+180</f>
        <v>2921.08</v>
      </c>
      <c r="K266" s="303">
        <f>+J266*$X$1</f>
        <v>2921.08</v>
      </c>
      <c r="L266" s="602">
        <f>F266+144</f>
        <v>2885.08</v>
      </c>
      <c r="M266" s="303">
        <f>+L266*$X$1</f>
        <v>2885.08</v>
      </c>
      <c r="N266" s="72">
        <f>F266+114</f>
        <v>2855.08</v>
      </c>
      <c r="O266" s="303">
        <f t="shared" ref="O266" si="605">+N266*$X$1</f>
        <v>2855.08</v>
      </c>
      <c r="P266" s="72">
        <f>F266+96</f>
        <v>2837.08</v>
      </c>
      <c r="Q266" s="303">
        <f t="shared" ref="Q266" si="606">+P266*$X$1</f>
        <v>2837.08</v>
      </c>
      <c r="R266" s="602">
        <f>F266+88</f>
        <v>2829.08</v>
      </c>
      <c r="S266" s="303">
        <f t="shared" ref="S266" si="607">+R266*$X$1</f>
        <v>2829.08</v>
      </c>
      <c r="T266" s="602">
        <f>F266+81</f>
        <v>2822.08</v>
      </c>
      <c r="U266" s="303">
        <f t="shared" ref="U266" si="608">+T266*$X$1</f>
        <v>2822.08</v>
      </c>
      <c r="V266" s="602">
        <f>F266+73</f>
        <v>2814.08</v>
      </c>
      <c r="W266" s="303">
        <f t="shared" ref="W266" si="609">+V266*$X$1</f>
        <v>2814.08</v>
      </c>
      <c r="X266" s="581"/>
      <c r="Y266" s="579"/>
      <c r="Z266" s="579"/>
      <c r="AA266" s="580"/>
      <c r="AB266" s="201">
        <v>1026</v>
      </c>
      <c r="AC266" s="4"/>
      <c r="AD266" s="4"/>
      <c r="AE266" s="4"/>
      <c r="AF266" s="4"/>
      <c r="AG266" s="4"/>
      <c r="AH266" s="583"/>
      <c r="AI266" s="4"/>
      <c r="AJ266" s="4"/>
      <c r="AK266" s="4"/>
      <c r="AL266" s="4"/>
    </row>
    <row r="267" spans="1:38" s="1" customFormat="1" ht="12.6" customHeight="1" x14ac:dyDescent="0.2">
      <c r="A267" s="19"/>
      <c r="B267" s="682" t="s">
        <v>624</v>
      </c>
      <c r="C267" s="683"/>
      <c r="D267" s="683"/>
      <c r="E267" s="684"/>
      <c r="F267" s="419">
        <f>14.43*X2</f>
        <v>14227.98</v>
      </c>
      <c r="G267" s="306">
        <f t="shared" si="597"/>
        <v>14227.98</v>
      </c>
      <c r="H267" s="90">
        <f>F267+400</f>
        <v>14627.98</v>
      </c>
      <c r="I267" s="304">
        <f t="shared" ref="I267" si="610">+H267*$X$1</f>
        <v>14627.98</v>
      </c>
      <c r="J267" s="529">
        <f>F267+170</f>
        <v>14397.98</v>
      </c>
      <c r="K267" s="304">
        <f t="shared" ref="K267" si="611">+J267*$X$1</f>
        <v>14397.98</v>
      </c>
      <c r="L267" s="529">
        <f t="shared" ref="L267:L272" si="612">F267+130</f>
        <v>14357.98</v>
      </c>
      <c r="M267" s="304">
        <f t="shared" ref="M267:M268" si="613">+L267*$X$1</f>
        <v>14357.98</v>
      </c>
      <c r="N267" s="529">
        <f t="shared" ref="N267:N272" si="614">F267+100</f>
        <v>14327.98</v>
      </c>
      <c r="O267" s="304">
        <f t="shared" ref="O267:O268" si="615">+N267*$X$1</f>
        <v>14327.98</v>
      </c>
      <c r="P267" s="529">
        <f t="shared" ref="P267:P272" si="616">F267+80</f>
        <v>14307.98</v>
      </c>
      <c r="Q267" s="304">
        <f t="shared" ref="Q267:Q268" si="617">+P267*$X$1</f>
        <v>14307.98</v>
      </c>
      <c r="R267" s="529">
        <f t="shared" ref="R267:R272" si="618">F267+74</f>
        <v>14301.98</v>
      </c>
      <c r="S267" s="304">
        <f t="shared" ref="S267:S268" si="619">+R267*$X$1</f>
        <v>14301.98</v>
      </c>
      <c r="T267" s="529">
        <f t="shared" ref="T267:T272" si="620">F267+67</f>
        <v>14294.98</v>
      </c>
      <c r="U267" s="304">
        <f t="shared" ref="U267:U268" si="621">+T267*$X$1</f>
        <v>14294.98</v>
      </c>
      <c r="V267" s="529">
        <f t="shared" ref="V267:V272" si="622">F267+55</f>
        <v>14282.98</v>
      </c>
      <c r="W267" s="304">
        <f t="shared" ref="W267:W268" si="623">+V267*$X$1</f>
        <v>14282.98</v>
      </c>
      <c r="X267" s="358"/>
      <c r="Y267" s="359"/>
      <c r="Z267" s="359"/>
      <c r="AA267" s="360"/>
      <c r="AB267" s="201">
        <v>1028</v>
      </c>
      <c r="AC267" s="4"/>
      <c r="AD267" s="4"/>
      <c r="AE267" s="4"/>
      <c r="AF267" s="4"/>
      <c r="AG267" s="4"/>
      <c r="AH267" s="133"/>
      <c r="AI267" s="4"/>
      <c r="AJ267" s="4"/>
      <c r="AK267" s="4"/>
      <c r="AL267" s="4"/>
    </row>
    <row r="268" spans="1:38" s="1" customFormat="1" ht="12.6" customHeight="1" x14ac:dyDescent="0.2">
      <c r="A268" s="19"/>
      <c r="B268" s="622" t="s">
        <v>902</v>
      </c>
      <c r="C268" s="623"/>
      <c r="D268" s="623"/>
      <c r="E268" s="624"/>
      <c r="F268" s="303">
        <v>3020</v>
      </c>
      <c r="G268" s="303">
        <f t="shared" ref="G268" si="624">+F268*$X$1</f>
        <v>3020</v>
      </c>
      <c r="H268" s="72"/>
      <c r="I268" s="303"/>
      <c r="J268" s="602"/>
      <c r="K268" s="303"/>
      <c r="L268" s="602">
        <f t="shared" si="612"/>
        <v>3150</v>
      </c>
      <c r="M268" s="303">
        <f t="shared" si="613"/>
        <v>3150</v>
      </c>
      <c r="N268" s="602">
        <f t="shared" si="614"/>
        <v>3120</v>
      </c>
      <c r="O268" s="303">
        <f t="shared" si="615"/>
        <v>3120</v>
      </c>
      <c r="P268" s="602">
        <f t="shared" si="616"/>
        <v>3100</v>
      </c>
      <c r="Q268" s="303">
        <f t="shared" si="617"/>
        <v>3100</v>
      </c>
      <c r="R268" s="602">
        <f t="shared" si="618"/>
        <v>3094</v>
      </c>
      <c r="S268" s="303">
        <f t="shared" si="619"/>
        <v>3094</v>
      </c>
      <c r="T268" s="602">
        <f t="shared" si="620"/>
        <v>3087</v>
      </c>
      <c r="U268" s="303">
        <f t="shared" si="621"/>
        <v>3087</v>
      </c>
      <c r="V268" s="602">
        <f t="shared" si="622"/>
        <v>3075</v>
      </c>
      <c r="W268" s="303">
        <f t="shared" si="623"/>
        <v>3075</v>
      </c>
      <c r="X268" s="599"/>
      <c r="Y268" s="600"/>
      <c r="Z268" s="600"/>
      <c r="AA268" s="601"/>
      <c r="AB268" s="201">
        <v>1029</v>
      </c>
      <c r="AC268" s="4"/>
      <c r="AD268" s="4"/>
      <c r="AE268" s="4"/>
      <c r="AF268" s="4"/>
      <c r="AG268" s="4"/>
      <c r="AH268" s="133"/>
      <c r="AI268" s="4"/>
      <c r="AJ268" s="4"/>
      <c r="AK268" s="4"/>
      <c r="AL268" s="4"/>
    </row>
    <row r="269" spans="1:38" s="1" customFormat="1" ht="12.6" customHeight="1" x14ac:dyDescent="0.2">
      <c r="A269" s="19"/>
      <c r="B269" s="682" t="s">
        <v>622</v>
      </c>
      <c r="C269" s="683"/>
      <c r="D269" s="683"/>
      <c r="E269" s="684"/>
      <c r="F269" s="304">
        <v>3020</v>
      </c>
      <c r="G269" s="304">
        <f t="shared" si="597"/>
        <v>3020</v>
      </c>
      <c r="H269" s="90"/>
      <c r="I269" s="304"/>
      <c r="J269" s="529"/>
      <c r="K269" s="304"/>
      <c r="L269" s="529">
        <f t="shared" si="612"/>
        <v>3150</v>
      </c>
      <c r="M269" s="304">
        <f t="shared" ref="M269:M271" si="625">+L269*$X$1</f>
        <v>3150</v>
      </c>
      <c r="N269" s="529">
        <f t="shared" si="614"/>
        <v>3120</v>
      </c>
      <c r="O269" s="304">
        <f t="shared" ref="O269:O271" si="626">+N269*$X$1</f>
        <v>3120</v>
      </c>
      <c r="P269" s="529">
        <f t="shared" si="616"/>
        <v>3100</v>
      </c>
      <c r="Q269" s="304">
        <f t="shared" ref="Q269:Q271" si="627">+P269*$X$1</f>
        <v>3100</v>
      </c>
      <c r="R269" s="529">
        <f t="shared" si="618"/>
        <v>3094</v>
      </c>
      <c r="S269" s="304">
        <f t="shared" ref="S269:S271" si="628">+R269*$X$1</f>
        <v>3094</v>
      </c>
      <c r="T269" s="529">
        <f t="shared" si="620"/>
        <v>3087</v>
      </c>
      <c r="U269" s="304">
        <f t="shared" ref="U269:U271" si="629">+T269*$X$1</f>
        <v>3087</v>
      </c>
      <c r="V269" s="529">
        <f t="shared" si="622"/>
        <v>3075</v>
      </c>
      <c r="W269" s="304">
        <f t="shared" ref="W269:W271" si="630">+V269*$X$1</f>
        <v>3075</v>
      </c>
      <c r="X269" s="347"/>
      <c r="Y269" s="345"/>
      <c r="Z269" s="345"/>
      <c r="AA269" s="346"/>
      <c r="AB269" s="201">
        <v>1030</v>
      </c>
      <c r="AC269" s="4"/>
      <c r="AD269" s="4"/>
      <c r="AE269" s="4"/>
      <c r="AF269" s="4"/>
      <c r="AG269" s="4"/>
      <c r="AH269" s="133"/>
      <c r="AI269" s="4"/>
      <c r="AJ269" s="4"/>
      <c r="AK269" s="4"/>
      <c r="AL269" s="4"/>
    </row>
    <row r="270" spans="1:38" s="1" customFormat="1" ht="12.6" customHeight="1" x14ac:dyDescent="0.2">
      <c r="A270" s="19"/>
      <c r="B270" s="622" t="s">
        <v>623</v>
      </c>
      <c r="C270" s="623"/>
      <c r="D270" s="623"/>
      <c r="E270" s="624"/>
      <c r="F270" s="303">
        <v>3020</v>
      </c>
      <c r="G270" s="303">
        <f t="shared" ref="G270" si="631">+F270*$X$1</f>
        <v>3020</v>
      </c>
      <c r="H270" s="72"/>
      <c r="I270" s="303"/>
      <c r="J270" s="602"/>
      <c r="K270" s="303"/>
      <c r="L270" s="602">
        <f t="shared" si="612"/>
        <v>3150</v>
      </c>
      <c r="M270" s="303">
        <f t="shared" si="625"/>
        <v>3150</v>
      </c>
      <c r="N270" s="602">
        <f t="shared" si="614"/>
        <v>3120</v>
      </c>
      <c r="O270" s="303">
        <f t="shared" si="626"/>
        <v>3120</v>
      </c>
      <c r="P270" s="602">
        <f t="shared" si="616"/>
        <v>3100</v>
      </c>
      <c r="Q270" s="303">
        <f t="shared" si="627"/>
        <v>3100</v>
      </c>
      <c r="R270" s="602">
        <f t="shared" si="618"/>
        <v>3094</v>
      </c>
      <c r="S270" s="303">
        <f t="shared" si="628"/>
        <v>3094</v>
      </c>
      <c r="T270" s="602">
        <f t="shared" si="620"/>
        <v>3087</v>
      </c>
      <c r="U270" s="303">
        <f t="shared" si="629"/>
        <v>3087</v>
      </c>
      <c r="V270" s="602">
        <f t="shared" si="622"/>
        <v>3075</v>
      </c>
      <c r="W270" s="303">
        <f t="shared" si="630"/>
        <v>3075</v>
      </c>
      <c r="X270" s="353"/>
      <c r="Y270" s="354"/>
      <c r="Z270" s="354"/>
      <c r="AA270" s="355"/>
      <c r="AB270" s="201">
        <v>1031</v>
      </c>
      <c r="AC270" s="4"/>
      <c r="AD270" s="4"/>
      <c r="AE270" s="4"/>
      <c r="AF270" s="4"/>
      <c r="AG270" s="4"/>
      <c r="AH270" s="133"/>
      <c r="AI270" s="4"/>
      <c r="AJ270" s="4"/>
      <c r="AK270" s="4"/>
      <c r="AL270" s="4"/>
    </row>
    <row r="271" spans="1:38" s="1" customFormat="1" ht="12.6" customHeight="1" x14ac:dyDescent="0.2">
      <c r="A271" s="19"/>
      <c r="B271" s="682" t="s">
        <v>506</v>
      </c>
      <c r="C271" s="683"/>
      <c r="D271" s="683"/>
      <c r="E271" s="684"/>
      <c r="F271" s="419">
        <f>6.34*X2</f>
        <v>6251.24</v>
      </c>
      <c r="G271" s="306">
        <f t="shared" ref="G271" si="632">+F271*$X$1</f>
        <v>6251.24</v>
      </c>
      <c r="H271" s="90">
        <f t="shared" ref="H271:H295" si="633">F271+400</f>
        <v>6651.24</v>
      </c>
      <c r="I271" s="304">
        <f t="shared" ref="I271" si="634">+H271*$X$1</f>
        <v>6651.24</v>
      </c>
      <c r="J271" s="529">
        <f>F271+170</f>
        <v>6421.24</v>
      </c>
      <c r="K271" s="304">
        <f t="shared" ref="K271" si="635">+J271*$X$1</f>
        <v>6421.24</v>
      </c>
      <c r="L271" s="529">
        <f t="shared" si="612"/>
        <v>6381.24</v>
      </c>
      <c r="M271" s="304">
        <f t="shared" si="625"/>
        <v>6381.24</v>
      </c>
      <c r="N271" s="529">
        <f t="shared" si="614"/>
        <v>6351.24</v>
      </c>
      <c r="O271" s="304">
        <f t="shared" si="626"/>
        <v>6351.24</v>
      </c>
      <c r="P271" s="529">
        <f t="shared" si="616"/>
        <v>6331.24</v>
      </c>
      <c r="Q271" s="304">
        <f t="shared" si="627"/>
        <v>6331.24</v>
      </c>
      <c r="R271" s="529">
        <f t="shared" si="618"/>
        <v>6325.24</v>
      </c>
      <c r="S271" s="304">
        <f t="shared" si="628"/>
        <v>6325.24</v>
      </c>
      <c r="T271" s="529">
        <f t="shared" si="620"/>
        <v>6318.24</v>
      </c>
      <c r="U271" s="304">
        <f t="shared" si="629"/>
        <v>6318.24</v>
      </c>
      <c r="V271" s="529">
        <f t="shared" si="622"/>
        <v>6306.24</v>
      </c>
      <c r="W271" s="304">
        <f t="shared" si="630"/>
        <v>6306.24</v>
      </c>
      <c r="X271" s="261"/>
      <c r="Y271" s="262"/>
      <c r="Z271" s="262"/>
      <c r="AA271" s="263"/>
      <c r="AB271" s="201">
        <v>1033</v>
      </c>
      <c r="AC271" s="4"/>
      <c r="AD271" s="4"/>
      <c r="AE271" s="4"/>
      <c r="AF271" s="4"/>
      <c r="AG271" s="4"/>
      <c r="AH271" s="133"/>
      <c r="AI271" s="4"/>
      <c r="AJ271" s="4"/>
      <c r="AK271" s="4"/>
      <c r="AL271" s="4"/>
    </row>
    <row r="272" spans="1:38" s="1" customFormat="1" ht="12.6" customHeight="1" x14ac:dyDescent="0.2">
      <c r="A272" s="19"/>
      <c r="B272" s="622" t="s">
        <v>495</v>
      </c>
      <c r="C272" s="623"/>
      <c r="D272" s="623"/>
      <c r="E272" s="624"/>
      <c r="F272" s="412">
        <f>21.33*X2</f>
        <v>21031.379999999997</v>
      </c>
      <c r="G272" s="303">
        <f t="shared" ref="G272" si="636">+F272*$X$1</f>
        <v>21031.379999999997</v>
      </c>
      <c r="H272" s="72">
        <f t="shared" si="633"/>
        <v>21431.379999999997</v>
      </c>
      <c r="I272" s="303">
        <f t="shared" ref="I272" si="637">+H272*$X$1</f>
        <v>21431.379999999997</v>
      </c>
      <c r="J272" s="598">
        <f>F272+170</f>
        <v>21201.379999999997</v>
      </c>
      <c r="K272" s="303">
        <f t="shared" ref="K272" si="638">+J272*$X$1</f>
        <v>21201.379999999997</v>
      </c>
      <c r="L272" s="598">
        <f t="shared" si="612"/>
        <v>21161.379999999997</v>
      </c>
      <c r="M272" s="303">
        <f t="shared" ref="M272" si="639">+L272*$X$1</f>
        <v>21161.379999999997</v>
      </c>
      <c r="N272" s="598">
        <f t="shared" si="614"/>
        <v>21131.379999999997</v>
      </c>
      <c r="O272" s="303">
        <f t="shared" ref="O272:O273" si="640">+N272*$X$1</f>
        <v>21131.379999999997</v>
      </c>
      <c r="P272" s="598">
        <f t="shared" si="616"/>
        <v>21111.379999999997</v>
      </c>
      <c r="Q272" s="303">
        <f t="shared" ref="Q272:Q273" si="641">+P272*$X$1</f>
        <v>21111.379999999997</v>
      </c>
      <c r="R272" s="598">
        <f t="shared" si="618"/>
        <v>21105.379999999997</v>
      </c>
      <c r="S272" s="303">
        <f t="shared" ref="S272:S273" si="642">+R272*$X$1</f>
        <v>21105.379999999997</v>
      </c>
      <c r="T272" s="598">
        <f t="shared" si="620"/>
        <v>21098.379999999997</v>
      </c>
      <c r="U272" s="303">
        <f t="shared" ref="U272:U273" si="643">+T272*$X$1</f>
        <v>21098.379999999997</v>
      </c>
      <c r="V272" s="598">
        <f t="shared" si="622"/>
        <v>21086.379999999997</v>
      </c>
      <c r="W272" s="303">
        <f t="shared" ref="W272:W273" si="644">+V272*$X$1</f>
        <v>21086.379999999997</v>
      </c>
      <c r="X272" s="254"/>
      <c r="Y272" s="256"/>
      <c r="Z272" s="256"/>
      <c r="AA272" s="255"/>
      <c r="AB272" s="201">
        <v>1034</v>
      </c>
      <c r="AC272" s="4"/>
      <c r="AD272" s="4"/>
      <c r="AE272" s="4"/>
      <c r="AF272" s="4"/>
      <c r="AG272" s="4"/>
      <c r="AH272" s="133"/>
      <c r="AI272" s="4"/>
      <c r="AJ272" s="4"/>
      <c r="AK272" s="4"/>
      <c r="AL272" s="4"/>
    </row>
    <row r="273" spans="1:29" ht="12.6" customHeight="1" x14ac:dyDescent="0.2">
      <c r="A273" s="18"/>
      <c r="B273" s="674" t="s">
        <v>457</v>
      </c>
      <c r="C273" s="675"/>
      <c r="D273" s="675"/>
      <c r="E273" s="675"/>
      <c r="F273" s="304">
        <v>12515</v>
      </c>
      <c r="G273" s="304">
        <f>+F273*$X$1</f>
        <v>12515</v>
      </c>
      <c r="H273" s="90">
        <f t="shared" si="633"/>
        <v>12915</v>
      </c>
      <c r="I273" s="304">
        <f t="shared" ref="I273" si="645">+H273*$X$1</f>
        <v>12915</v>
      </c>
      <c r="J273" s="529">
        <f t="shared" ref="J273:J285" si="646">F273+170</f>
        <v>12685</v>
      </c>
      <c r="K273" s="304">
        <f t="shared" ref="K273" si="647">+J273*$X$1</f>
        <v>12685</v>
      </c>
      <c r="L273" s="529">
        <f t="shared" ref="L273:L285" si="648">F273+130</f>
        <v>12645</v>
      </c>
      <c r="M273" s="304">
        <f t="shared" ref="M273" si="649">+L273*$X$1</f>
        <v>12645</v>
      </c>
      <c r="N273" s="529">
        <f t="shared" ref="N273:N285" si="650">F273+100</f>
        <v>12615</v>
      </c>
      <c r="O273" s="304">
        <f t="shared" si="640"/>
        <v>12615</v>
      </c>
      <c r="P273" s="529">
        <f t="shared" ref="P273:P285" si="651">F273+80</f>
        <v>12595</v>
      </c>
      <c r="Q273" s="304">
        <f t="shared" si="641"/>
        <v>12595</v>
      </c>
      <c r="R273" s="529">
        <f t="shared" ref="R273:R285" si="652">F273+74</f>
        <v>12589</v>
      </c>
      <c r="S273" s="304">
        <f t="shared" si="642"/>
        <v>12589</v>
      </c>
      <c r="T273" s="529">
        <f t="shared" ref="T273:T285" si="653">F273+67</f>
        <v>12582</v>
      </c>
      <c r="U273" s="304">
        <f t="shared" si="643"/>
        <v>12582</v>
      </c>
      <c r="V273" s="529">
        <f t="shared" ref="V273:V285" si="654">F273+55</f>
        <v>12570</v>
      </c>
      <c r="W273" s="304">
        <f t="shared" si="644"/>
        <v>12570</v>
      </c>
      <c r="X273" s="641"/>
      <c r="Y273" s="642"/>
      <c r="Z273" s="642"/>
      <c r="AA273" s="643"/>
      <c r="AB273" s="201">
        <v>1040</v>
      </c>
      <c r="AC273" s="65"/>
    </row>
    <row r="274" spans="1:29" ht="12.6" customHeight="1" x14ac:dyDescent="0.2">
      <c r="A274" s="18"/>
      <c r="B274" s="628" t="s">
        <v>814</v>
      </c>
      <c r="C274" s="629"/>
      <c r="D274" s="629"/>
      <c r="E274" s="629"/>
      <c r="F274" s="412">
        <f>21.33*X2</f>
        <v>21031.379999999997</v>
      </c>
      <c r="G274" s="303">
        <f>+F274*$X$1</f>
        <v>21031.379999999997</v>
      </c>
      <c r="H274" s="72">
        <f t="shared" si="633"/>
        <v>21431.379999999997</v>
      </c>
      <c r="I274" s="303">
        <f t="shared" ref="I274:I287" si="655">+H274*$X$1</f>
        <v>21431.379999999997</v>
      </c>
      <c r="J274" s="590">
        <f t="shared" si="646"/>
        <v>21201.379999999997</v>
      </c>
      <c r="K274" s="303">
        <f t="shared" ref="K274:K285" si="656">+J274*$X$1</f>
        <v>21201.379999999997</v>
      </c>
      <c r="L274" s="590">
        <f t="shared" si="648"/>
        <v>21161.379999999997</v>
      </c>
      <c r="M274" s="303">
        <f t="shared" ref="M274:M285" si="657">+L274*$X$1</f>
        <v>21161.379999999997</v>
      </c>
      <c r="N274" s="590">
        <f t="shared" si="650"/>
        <v>21131.379999999997</v>
      </c>
      <c r="O274" s="303">
        <f t="shared" ref="O274:O287" si="658">+N274*$X$1</f>
        <v>21131.379999999997</v>
      </c>
      <c r="P274" s="590">
        <f t="shared" si="651"/>
        <v>21111.379999999997</v>
      </c>
      <c r="Q274" s="303">
        <f t="shared" ref="Q274:Q287" si="659">+P274*$X$1</f>
        <v>21111.379999999997</v>
      </c>
      <c r="R274" s="590">
        <f t="shared" si="652"/>
        <v>21105.379999999997</v>
      </c>
      <c r="S274" s="303">
        <f t="shared" ref="S274:S287" si="660">+R274*$X$1</f>
        <v>21105.379999999997</v>
      </c>
      <c r="T274" s="590">
        <f t="shared" si="653"/>
        <v>21098.379999999997</v>
      </c>
      <c r="U274" s="303">
        <f t="shared" ref="U274:U287" si="661">+T274*$X$1</f>
        <v>21098.379999999997</v>
      </c>
      <c r="V274" s="590">
        <f t="shared" si="654"/>
        <v>21086.379999999997</v>
      </c>
      <c r="W274" s="303">
        <f t="shared" ref="W274:W287" si="662">+V274*$X$1</f>
        <v>21086.379999999997</v>
      </c>
      <c r="X274" s="641"/>
      <c r="Y274" s="642"/>
      <c r="Z274" s="642"/>
      <c r="AA274" s="643"/>
      <c r="AB274" s="201">
        <v>1041</v>
      </c>
      <c r="AC274" s="65"/>
    </row>
    <row r="275" spans="1:29" ht="12.6" customHeight="1" x14ac:dyDescent="0.2">
      <c r="A275" s="18"/>
      <c r="B275" s="674" t="s">
        <v>813</v>
      </c>
      <c r="C275" s="675"/>
      <c r="D275" s="675"/>
      <c r="E275" s="675"/>
      <c r="F275" s="413">
        <f>14.8*X2</f>
        <v>14592.800000000001</v>
      </c>
      <c r="G275" s="304">
        <f t="shared" ref="G275" si="663">+F275*$X$1</f>
        <v>14592.800000000001</v>
      </c>
      <c r="H275" s="90">
        <f t="shared" si="633"/>
        <v>14992.800000000001</v>
      </c>
      <c r="I275" s="304">
        <f t="shared" ref="I275" si="664">+H275*$X$1</f>
        <v>14992.800000000001</v>
      </c>
      <c r="J275" s="529">
        <f t="shared" si="646"/>
        <v>14762.800000000001</v>
      </c>
      <c r="K275" s="304">
        <f t="shared" ref="K275" si="665">+J275*$X$1</f>
        <v>14762.800000000001</v>
      </c>
      <c r="L275" s="529">
        <f t="shared" si="648"/>
        <v>14722.800000000001</v>
      </c>
      <c r="M275" s="304">
        <f t="shared" ref="M275" si="666">+L275*$X$1</f>
        <v>14722.800000000001</v>
      </c>
      <c r="N275" s="529">
        <f t="shared" si="650"/>
        <v>14692.800000000001</v>
      </c>
      <c r="O275" s="304">
        <f t="shared" ref="O275" si="667">+N275*$X$1</f>
        <v>14692.800000000001</v>
      </c>
      <c r="P275" s="529">
        <f t="shared" si="651"/>
        <v>14672.800000000001</v>
      </c>
      <c r="Q275" s="304">
        <f t="shared" ref="Q275" si="668">+P275*$X$1</f>
        <v>14672.800000000001</v>
      </c>
      <c r="R275" s="529">
        <f t="shared" si="652"/>
        <v>14666.800000000001</v>
      </c>
      <c r="S275" s="304">
        <f t="shared" ref="S275" si="669">+R275*$X$1</f>
        <v>14666.800000000001</v>
      </c>
      <c r="T275" s="529">
        <f t="shared" si="653"/>
        <v>14659.800000000001</v>
      </c>
      <c r="U275" s="304">
        <f t="shared" ref="U275" si="670">+T275*$X$1</f>
        <v>14659.800000000001</v>
      </c>
      <c r="V275" s="529">
        <f t="shared" si="654"/>
        <v>14647.800000000001</v>
      </c>
      <c r="W275" s="304">
        <f t="shared" ref="W275" si="671">+V275*$X$1</f>
        <v>14647.800000000001</v>
      </c>
      <c r="X275" s="641"/>
      <c r="Y275" s="642"/>
      <c r="Z275" s="642"/>
      <c r="AA275" s="643"/>
      <c r="AB275" s="201">
        <v>1042</v>
      </c>
    </row>
    <row r="276" spans="1:29" ht="12.6" customHeight="1" x14ac:dyDescent="0.2">
      <c r="A276" s="18"/>
      <c r="B276" s="628" t="s">
        <v>548</v>
      </c>
      <c r="C276" s="629"/>
      <c r="D276" s="629"/>
      <c r="E276" s="629"/>
      <c r="F276" s="303">
        <v>20843</v>
      </c>
      <c r="G276" s="303">
        <f t="shared" ref="G276:G284" si="672">+F276*$X$1</f>
        <v>20843</v>
      </c>
      <c r="H276" s="72">
        <f t="shared" si="633"/>
        <v>21243</v>
      </c>
      <c r="I276" s="303">
        <f t="shared" si="655"/>
        <v>21243</v>
      </c>
      <c r="J276" s="590">
        <f t="shared" si="646"/>
        <v>21013</v>
      </c>
      <c r="K276" s="303">
        <f t="shared" si="656"/>
        <v>21013</v>
      </c>
      <c r="L276" s="590">
        <f t="shared" si="648"/>
        <v>20973</v>
      </c>
      <c r="M276" s="303">
        <f t="shared" si="657"/>
        <v>20973</v>
      </c>
      <c r="N276" s="590">
        <f t="shared" si="650"/>
        <v>20943</v>
      </c>
      <c r="O276" s="303">
        <f t="shared" si="658"/>
        <v>20943</v>
      </c>
      <c r="P276" s="590">
        <f t="shared" si="651"/>
        <v>20923</v>
      </c>
      <c r="Q276" s="303">
        <f t="shared" si="659"/>
        <v>20923</v>
      </c>
      <c r="R276" s="590">
        <f t="shared" si="652"/>
        <v>20917</v>
      </c>
      <c r="S276" s="303">
        <f t="shared" si="660"/>
        <v>20917</v>
      </c>
      <c r="T276" s="590">
        <f t="shared" si="653"/>
        <v>20910</v>
      </c>
      <c r="U276" s="303">
        <f t="shared" si="661"/>
        <v>20910</v>
      </c>
      <c r="V276" s="590">
        <f t="shared" si="654"/>
        <v>20898</v>
      </c>
      <c r="W276" s="303">
        <f t="shared" si="662"/>
        <v>20898</v>
      </c>
      <c r="X276" s="641"/>
      <c r="Y276" s="642"/>
      <c r="Z276" s="642"/>
      <c r="AA276" s="643"/>
      <c r="AB276" s="201">
        <v>1043</v>
      </c>
      <c r="AC276" s="65"/>
    </row>
    <row r="277" spans="1:29" ht="12.6" customHeight="1" x14ac:dyDescent="0.2">
      <c r="A277" s="18"/>
      <c r="B277" s="674" t="s">
        <v>549</v>
      </c>
      <c r="C277" s="675"/>
      <c r="D277" s="675"/>
      <c r="E277" s="675"/>
      <c r="F277" s="304">
        <v>21095</v>
      </c>
      <c r="G277" s="304">
        <f t="shared" si="672"/>
        <v>21095</v>
      </c>
      <c r="H277" s="90">
        <f t="shared" si="633"/>
        <v>21495</v>
      </c>
      <c r="I277" s="304">
        <f t="shared" si="655"/>
        <v>21495</v>
      </c>
      <c r="J277" s="529">
        <f t="shared" si="646"/>
        <v>21265</v>
      </c>
      <c r="K277" s="304">
        <f t="shared" si="656"/>
        <v>21265</v>
      </c>
      <c r="L277" s="529">
        <f t="shared" si="648"/>
        <v>21225</v>
      </c>
      <c r="M277" s="304">
        <f t="shared" si="657"/>
        <v>21225</v>
      </c>
      <c r="N277" s="529">
        <f t="shared" si="650"/>
        <v>21195</v>
      </c>
      <c r="O277" s="304">
        <f t="shared" si="658"/>
        <v>21195</v>
      </c>
      <c r="P277" s="529">
        <f t="shared" si="651"/>
        <v>21175</v>
      </c>
      <c r="Q277" s="304">
        <f t="shared" si="659"/>
        <v>21175</v>
      </c>
      <c r="R277" s="529">
        <f t="shared" si="652"/>
        <v>21169</v>
      </c>
      <c r="S277" s="304">
        <f t="shared" si="660"/>
        <v>21169</v>
      </c>
      <c r="T277" s="529">
        <f t="shared" si="653"/>
        <v>21162</v>
      </c>
      <c r="U277" s="304">
        <f t="shared" si="661"/>
        <v>21162</v>
      </c>
      <c r="V277" s="529">
        <f t="shared" si="654"/>
        <v>21150</v>
      </c>
      <c r="W277" s="304">
        <f t="shared" si="662"/>
        <v>21150</v>
      </c>
      <c r="X277" s="641"/>
      <c r="Y277" s="642"/>
      <c r="Z277" s="642"/>
      <c r="AA277" s="643"/>
      <c r="AB277" s="201">
        <v>1044</v>
      </c>
      <c r="AC277" s="65"/>
    </row>
    <row r="278" spans="1:29" ht="12.6" customHeight="1" x14ac:dyDescent="0.2">
      <c r="A278" s="18"/>
      <c r="B278" s="706" t="s">
        <v>852</v>
      </c>
      <c r="C278" s="840"/>
      <c r="D278" s="840"/>
      <c r="E278" s="840"/>
      <c r="F278" s="303">
        <v>22213</v>
      </c>
      <c r="G278" s="303">
        <f>+F278*$X$1</f>
        <v>22213</v>
      </c>
      <c r="H278" s="72">
        <f t="shared" si="633"/>
        <v>22613</v>
      </c>
      <c r="I278" s="303">
        <f t="shared" si="655"/>
        <v>22613</v>
      </c>
      <c r="J278" s="590">
        <f t="shared" si="646"/>
        <v>22383</v>
      </c>
      <c r="K278" s="303">
        <f t="shared" si="656"/>
        <v>22383</v>
      </c>
      <c r="L278" s="590">
        <f t="shared" si="648"/>
        <v>22343</v>
      </c>
      <c r="M278" s="303">
        <f t="shared" si="657"/>
        <v>22343</v>
      </c>
      <c r="N278" s="590">
        <f t="shared" si="650"/>
        <v>22313</v>
      </c>
      <c r="O278" s="303">
        <f t="shared" si="658"/>
        <v>22313</v>
      </c>
      <c r="P278" s="590">
        <f t="shared" si="651"/>
        <v>22293</v>
      </c>
      <c r="Q278" s="303">
        <f t="shared" si="659"/>
        <v>22293</v>
      </c>
      <c r="R278" s="590">
        <f t="shared" si="652"/>
        <v>22287</v>
      </c>
      <c r="S278" s="303">
        <f t="shared" si="660"/>
        <v>22287</v>
      </c>
      <c r="T278" s="590">
        <f t="shared" si="653"/>
        <v>22280</v>
      </c>
      <c r="U278" s="303">
        <f t="shared" si="661"/>
        <v>22280</v>
      </c>
      <c r="V278" s="590">
        <f t="shared" si="654"/>
        <v>22268</v>
      </c>
      <c r="W278" s="303">
        <f t="shared" si="662"/>
        <v>22268</v>
      </c>
      <c r="X278" s="642"/>
      <c r="Y278" s="642"/>
      <c r="Z278" s="642"/>
      <c r="AA278" s="643"/>
      <c r="AB278" s="201">
        <v>1045</v>
      </c>
      <c r="AC278" s="65"/>
    </row>
    <row r="279" spans="1:29" ht="12.6" customHeight="1" x14ac:dyDescent="0.2">
      <c r="A279" s="18"/>
      <c r="B279" s="706" t="s">
        <v>853</v>
      </c>
      <c r="C279" s="840"/>
      <c r="D279" s="840"/>
      <c r="E279" s="840"/>
      <c r="F279" s="304">
        <v>19778</v>
      </c>
      <c r="G279" s="304">
        <f>+F279*$X$1</f>
        <v>19778</v>
      </c>
      <c r="H279" s="90">
        <f t="shared" si="633"/>
        <v>20178</v>
      </c>
      <c r="I279" s="304">
        <f t="shared" si="655"/>
        <v>20178</v>
      </c>
      <c r="J279" s="529">
        <f t="shared" si="646"/>
        <v>19948</v>
      </c>
      <c r="K279" s="304">
        <f t="shared" si="656"/>
        <v>19948</v>
      </c>
      <c r="L279" s="529">
        <f t="shared" si="648"/>
        <v>19908</v>
      </c>
      <c r="M279" s="304">
        <f t="shared" si="657"/>
        <v>19908</v>
      </c>
      <c r="N279" s="529">
        <f t="shared" si="650"/>
        <v>19878</v>
      </c>
      <c r="O279" s="304">
        <f t="shared" si="658"/>
        <v>19878</v>
      </c>
      <c r="P279" s="529">
        <f t="shared" si="651"/>
        <v>19858</v>
      </c>
      <c r="Q279" s="304">
        <f t="shared" si="659"/>
        <v>19858</v>
      </c>
      <c r="R279" s="529">
        <f t="shared" si="652"/>
        <v>19852</v>
      </c>
      <c r="S279" s="304">
        <f t="shared" si="660"/>
        <v>19852</v>
      </c>
      <c r="T279" s="529">
        <f t="shared" si="653"/>
        <v>19845</v>
      </c>
      <c r="U279" s="304">
        <f t="shared" si="661"/>
        <v>19845</v>
      </c>
      <c r="V279" s="529">
        <f t="shared" si="654"/>
        <v>19833</v>
      </c>
      <c r="W279" s="304">
        <f t="shared" si="662"/>
        <v>19833</v>
      </c>
      <c r="X279" s="642"/>
      <c r="Y279" s="642"/>
      <c r="Z279" s="642"/>
      <c r="AA279" s="643"/>
      <c r="AB279" s="201">
        <v>1046</v>
      </c>
      <c r="AC279" s="65"/>
    </row>
    <row r="280" spans="1:29" ht="12.6" customHeight="1" x14ac:dyDescent="0.2">
      <c r="A280" s="18"/>
      <c r="B280" s="628" t="s">
        <v>582</v>
      </c>
      <c r="C280" s="629"/>
      <c r="D280" s="629"/>
      <c r="E280" s="629"/>
      <c r="F280" s="303">
        <v>11540</v>
      </c>
      <c r="G280" s="303">
        <f t="shared" si="672"/>
        <v>11540</v>
      </c>
      <c r="H280" s="72">
        <f t="shared" si="633"/>
        <v>11940</v>
      </c>
      <c r="I280" s="303">
        <f t="shared" si="655"/>
        <v>11940</v>
      </c>
      <c r="J280" s="590">
        <f t="shared" si="646"/>
        <v>11710</v>
      </c>
      <c r="K280" s="303">
        <f t="shared" si="656"/>
        <v>11710</v>
      </c>
      <c r="L280" s="590">
        <f t="shared" si="648"/>
        <v>11670</v>
      </c>
      <c r="M280" s="303">
        <f t="shared" si="657"/>
        <v>11670</v>
      </c>
      <c r="N280" s="590">
        <f t="shared" si="650"/>
        <v>11640</v>
      </c>
      <c r="O280" s="303">
        <f t="shared" si="658"/>
        <v>11640</v>
      </c>
      <c r="P280" s="590">
        <f t="shared" si="651"/>
        <v>11620</v>
      </c>
      <c r="Q280" s="303">
        <f t="shared" si="659"/>
        <v>11620</v>
      </c>
      <c r="R280" s="590">
        <f t="shared" si="652"/>
        <v>11614</v>
      </c>
      <c r="S280" s="303">
        <f t="shared" si="660"/>
        <v>11614</v>
      </c>
      <c r="T280" s="590">
        <f t="shared" si="653"/>
        <v>11607</v>
      </c>
      <c r="U280" s="303">
        <f t="shared" si="661"/>
        <v>11607</v>
      </c>
      <c r="V280" s="590">
        <f t="shared" si="654"/>
        <v>11595</v>
      </c>
      <c r="W280" s="303">
        <f t="shared" si="662"/>
        <v>11595</v>
      </c>
      <c r="X280" s="641"/>
      <c r="Y280" s="642"/>
      <c r="Z280" s="642"/>
      <c r="AA280" s="643"/>
      <c r="AB280" s="201">
        <v>1048</v>
      </c>
      <c r="AC280" s="65"/>
    </row>
    <row r="281" spans="1:29" ht="12.6" customHeight="1" x14ac:dyDescent="0.2">
      <c r="A281" s="18"/>
      <c r="B281" s="674" t="s">
        <v>581</v>
      </c>
      <c r="C281" s="675"/>
      <c r="D281" s="675"/>
      <c r="E281" s="675"/>
      <c r="F281" s="304">
        <v>8875</v>
      </c>
      <c r="G281" s="304">
        <f t="shared" si="672"/>
        <v>8875</v>
      </c>
      <c r="H281" s="90">
        <f t="shared" si="633"/>
        <v>9275</v>
      </c>
      <c r="I281" s="304">
        <f t="shared" si="655"/>
        <v>9275</v>
      </c>
      <c r="J281" s="529">
        <f t="shared" si="646"/>
        <v>9045</v>
      </c>
      <c r="K281" s="304">
        <f t="shared" si="656"/>
        <v>9045</v>
      </c>
      <c r="L281" s="529">
        <f t="shared" si="648"/>
        <v>9005</v>
      </c>
      <c r="M281" s="304">
        <f t="shared" si="657"/>
        <v>9005</v>
      </c>
      <c r="N281" s="529">
        <f t="shared" si="650"/>
        <v>8975</v>
      </c>
      <c r="O281" s="304">
        <f t="shared" si="658"/>
        <v>8975</v>
      </c>
      <c r="P281" s="529">
        <f t="shared" si="651"/>
        <v>8955</v>
      </c>
      <c r="Q281" s="304">
        <f t="shared" si="659"/>
        <v>8955</v>
      </c>
      <c r="R281" s="529">
        <f t="shared" si="652"/>
        <v>8949</v>
      </c>
      <c r="S281" s="304">
        <f t="shared" si="660"/>
        <v>8949</v>
      </c>
      <c r="T281" s="529">
        <f t="shared" si="653"/>
        <v>8942</v>
      </c>
      <c r="U281" s="304">
        <f t="shared" si="661"/>
        <v>8942</v>
      </c>
      <c r="V281" s="529">
        <f t="shared" si="654"/>
        <v>8930</v>
      </c>
      <c r="W281" s="304">
        <f t="shared" si="662"/>
        <v>8930</v>
      </c>
      <c r="X281" s="641"/>
      <c r="Y281" s="642"/>
      <c r="Z281" s="642"/>
      <c r="AA281" s="643"/>
      <c r="AB281" s="201">
        <v>1049</v>
      </c>
      <c r="AC281" s="65"/>
    </row>
    <row r="282" spans="1:29" ht="12.6" customHeight="1" x14ac:dyDescent="0.2">
      <c r="A282" s="18"/>
      <c r="B282" s="628" t="s">
        <v>583</v>
      </c>
      <c r="C282" s="629"/>
      <c r="D282" s="629"/>
      <c r="E282" s="629"/>
      <c r="F282" s="303">
        <v>10418</v>
      </c>
      <c r="G282" s="303">
        <f t="shared" si="672"/>
        <v>10418</v>
      </c>
      <c r="H282" s="72">
        <f t="shared" si="633"/>
        <v>10818</v>
      </c>
      <c r="I282" s="303">
        <f t="shared" si="655"/>
        <v>10818</v>
      </c>
      <c r="J282" s="590">
        <f t="shared" si="646"/>
        <v>10588</v>
      </c>
      <c r="K282" s="303">
        <f t="shared" si="656"/>
        <v>10588</v>
      </c>
      <c r="L282" s="590">
        <f t="shared" si="648"/>
        <v>10548</v>
      </c>
      <c r="M282" s="303">
        <f t="shared" si="657"/>
        <v>10548</v>
      </c>
      <c r="N282" s="590">
        <f t="shared" si="650"/>
        <v>10518</v>
      </c>
      <c r="O282" s="303">
        <f t="shared" si="658"/>
        <v>10518</v>
      </c>
      <c r="P282" s="590">
        <f t="shared" si="651"/>
        <v>10498</v>
      </c>
      <c r="Q282" s="303">
        <f t="shared" si="659"/>
        <v>10498</v>
      </c>
      <c r="R282" s="590">
        <f t="shared" si="652"/>
        <v>10492</v>
      </c>
      <c r="S282" s="303">
        <f t="shared" si="660"/>
        <v>10492</v>
      </c>
      <c r="T282" s="590">
        <f t="shared" si="653"/>
        <v>10485</v>
      </c>
      <c r="U282" s="303">
        <f t="shared" si="661"/>
        <v>10485</v>
      </c>
      <c r="V282" s="590">
        <f t="shared" si="654"/>
        <v>10473</v>
      </c>
      <c r="W282" s="303">
        <f t="shared" si="662"/>
        <v>10473</v>
      </c>
      <c r="X282" s="641"/>
      <c r="Y282" s="642"/>
      <c r="Z282" s="642"/>
      <c r="AA282" s="643"/>
      <c r="AB282" s="201">
        <v>1050</v>
      </c>
      <c r="AC282" s="65"/>
    </row>
    <row r="283" spans="1:29" ht="12.6" customHeight="1" x14ac:dyDescent="0.2">
      <c r="A283" s="18"/>
      <c r="B283" s="1027" t="s">
        <v>854</v>
      </c>
      <c r="C283" s="1028"/>
      <c r="D283" s="1028"/>
      <c r="E283" s="1029"/>
      <c r="F283" s="413">
        <f>12.3*X2</f>
        <v>12127.800000000001</v>
      </c>
      <c r="G283" s="304">
        <f t="shared" ref="G283" si="673">+F283*$X$1</f>
        <v>12127.800000000001</v>
      </c>
      <c r="H283" s="90">
        <f t="shared" si="633"/>
        <v>12527.800000000001</v>
      </c>
      <c r="I283" s="304">
        <f t="shared" si="655"/>
        <v>12527.800000000001</v>
      </c>
      <c r="J283" s="529">
        <f t="shared" si="646"/>
        <v>12297.800000000001</v>
      </c>
      <c r="K283" s="304">
        <f t="shared" si="656"/>
        <v>12297.800000000001</v>
      </c>
      <c r="L283" s="529">
        <f t="shared" si="648"/>
        <v>12257.800000000001</v>
      </c>
      <c r="M283" s="304">
        <f t="shared" si="657"/>
        <v>12257.800000000001</v>
      </c>
      <c r="N283" s="529">
        <f t="shared" si="650"/>
        <v>12227.800000000001</v>
      </c>
      <c r="O283" s="304">
        <f t="shared" si="658"/>
        <v>12227.800000000001</v>
      </c>
      <c r="P283" s="529">
        <f t="shared" si="651"/>
        <v>12207.800000000001</v>
      </c>
      <c r="Q283" s="304">
        <f t="shared" si="659"/>
        <v>12207.800000000001</v>
      </c>
      <c r="R283" s="529">
        <f t="shared" si="652"/>
        <v>12201.800000000001</v>
      </c>
      <c r="S283" s="304">
        <f t="shared" si="660"/>
        <v>12201.800000000001</v>
      </c>
      <c r="T283" s="529">
        <f t="shared" si="653"/>
        <v>12194.800000000001</v>
      </c>
      <c r="U283" s="304">
        <f t="shared" si="661"/>
        <v>12194.800000000001</v>
      </c>
      <c r="V283" s="529">
        <f t="shared" si="654"/>
        <v>12182.800000000001</v>
      </c>
      <c r="W283" s="304">
        <f t="shared" si="662"/>
        <v>12182.800000000001</v>
      </c>
      <c r="X283" s="641"/>
      <c r="Y283" s="642"/>
      <c r="Z283" s="642"/>
      <c r="AA283" s="643"/>
      <c r="AB283" s="201">
        <v>1052</v>
      </c>
      <c r="AC283" s="65"/>
    </row>
    <row r="284" spans="1:29" ht="12.6" customHeight="1" x14ac:dyDescent="0.2">
      <c r="A284" s="18"/>
      <c r="B284" s="622" t="s">
        <v>487</v>
      </c>
      <c r="C284" s="651"/>
      <c r="D284" s="651"/>
      <c r="E284" s="652"/>
      <c r="F284" s="412">
        <f>31.583*X2</f>
        <v>31140.838</v>
      </c>
      <c r="G284" s="303">
        <f t="shared" si="672"/>
        <v>31140.838</v>
      </c>
      <c r="H284" s="72">
        <f t="shared" si="633"/>
        <v>31540.838</v>
      </c>
      <c r="I284" s="303">
        <f t="shared" si="655"/>
        <v>31540.838</v>
      </c>
      <c r="J284" s="590">
        <f t="shared" si="646"/>
        <v>31310.838</v>
      </c>
      <c r="K284" s="303">
        <f t="shared" si="656"/>
        <v>31310.838</v>
      </c>
      <c r="L284" s="590">
        <f t="shared" si="648"/>
        <v>31270.838</v>
      </c>
      <c r="M284" s="303">
        <f t="shared" si="657"/>
        <v>31270.838</v>
      </c>
      <c r="N284" s="590">
        <f t="shared" si="650"/>
        <v>31240.838</v>
      </c>
      <c r="O284" s="303">
        <f t="shared" si="658"/>
        <v>31240.838</v>
      </c>
      <c r="P284" s="590">
        <f t="shared" si="651"/>
        <v>31220.838</v>
      </c>
      <c r="Q284" s="303">
        <f t="shared" si="659"/>
        <v>31220.838</v>
      </c>
      <c r="R284" s="590">
        <f t="shared" si="652"/>
        <v>31214.838</v>
      </c>
      <c r="S284" s="303">
        <f t="shared" si="660"/>
        <v>31214.838</v>
      </c>
      <c r="T284" s="590">
        <f t="shared" si="653"/>
        <v>31207.838</v>
      </c>
      <c r="U284" s="303">
        <f t="shared" si="661"/>
        <v>31207.838</v>
      </c>
      <c r="V284" s="590">
        <f t="shared" si="654"/>
        <v>31195.838</v>
      </c>
      <c r="W284" s="303">
        <f t="shared" si="662"/>
        <v>31195.838</v>
      </c>
      <c r="X284" s="641"/>
      <c r="Y284" s="642"/>
      <c r="Z284" s="642"/>
      <c r="AA284" s="643"/>
      <c r="AB284" s="201">
        <v>1053</v>
      </c>
      <c r="AC284" s="65"/>
    </row>
    <row r="285" spans="1:29" ht="12.6" customHeight="1" x14ac:dyDescent="0.2">
      <c r="A285" s="18"/>
      <c r="B285" s="674" t="s">
        <v>635</v>
      </c>
      <c r="C285" s="675"/>
      <c r="D285" s="675"/>
      <c r="E285" s="675"/>
      <c r="F285" s="304">
        <v>17772</v>
      </c>
      <c r="G285" s="304">
        <f>+F285*$X$1</f>
        <v>17772</v>
      </c>
      <c r="H285" s="90">
        <f t="shared" si="633"/>
        <v>18172</v>
      </c>
      <c r="I285" s="304">
        <f t="shared" si="655"/>
        <v>18172</v>
      </c>
      <c r="J285" s="529">
        <f t="shared" si="646"/>
        <v>17942</v>
      </c>
      <c r="K285" s="304">
        <f t="shared" si="656"/>
        <v>17942</v>
      </c>
      <c r="L285" s="529">
        <f t="shared" si="648"/>
        <v>17902</v>
      </c>
      <c r="M285" s="304">
        <f t="shared" si="657"/>
        <v>17902</v>
      </c>
      <c r="N285" s="529">
        <f t="shared" si="650"/>
        <v>17872</v>
      </c>
      <c r="O285" s="304">
        <f t="shared" si="658"/>
        <v>17872</v>
      </c>
      <c r="P285" s="529">
        <f t="shared" si="651"/>
        <v>17852</v>
      </c>
      <c r="Q285" s="304">
        <f t="shared" si="659"/>
        <v>17852</v>
      </c>
      <c r="R285" s="529">
        <f t="shared" si="652"/>
        <v>17846</v>
      </c>
      <c r="S285" s="304">
        <f t="shared" si="660"/>
        <v>17846</v>
      </c>
      <c r="T285" s="529">
        <f t="shared" si="653"/>
        <v>17839</v>
      </c>
      <c r="U285" s="304">
        <f t="shared" si="661"/>
        <v>17839</v>
      </c>
      <c r="V285" s="529">
        <f t="shared" si="654"/>
        <v>17827</v>
      </c>
      <c r="W285" s="304">
        <f t="shared" si="662"/>
        <v>17827</v>
      </c>
      <c r="X285" s="641"/>
      <c r="Y285" s="642"/>
      <c r="Z285" s="642"/>
      <c r="AA285" s="643"/>
      <c r="AB285" s="201">
        <v>1057</v>
      </c>
    </row>
    <row r="286" spans="1:29" ht="12.6" customHeight="1" x14ac:dyDescent="0.2">
      <c r="A286" s="18"/>
      <c r="B286" s="628" t="s">
        <v>455</v>
      </c>
      <c r="C286" s="629"/>
      <c r="D286" s="629"/>
      <c r="E286" s="629"/>
      <c r="F286" s="412"/>
      <c r="G286" s="303"/>
      <c r="H286" s="72"/>
      <c r="I286" s="303"/>
      <c r="J286" s="590"/>
      <c r="K286" s="303"/>
      <c r="L286" s="590"/>
      <c r="M286" s="303"/>
      <c r="N286" s="590"/>
      <c r="O286" s="303"/>
      <c r="P286" s="590"/>
      <c r="Q286" s="303"/>
      <c r="R286" s="590"/>
      <c r="S286" s="303"/>
      <c r="T286" s="590"/>
      <c r="U286" s="303"/>
      <c r="V286" s="590"/>
      <c r="W286" s="303"/>
      <c r="X286" s="641"/>
      <c r="Y286" s="642"/>
      <c r="Z286" s="642"/>
      <c r="AA286" s="643"/>
      <c r="AB286" s="201">
        <v>1064</v>
      </c>
      <c r="AC286" s="65"/>
    </row>
    <row r="287" spans="1:29" ht="12.6" customHeight="1" x14ac:dyDescent="0.2">
      <c r="A287" s="18"/>
      <c r="B287" s="682" t="s">
        <v>220</v>
      </c>
      <c r="C287" s="683"/>
      <c r="D287" s="683"/>
      <c r="E287" s="684"/>
      <c r="F287" s="413">
        <f>12.1*X2</f>
        <v>11930.6</v>
      </c>
      <c r="G287" s="304">
        <f>+F287*$X$1</f>
        <v>11930.6</v>
      </c>
      <c r="H287" s="90">
        <f t="shared" si="633"/>
        <v>12330.6</v>
      </c>
      <c r="I287" s="304">
        <f t="shared" si="655"/>
        <v>12330.6</v>
      </c>
      <c r="J287" s="529">
        <f>F287+180</f>
        <v>12110.6</v>
      </c>
      <c r="K287" s="304">
        <f>+J287*$X$1</f>
        <v>12110.6</v>
      </c>
      <c r="L287" s="529">
        <f>F287+144</f>
        <v>12074.6</v>
      </c>
      <c r="M287" s="304">
        <f>+L287*$X$1</f>
        <v>12074.6</v>
      </c>
      <c r="N287" s="90">
        <f>F287+114</f>
        <v>12044.6</v>
      </c>
      <c r="O287" s="304">
        <f t="shared" si="658"/>
        <v>12044.6</v>
      </c>
      <c r="P287" s="90">
        <f>F287+96</f>
        <v>12026.6</v>
      </c>
      <c r="Q287" s="304">
        <f t="shared" si="659"/>
        <v>12026.6</v>
      </c>
      <c r="R287" s="529">
        <f>F287+88</f>
        <v>12018.6</v>
      </c>
      <c r="S287" s="304">
        <f t="shared" si="660"/>
        <v>12018.6</v>
      </c>
      <c r="T287" s="529">
        <f>F287+81</f>
        <v>12011.6</v>
      </c>
      <c r="U287" s="304">
        <f t="shared" si="661"/>
        <v>12011.6</v>
      </c>
      <c r="V287" s="529">
        <f>F287+73</f>
        <v>12003.6</v>
      </c>
      <c r="W287" s="304">
        <f t="shared" si="662"/>
        <v>12003.6</v>
      </c>
      <c r="X287" s="186"/>
      <c r="Y287" s="189"/>
      <c r="Z287" s="189"/>
      <c r="AA287" s="188"/>
      <c r="AB287" s="201">
        <v>1075</v>
      </c>
    </row>
    <row r="288" spans="1:29" ht="12.6" customHeight="1" x14ac:dyDescent="0.2">
      <c r="A288" s="18"/>
      <c r="B288" s="628" t="s">
        <v>403</v>
      </c>
      <c r="C288" s="884"/>
      <c r="D288" s="884"/>
      <c r="E288" s="884"/>
      <c r="F288" s="412">
        <f>8.49*X2</f>
        <v>8371.14</v>
      </c>
      <c r="G288" s="303">
        <f>+F288*$X$1</f>
        <v>8371.14</v>
      </c>
      <c r="H288" s="72">
        <f t="shared" si="633"/>
        <v>8771.14</v>
      </c>
      <c r="I288" s="303">
        <f t="shared" ref="I288" si="674">+H288*$X$1</f>
        <v>8771.14</v>
      </c>
      <c r="J288" s="590">
        <f>F288+170</f>
        <v>8541.14</v>
      </c>
      <c r="K288" s="303">
        <f t="shared" ref="K288" si="675">+J288*$X$1</f>
        <v>8541.14</v>
      </c>
      <c r="L288" s="590">
        <f>F288+130</f>
        <v>8501.14</v>
      </c>
      <c r="M288" s="303">
        <f t="shared" ref="M288" si="676">+L288*$X$1</f>
        <v>8501.14</v>
      </c>
      <c r="N288" s="590">
        <f>F288+100</f>
        <v>8471.14</v>
      </c>
      <c r="O288" s="303">
        <f t="shared" ref="O288" si="677">+N288*$X$1</f>
        <v>8471.14</v>
      </c>
      <c r="P288" s="590">
        <f>F288+80</f>
        <v>8451.14</v>
      </c>
      <c r="Q288" s="303">
        <f t="shared" ref="Q288" si="678">+P288*$X$1</f>
        <v>8451.14</v>
      </c>
      <c r="R288" s="590">
        <f>F288+74</f>
        <v>8445.14</v>
      </c>
      <c r="S288" s="303">
        <f t="shared" ref="S288" si="679">+R288*$X$1</f>
        <v>8445.14</v>
      </c>
      <c r="T288" s="590">
        <f>F288+67</f>
        <v>8438.14</v>
      </c>
      <c r="U288" s="303">
        <f t="shared" ref="U288" si="680">+T288*$X$1</f>
        <v>8438.14</v>
      </c>
      <c r="V288" s="590">
        <f>F288+55</f>
        <v>8426.14</v>
      </c>
      <c r="W288" s="303">
        <f t="shared" ref="W288" si="681">+V288*$X$1</f>
        <v>8426.14</v>
      </c>
      <c r="X288" s="641"/>
      <c r="Y288" s="642"/>
      <c r="Z288" s="642"/>
      <c r="AA288" s="643"/>
      <c r="AB288" s="201">
        <v>1078</v>
      </c>
    </row>
    <row r="289" spans="1:34" ht="12.6" customHeight="1" x14ac:dyDescent="0.2">
      <c r="A289" s="18"/>
      <c r="B289" s="680" t="s">
        <v>406</v>
      </c>
      <c r="C289" s="681"/>
      <c r="D289" s="681"/>
      <c r="E289" s="681"/>
      <c r="F289" s="417">
        <f>6.87*X2</f>
        <v>6773.82</v>
      </c>
      <c r="G289" s="340">
        <f t="shared" ref="G289" si="682">+F289*$X$1</f>
        <v>6773.82</v>
      </c>
      <c r="H289" s="90">
        <f t="shared" si="633"/>
        <v>7173.82</v>
      </c>
      <c r="I289" s="304">
        <f t="shared" ref="I289:I293" si="683">+H289*$X$1</f>
        <v>7173.82</v>
      </c>
      <c r="J289" s="529">
        <f>F289+170</f>
        <v>6943.82</v>
      </c>
      <c r="K289" s="304">
        <f t="shared" ref="K289" si="684">+J289*$X$1</f>
        <v>6943.82</v>
      </c>
      <c r="L289" s="529">
        <f>F289+130</f>
        <v>6903.82</v>
      </c>
      <c r="M289" s="304">
        <f t="shared" ref="M289" si="685">+L289*$X$1</f>
        <v>6903.82</v>
      </c>
      <c r="N289" s="529">
        <f>F289+100</f>
        <v>6873.82</v>
      </c>
      <c r="O289" s="304">
        <f t="shared" ref="O289" si="686">+N289*$X$1</f>
        <v>6873.82</v>
      </c>
      <c r="P289" s="529">
        <f>F289+80</f>
        <v>6853.82</v>
      </c>
      <c r="Q289" s="304">
        <f t="shared" ref="Q289" si="687">+P289*$X$1</f>
        <v>6853.82</v>
      </c>
      <c r="R289" s="529">
        <f>F289+74</f>
        <v>6847.82</v>
      </c>
      <c r="S289" s="304">
        <f t="shared" ref="S289" si="688">+R289*$X$1</f>
        <v>6847.82</v>
      </c>
      <c r="T289" s="529">
        <f>F289+67</f>
        <v>6840.82</v>
      </c>
      <c r="U289" s="304">
        <f t="shared" ref="U289" si="689">+T289*$X$1</f>
        <v>6840.82</v>
      </c>
      <c r="V289" s="529">
        <f>F289+55</f>
        <v>6828.82</v>
      </c>
      <c r="W289" s="304">
        <f t="shared" ref="W289" si="690">+V289*$X$1</f>
        <v>6828.82</v>
      </c>
      <c r="X289" s="642"/>
      <c r="Y289" s="642"/>
      <c r="Z289" s="642"/>
      <c r="AA289" s="643"/>
      <c r="AB289" s="201">
        <v>1079</v>
      </c>
    </row>
    <row r="290" spans="1:34" ht="12.6" customHeight="1" x14ac:dyDescent="0.2">
      <c r="A290" s="18"/>
      <c r="B290" s="704" t="s">
        <v>546</v>
      </c>
      <c r="C290" s="705"/>
      <c r="D290" s="705"/>
      <c r="E290" s="705"/>
      <c r="F290" s="361">
        <v>12891</v>
      </c>
      <c r="G290" s="361">
        <f>+F290*$X$1</f>
        <v>12891</v>
      </c>
      <c r="H290" s="106">
        <f t="shared" si="633"/>
        <v>13291</v>
      </c>
      <c r="I290" s="361">
        <f t="shared" ref="I290:I291" si="691">+H290*$X$1</f>
        <v>13291</v>
      </c>
      <c r="J290" s="603">
        <f t="shared" ref="J290:J295" si="692">F290+170</f>
        <v>13061</v>
      </c>
      <c r="K290" s="361">
        <f t="shared" ref="K290:K291" si="693">+J290*$X$1</f>
        <v>13061</v>
      </c>
      <c r="L290" s="603">
        <f>F290+130</f>
        <v>13021</v>
      </c>
      <c r="M290" s="361">
        <f t="shared" ref="M290:M291" si="694">+L290*$X$1</f>
        <v>13021</v>
      </c>
      <c r="N290" s="603">
        <f>F290+100</f>
        <v>12991</v>
      </c>
      <c r="O290" s="361">
        <f t="shared" ref="O290:O291" si="695">+N290*$X$1</f>
        <v>12991</v>
      </c>
      <c r="P290" s="603">
        <f>F290+80</f>
        <v>12971</v>
      </c>
      <c r="Q290" s="361">
        <f t="shared" ref="Q290:Q291" si="696">+P290*$X$1</f>
        <v>12971</v>
      </c>
      <c r="R290" s="603">
        <f>F290+74</f>
        <v>12965</v>
      </c>
      <c r="S290" s="361">
        <f t="shared" ref="S290:S291" si="697">+R290*$X$1</f>
        <v>12965</v>
      </c>
      <c r="T290" s="603">
        <f>F290+67</f>
        <v>12958</v>
      </c>
      <c r="U290" s="361">
        <f t="shared" ref="U290:U291" si="698">+T290*$X$1</f>
        <v>12958</v>
      </c>
      <c r="V290" s="603">
        <f>F290+55</f>
        <v>12946</v>
      </c>
      <c r="W290" s="361">
        <f t="shared" ref="W290:W291" si="699">+V290*$X$1</f>
        <v>12946</v>
      </c>
      <c r="X290" s="642"/>
      <c r="Y290" s="642"/>
      <c r="Z290" s="642"/>
      <c r="AA290" s="643"/>
      <c r="AB290" s="201">
        <v>1080</v>
      </c>
      <c r="AC290" s="65"/>
    </row>
    <row r="291" spans="1:34" ht="12.6" customHeight="1" x14ac:dyDescent="0.2">
      <c r="A291" s="18"/>
      <c r="B291" s="674" t="s">
        <v>547</v>
      </c>
      <c r="C291" s="675"/>
      <c r="D291" s="675"/>
      <c r="E291" s="675"/>
      <c r="F291" s="304">
        <v>16697</v>
      </c>
      <c r="G291" s="304">
        <f>+F291*$X$1</f>
        <v>16697</v>
      </c>
      <c r="H291" s="90">
        <f t="shared" si="633"/>
        <v>17097</v>
      </c>
      <c r="I291" s="304">
        <f t="shared" si="691"/>
        <v>17097</v>
      </c>
      <c r="J291" s="529">
        <f t="shared" si="692"/>
        <v>16867</v>
      </c>
      <c r="K291" s="304">
        <f t="shared" si="693"/>
        <v>16867</v>
      </c>
      <c r="L291" s="529">
        <f>F291+130</f>
        <v>16827</v>
      </c>
      <c r="M291" s="304">
        <f t="shared" si="694"/>
        <v>16827</v>
      </c>
      <c r="N291" s="529">
        <f>F291+100</f>
        <v>16797</v>
      </c>
      <c r="O291" s="304">
        <f t="shared" si="695"/>
        <v>16797</v>
      </c>
      <c r="P291" s="529">
        <f>F291+80</f>
        <v>16777</v>
      </c>
      <c r="Q291" s="304">
        <f t="shared" si="696"/>
        <v>16777</v>
      </c>
      <c r="R291" s="529">
        <f>F291+74</f>
        <v>16771</v>
      </c>
      <c r="S291" s="304">
        <f t="shared" si="697"/>
        <v>16771</v>
      </c>
      <c r="T291" s="529">
        <f>F291+67</f>
        <v>16764</v>
      </c>
      <c r="U291" s="304">
        <f t="shared" si="698"/>
        <v>16764</v>
      </c>
      <c r="V291" s="529">
        <f>F291+55</f>
        <v>16752</v>
      </c>
      <c r="W291" s="304">
        <f t="shared" si="699"/>
        <v>16752</v>
      </c>
      <c r="X291" s="642"/>
      <c r="Y291" s="642"/>
      <c r="Z291" s="642"/>
      <c r="AA291" s="643"/>
      <c r="AB291" s="201">
        <v>1081</v>
      </c>
      <c r="AC291" s="65"/>
    </row>
    <row r="292" spans="1:34" ht="12.6" customHeight="1" x14ac:dyDescent="0.2">
      <c r="A292" s="18"/>
      <c r="B292" s="628" t="s">
        <v>667</v>
      </c>
      <c r="C292" s="629"/>
      <c r="D292" s="629"/>
      <c r="E292" s="629"/>
      <c r="F292" s="303">
        <v>20872</v>
      </c>
      <c r="G292" s="303">
        <f>+F292*$X$1</f>
        <v>20872</v>
      </c>
      <c r="H292" s="72">
        <f t="shared" si="633"/>
        <v>21272</v>
      </c>
      <c r="I292" s="303">
        <f t="shared" si="683"/>
        <v>21272</v>
      </c>
      <c r="J292" s="590">
        <f t="shared" si="692"/>
        <v>21042</v>
      </c>
      <c r="K292" s="303">
        <f t="shared" ref="K292:K294" si="700">+J292*$X$1</f>
        <v>21042</v>
      </c>
      <c r="L292" s="590">
        <f>F292+130</f>
        <v>21002</v>
      </c>
      <c r="M292" s="303">
        <f t="shared" ref="M292:M294" si="701">+L292*$X$1</f>
        <v>21002</v>
      </c>
      <c r="N292" s="590">
        <f>F292+100</f>
        <v>20972</v>
      </c>
      <c r="O292" s="303">
        <f t="shared" ref="O292:O294" si="702">+N292*$X$1</f>
        <v>20972</v>
      </c>
      <c r="P292" s="590">
        <f>F292+80</f>
        <v>20952</v>
      </c>
      <c r="Q292" s="303">
        <f t="shared" ref="Q292:Q294" si="703">+P292*$X$1</f>
        <v>20952</v>
      </c>
      <c r="R292" s="590">
        <f>F292+74</f>
        <v>20946</v>
      </c>
      <c r="S292" s="303">
        <f t="shared" ref="S292:S294" si="704">+R292*$X$1</f>
        <v>20946</v>
      </c>
      <c r="T292" s="590">
        <f>F292+67</f>
        <v>20939</v>
      </c>
      <c r="U292" s="303">
        <f t="shared" ref="U292:U294" si="705">+T292*$X$1</f>
        <v>20939</v>
      </c>
      <c r="V292" s="590">
        <f>F292+55</f>
        <v>20927</v>
      </c>
      <c r="W292" s="303">
        <f t="shared" ref="W292:W294" si="706">+V292*$X$1</f>
        <v>20927</v>
      </c>
      <c r="X292" s="642"/>
      <c r="Y292" s="642"/>
      <c r="Z292" s="642"/>
      <c r="AA292" s="643"/>
      <c r="AB292" s="201">
        <v>1082</v>
      </c>
      <c r="AC292" s="65"/>
    </row>
    <row r="293" spans="1:34" ht="12.6" customHeight="1" x14ac:dyDescent="0.2">
      <c r="A293" s="18"/>
      <c r="B293" s="674" t="s">
        <v>459</v>
      </c>
      <c r="C293" s="675"/>
      <c r="D293" s="675"/>
      <c r="E293" s="675"/>
      <c r="F293" s="304">
        <v>13648</v>
      </c>
      <c r="G293" s="304">
        <f>+F293*$X$1</f>
        <v>13648</v>
      </c>
      <c r="H293" s="90">
        <f t="shared" si="633"/>
        <v>14048</v>
      </c>
      <c r="I293" s="304">
        <f t="shared" si="683"/>
        <v>14048</v>
      </c>
      <c r="J293" s="529">
        <f t="shared" si="692"/>
        <v>13818</v>
      </c>
      <c r="K293" s="304">
        <f t="shared" si="700"/>
        <v>13818</v>
      </c>
      <c r="L293" s="529">
        <f>F293+130</f>
        <v>13778</v>
      </c>
      <c r="M293" s="304">
        <f t="shared" si="701"/>
        <v>13778</v>
      </c>
      <c r="N293" s="529">
        <f>F293+100</f>
        <v>13748</v>
      </c>
      <c r="O293" s="304">
        <f t="shared" si="702"/>
        <v>13748</v>
      </c>
      <c r="P293" s="529">
        <f>F293+80</f>
        <v>13728</v>
      </c>
      <c r="Q293" s="304">
        <f t="shared" si="703"/>
        <v>13728</v>
      </c>
      <c r="R293" s="529">
        <f>F293+74</f>
        <v>13722</v>
      </c>
      <c r="S293" s="304">
        <f t="shared" si="704"/>
        <v>13722</v>
      </c>
      <c r="T293" s="529">
        <f>F293+67</f>
        <v>13715</v>
      </c>
      <c r="U293" s="304">
        <f t="shared" si="705"/>
        <v>13715</v>
      </c>
      <c r="V293" s="529">
        <f>F293+55</f>
        <v>13703</v>
      </c>
      <c r="W293" s="304">
        <f t="shared" si="706"/>
        <v>13703</v>
      </c>
      <c r="X293" s="642"/>
      <c r="Y293" s="642"/>
      <c r="Z293" s="642"/>
      <c r="AA293" s="643"/>
      <c r="AB293" s="201">
        <v>1083</v>
      </c>
      <c r="AC293" s="65"/>
    </row>
    <row r="294" spans="1:34" ht="12.6" customHeight="1" x14ac:dyDescent="0.2">
      <c r="A294" s="18"/>
      <c r="B294" s="667" t="s">
        <v>871</v>
      </c>
      <c r="C294" s="668"/>
      <c r="D294" s="668"/>
      <c r="E294" s="668"/>
      <c r="F294" s="412">
        <f>2.32*X2</f>
        <v>2287.52</v>
      </c>
      <c r="G294" s="303">
        <f t="shared" ref="G294" si="707">+F294*$X$1</f>
        <v>2287.52</v>
      </c>
      <c r="H294" s="590">
        <f t="shared" si="633"/>
        <v>2687.52</v>
      </c>
      <c r="I294" s="303">
        <f>+H294*$X$1</f>
        <v>2687.52</v>
      </c>
      <c r="J294" s="72">
        <f t="shared" si="692"/>
        <v>2457.52</v>
      </c>
      <c r="K294" s="303">
        <f t="shared" si="700"/>
        <v>2457.52</v>
      </c>
      <c r="L294" s="590">
        <f>F294+120</f>
        <v>2407.52</v>
      </c>
      <c r="M294" s="303">
        <f t="shared" si="701"/>
        <v>2407.52</v>
      </c>
      <c r="N294" s="590">
        <f>F294+65</f>
        <v>2352.52</v>
      </c>
      <c r="O294" s="303">
        <f t="shared" si="702"/>
        <v>2352.52</v>
      </c>
      <c r="P294" s="590">
        <f>F294+55</f>
        <v>2342.52</v>
      </c>
      <c r="Q294" s="303">
        <f t="shared" si="703"/>
        <v>2342.52</v>
      </c>
      <c r="R294" s="590">
        <f>F294+49</f>
        <v>2336.52</v>
      </c>
      <c r="S294" s="303">
        <f t="shared" si="704"/>
        <v>2336.52</v>
      </c>
      <c r="T294" s="590">
        <f>F294+43</f>
        <v>2330.52</v>
      </c>
      <c r="U294" s="303">
        <f t="shared" si="705"/>
        <v>2330.52</v>
      </c>
      <c r="V294" s="590">
        <f>F294+34</f>
        <v>2321.52</v>
      </c>
      <c r="W294" s="303">
        <f t="shared" si="706"/>
        <v>2321.52</v>
      </c>
      <c r="X294" s="630"/>
      <c r="Y294" s="1037"/>
      <c r="Z294" s="1037"/>
      <c r="AA294" s="1038"/>
      <c r="AB294" s="442">
        <v>2130</v>
      </c>
      <c r="AC294" s="66"/>
    </row>
    <row r="295" spans="1:34" ht="12.6" customHeight="1" x14ac:dyDescent="0.2">
      <c r="A295" s="18"/>
      <c r="B295" s="680" t="s">
        <v>872</v>
      </c>
      <c r="C295" s="681"/>
      <c r="D295" s="681"/>
      <c r="E295" s="681"/>
      <c r="F295" s="413">
        <f>3.89*X2</f>
        <v>3835.54</v>
      </c>
      <c r="G295" s="304">
        <f t="shared" ref="G295" si="708">+F295*$X$1</f>
        <v>3835.54</v>
      </c>
      <c r="H295" s="529">
        <f t="shared" si="633"/>
        <v>4235.54</v>
      </c>
      <c r="I295" s="304">
        <f>+H295*$X$1</f>
        <v>4235.54</v>
      </c>
      <c r="J295" s="90">
        <f t="shared" si="692"/>
        <v>4005.54</v>
      </c>
      <c r="K295" s="304">
        <f t="shared" ref="K295" si="709">+J295*$X$1</f>
        <v>4005.54</v>
      </c>
      <c r="L295" s="529">
        <f>F295+120</f>
        <v>3955.54</v>
      </c>
      <c r="M295" s="304">
        <f t="shared" ref="M295" si="710">+L295*$X$1</f>
        <v>3955.54</v>
      </c>
      <c r="N295" s="529">
        <f>F295+65</f>
        <v>3900.54</v>
      </c>
      <c r="O295" s="304">
        <f t="shared" ref="O295" si="711">+N295*$X$1</f>
        <v>3900.54</v>
      </c>
      <c r="P295" s="529">
        <f>F295+55</f>
        <v>3890.54</v>
      </c>
      <c r="Q295" s="304">
        <f t="shared" ref="Q295" si="712">+P295*$X$1</f>
        <v>3890.54</v>
      </c>
      <c r="R295" s="529">
        <f>F295+49</f>
        <v>3884.54</v>
      </c>
      <c r="S295" s="304">
        <f t="shared" ref="S295" si="713">+R295*$X$1</f>
        <v>3884.54</v>
      </c>
      <c r="T295" s="529">
        <f>F295+43</f>
        <v>3878.54</v>
      </c>
      <c r="U295" s="304">
        <f t="shared" ref="U295" si="714">+T295*$X$1</f>
        <v>3878.54</v>
      </c>
      <c r="V295" s="529">
        <f>F295+34</f>
        <v>3869.54</v>
      </c>
      <c r="W295" s="304">
        <f t="shared" ref="W295" si="715">+V295*$X$1</f>
        <v>3869.54</v>
      </c>
      <c r="X295" s="630"/>
      <c r="Y295" s="1037"/>
      <c r="Z295" s="1037"/>
      <c r="AA295" s="1038"/>
      <c r="AB295" s="442">
        <v>2131</v>
      </c>
      <c r="AC295" s="66"/>
    </row>
    <row r="296" spans="1:34" ht="12.6" customHeight="1" x14ac:dyDescent="0.2">
      <c r="A296" s="108"/>
      <c r="B296" s="628" t="s">
        <v>221</v>
      </c>
      <c r="C296" s="629"/>
      <c r="D296" s="629"/>
      <c r="E296" s="629"/>
      <c r="F296" s="412">
        <f>0.445*X2</f>
        <v>438.77</v>
      </c>
      <c r="G296" s="303">
        <f t="shared" ref="G296:G297" si="716">+F296*$X$1</f>
        <v>438.77</v>
      </c>
      <c r="H296" s="295"/>
      <c r="I296" s="368"/>
      <c r="J296" s="590"/>
      <c r="K296" s="303"/>
      <c r="L296" s="590">
        <f>F296+100</f>
        <v>538.77</v>
      </c>
      <c r="M296" s="303">
        <f>+L296*$X$1</f>
        <v>538.77</v>
      </c>
      <c r="N296" s="590">
        <f>F296+52</f>
        <v>490.77</v>
      </c>
      <c r="O296" s="303">
        <f>+N296*$X$1</f>
        <v>490.77</v>
      </c>
      <c r="P296" s="590">
        <f>F296+44</f>
        <v>482.77</v>
      </c>
      <c r="Q296" s="303">
        <f>+P296*$X$1</f>
        <v>482.77</v>
      </c>
      <c r="R296" s="590">
        <f>F296+37</f>
        <v>475.77</v>
      </c>
      <c r="S296" s="303">
        <f>+R296*$X$1</f>
        <v>475.77</v>
      </c>
      <c r="T296" s="105">
        <f>F296+29</f>
        <v>467.77</v>
      </c>
      <c r="U296" s="268">
        <f>+T296*$X$1</f>
        <v>467.77</v>
      </c>
      <c r="V296" s="105">
        <f>F296+25</f>
        <v>463.77</v>
      </c>
      <c r="W296" s="268">
        <f>+V296*$X$1</f>
        <v>463.77</v>
      </c>
      <c r="X296" s="139"/>
      <c r="Y296" s="136"/>
      <c r="Z296" s="136"/>
      <c r="AA296" s="136"/>
      <c r="AB296" s="442">
        <v>2145</v>
      </c>
      <c r="AC296" s="66"/>
    </row>
    <row r="297" spans="1:34" ht="12.6" customHeight="1" x14ac:dyDescent="0.2">
      <c r="A297" s="18"/>
      <c r="B297" s="674" t="s">
        <v>222</v>
      </c>
      <c r="C297" s="675"/>
      <c r="D297" s="675"/>
      <c r="E297" s="675"/>
      <c r="F297" s="413">
        <v>48</v>
      </c>
      <c r="G297" s="304">
        <f t="shared" si="716"/>
        <v>48</v>
      </c>
      <c r="H297" s="294"/>
      <c r="I297" s="369"/>
      <c r="J297" s="529">
        <f>F297+160</f>
        <v>208</v>
      </c>
      <c r="K297" s="304">
        <f t="shared" ref="K297" si="717">+J297*$X$1</f>
        <v>208</v>
      </c>
      <c r="L297" s="529">
        <f>F297+100</f>
        <v>148</v>
      </c>
      <c r="M297" s="304">
        <f>+L297*$X$1</f>
        <v>148</v>
      </c>
      <c r="N297" s="529">
        <f>F297+52</f>
        <v>100</v>
      </c>
      <c r="O297" s="304">
        <f>+N297*$X$1</f>
        <v>100</v>
      </c>
      <c r="P297" s="529">
        <f>F297+44</f>
        <v>92</v>
      </c>
      <c r="Q297" s="304">
        <f>+P297*$X$1</f>
        <v>92</v>
      </c>
      <c r="R297" s="529">
        <f>F297+37</f>
        <v>85</v>
      </c>
      <c r="S297" s="304">
        <f>+R297*$X$1</f>
        <v>85</v>
      </c>
      <c r="T297" s="104">
        <f>F297+29</f>
        <v>77</v>
      </c>
      <c r="U297" s="325">
        <f>+T297*$X$1</f>
        <v>77</v>
      </c>
      <c r="V297" s="104">
        <f>F297+25</f>
        <v>73</v>
      </c>
      <c r="W297" s="325">
        <f>+V297*$X$1</f>
        <v>73</v>
      </c>
      <c r="X297" s="136"/>
      <c r="Y297" s="136"/>
      <c r="Z297" s="136"/>
      <c r="AA297" s="136"/>
      <c r="AB297" s="442">
        <v>2149</v>
      </c>
    </row>
    <row r="298" spans="1:34" ht="12.6" customHeight="1" x14ac:dyDescent="0.25">
      <c r="A298" s="131"/>
      <c r="B298" s="628" t="s">
        <v>223</v>
      </c>
      <c r="C298" s="629"/>
      <c r="D298" s="629"/>
      <c r="E298" s="629"/>
      <c r="F298" s="412">
        <f>0.88*X2</f>
        <v>867.68</v>
      </c>
      <c r="G298" s="303">
        <f>+F298*$X$1</f>
        <v>867.68</v>
      </c>
      <c r="H298" s="295"/>
      <c r="I298" s="368"/>
      <c r="J298" s="505"/>
      <c r="K298" s="303"/>
      <c r="L298" s="506"/>
      <c r="M298" s="303"/>
      <c r="N298" s="506"/>
      <c r="O298" s="507"/>
      <c r="P298" s="295"/>
      <c r="Q298" s="368"/>
      <c r="R298" s="506"/>
      <c r="S298" s="507"/>
      <c r="T298" s="506"/>
      <c r="U298" s="507"/>
      <c r="V298" s="506"/>
      <c r="W298" s="507"/>
      <c r="X298" s="136"/>
      <c r="Y298" s="136"/>
      <c r="Z298" s="136"/>
      <c r="AA298" s="136"/>
      <c r="AB298" s="201">
        <v>2151</v>
      </c>
    </row>
    <row r="299" spans="1:34" ht="12.6" customHeight="1" x14ac:dyDescent="0.2">
      <c r="A299" s="18"/>
      <c r="B299" s="680" t="s">
        <v>224</v>
      </c>
      <c r="C299" s="888"/>
      <c r="D299" s="888"/>
      <c r="E299" s="888"/>
      <c r="F299" s="417">
        <f>0.67*X2</f>
        <v>660.62</v>
      </c>
      <c r="G299" s="340">
        <f>+F299*$X$1</f>
        <v>660.62</v>
      </c>
      <c r="H299" s="318"/>
      <c r="I299" s="404"/>
      <c r="J299" s="104"/>
      <c r="K299" s="340"/>
      <c r="L299" s="529">
        <f>F299+100</f>
        <v>760.62</v>
      </c>
      <c r="M299" s="304">
        <f>+L299*$X$1</f>
        <v>760.62</v>
      </c>
      <c r="N299" s="529">
        <f>F299+52</f>
        <v>712.62</v>
      </c>
      <c r="O299" s="304">
        <f>+N299*$X$1</f>
        <v>712.62</v>
      </c>
      <c r="P299" s="529">
        <f>F299+44</f>
        <v>704.62</v>
      </c>
      <c r="Q299" s="304">
        <f>+P299*$X$1</f>
        <v>704.62</v>
      </c>
      <c r="R299" s="529">
        <f>F299+37</f>
        <v>697.62</v>
      </c>
      <c r="S299" s="304">
        <f>+R299*$X$1</f>
        <v>697.62</v>
      </c>
      <c r="T299" s="104">
        <f>F299+29</f>
        <v>689.62</v>
      </c>
      <c r="U299" s="325">
        <f>+T299*$X$1</f>
        <v>689.62</v>
      </c>
      <c r="V299" s="104">
        <f>F299+25</f>
        <v>685.62</v>
      </c>
      <c r="W299" s="325">
        <f>+V299*$X$1</f>
        <v>685.62</v>
      </c>
      <c r="X299" s="136"/>
      <c r="Y299" s="136"/>
      <c r="Z299" s="136"/>
      <c r="AA299" s="136"/>
      <c r="AB299" s="456">
        <v>2153</v>
      </c>
      <c r="AC299" s="66"/>
    </row>
    <row r="300" spans="1:34" ht="12.6" customHeight="1" x14ac:dyDescent="0.2">
      <c r="A300" s="18"/>
      <c r="B300" s="628" t="s">
        <v>397</v>
      </c>
      <c r="C300" s="629"/>
      <c r="D300" s="629"/>
      <c r="E300" s="629"/>
      <c r="F300" s="412">
        <f>0.485*X2</f>
        <v>478.21</v>
      </c>
      <c r="G300" s="303">
        <f>+F300*$X$1</f>
        <v>478.21</v>
      </c>
      <c r="H300" s="295"/>
      <c r="I300" s="368"/>
      <c r="J300" s="590"/>
      <c r="K300" s="303"/>
      <c r="L300" s="590">
        <f>F300+100</f>
        <v>578.21</v>
      </c>
      <c r="M300" s="303">
        <f>+L300*$X$1</f>
        <v>578.21</v>
      </c>
      <c r="N300" s="590">
        <f>F300+52</f>
        <v>530.21</v>
      </c>
      <c r="O300" s="303">
        <f>+N300*$X$1</f>
        <v>530.21</v>
      </c>
      <c r="P300" s="590">
        <f t="shared" ref="P300:P305" si="718">F300+44</f>
        <v>522.21</v>
      </c>
      <c r="Q300" s="303">
        <f t="shared" ref="Q300:Q305" si="719">+P300*$X$1</f>
        <v>522.21</v>
      </c>
      <c r="R300" s="590">
        <f t="shared" ref="R300:R305" si="720">F300+37</f>
        <v>515.21</v>
      </c>
      <c r="S300" s="303">
        <f t="shared" ref="S300:S305" si="721">+R300*$X$1</f>
        <v>515.21</v>
      </c>
      <c r="T300" s="105">
        <f t="shared" ref="T300:T305" si="722">F300+29</f>
        <v>507.21</v>
      </c>
      <c r="U300" s="268">
        <f t="shared" ref="U300:U305" si="723">+T300*$X$1</f>
        <v>507.21</v>
      </c>
      <c r="V300" s="105">
        <f t="shared" ref="V300:V305" si="724">F300+25</f>
        <v>503.21</v>
      </c>
      <c r="W300" s="268">
        <f t="shared" ref="W300:W305" si="725">+V300*$X$1</f>
        <v>503.21</v>
      </c>
      <c r="X300" s="136"/>
      <c r="Y300" s="144"/>
      <c r="Z300" s="144"/>
      <c r="AA300" s="144"/>
      <c r="AB300" s="455">
        <v>2154</v>
      </c>
      <c r="AC300" s="22"/>
      <c r="AD300" s="22"/>
    </row>
    <row r="301" spans="1:34" ht="12.6" customHeight="1" x14ac:dyDescent="0.2">
      <c r="A301" s="18"/>
      <c r="B301" s="674" t="s">
        <v>398</v>
      </c>
      <c r="C301" s="675"/>
      <c r="D301" s="675"/>
      <c r="E301" s="675"/>
      <c r="F301" s="413">
        <f>0.56*X2</f>
        <v>552.16000000000008</v>
      </c>
      <c r="G301" s="304">
        <f>+F301*$X$1</f>
        <v>552.16000000000008</v>
      </c>
      <c r="H301" s="294"/>
      <c r="I301" s="369"/>
      <c r="J301" s="529"/>
      <c r="K301" s="304"/>
      <c r="L301" s="529">
        <f>F301+100</f>
        <v>652.16000000000008</v>
      </c>
      <c r="M301" s="304">
        <f>+L301*$X$1</f>
        <v>652.16000000000008</v>
      </c>
      <c r="N301" s="529">
        <f>F301+52</f>
        <v>604.16000000000008</v>
      </c>
      <c r="O301" s="304">
        <f>+N301*$X$1</f>
        <v>604.16000000000008</v>
      </c>
      <c r="P301" s="529">
        <f t="shared" si="718"/>
        <v>596.16000000000008</v>
      </c>
      <c r="Q301" s="304">
        <f t="shared" si="719"/>
        <v>596.16000000000008</v>
      </c>
      <c r="R301" s="529">
        <f t="shared" si="720"/>
        <v>589.16000000000008</v>
      </c>
      <c r="S301" s="304">
        <f t="shared" si="721"/>
        <v>589.16000000000008</v>
      </c>
      <c r="T301" s="104">
        <f t="shared" si="722"/>
        <v>581.16000000000008</v>
      </c>
      <c r="U301" s="325">
        <f t="shared" si="723"/>
        <v>581.16000000000008</v>
      </c>
      <c r="V301" s="104">
        <f t="shared" si="724"/>
        <v>577.16000000000008</v>
      </c>
      <c r="W301" s="325">
        <f t="shared" si="725"/>
        <v>577.16000000000008</v>
      </c>
      <c r="X301" s="159"/>
      <c r="Y301" s="136"/>
      <c r="Z301" s="144"/>
      <c r="AA301" s="144"/>
      <c r="AB301" s="455">
        <v>2156</v>
      </c>
      <c r="AC301" s="22"/>
      <c r="AD301" s="22"/>
    </row>
    <row r="302" spans="1:34" ht="12.6" customHeight="1" x14ac:dyDescent="0.2">
      <c r="A302" s="18"/>
      <c r="B302" s="622" t="s">
        <v>225</v>
      </c>
      <c r="C302" s="623"/>
      <c r="D302" s="623"/>
      <c r="E302" s="624"/>
      <c r="F302" s="412">
        <f>0.484*X2</f>
        <v>477.22399999999999</v>
      </c>
      <c r="G302" s="303">
        <f t="shared" ref="G302" si="726">+F302*$X$1</f>
        <v>477.22399999999999</v>
      </c>
      <c r="H302" s="295"/>
      <c r="I302" s="368"/>
      <c r="J302" s="590"/>
      <c r="K302" s="303"/>
      <c r="L302" s="590">
        <f t="shared" ref="L302:L307" si="727">F302+100</f>
        <v>577.22399999999993</v>
      </c>
      <c r="M302" s="303">
        <f t="shared" ref="M302:M307" si="728">+L302*$X$1</f>
        <v>577.22399999999993</v>
      </c>
      <c r="N302" s="590">
        <f t="shared" ref="N302:N307" si="729">F302+52</f>
        <v>529.22399999999993</v>
      </c>
      <c r="O302" s="303">
        <f t="shared" ref="O302:O307" si="730">+N302*$X$1</f>
        <v>529.22399999999993</v>
      </c>
      <c r="P302" s="590">
        <f t="shared" si="718"/>
        <v>521.22399999999993</v>
      </c>
      <c r="Q302" s="303">
        <f t="shared" si="719"/>
        <v>521.22399999999993</v>
      </c>
      <c r="R302" s="590">
        <f t="shared" si="720"/>
        <v>514.22399999999993</v>
      </c>
      <c r="S302" s="303">
        <f t="shared" si="721"/>
        <v>514.22399999999993</v>
      </c>
      <c r="T302" s="105">
        <f t="shared" si="722"/>
        <v>506.22399999999999</v>
      </c>
      <c r="U302" s="268">
        <f t="shared" si="723"/>
        <v>506.22399999999999</v>
      </c>
      <c r="V302" s="105">
        <f t="shared" si="724"/>
        <v>502.22399999999999</v>
      </c>
      <c r="W302" s="268">
        <f t="shared" si="725"/>
        <v>502.22399999999999</v>
      </c>
      <c r="X302" s="136"/>
      <c r="Y302" s="144"/>
      <c r="Z302" s="144"/>
      <c r="AA302" s="144"/>
      <c r="AB302" s="455">
        <v>2160</v>
      </c>
      <c r="AC302" s="22"/>
      <c r="AD302" s="22"/>
      <c r="AH302" s="65"/>
    </row>
    <row r="303" spans="1:34" ht="12.6" customHeight="1" x14ac:dyDescent="0.2">
      <c r="A303" s="98"/>
      <c r="B303" s="654" t="s">
        <v>226</v>
      </c>
      <c r="C303" s="655"/>
      <c r="D303" s="655"/>
      <c r="E303" s="656"/>
      <c r="F303" s="413">
        <f>0.57*X2</f>
        <v>562.02</v>
      </c>
      <c r="G303" s="325">
        <f t="shared" ref="G303:G307" si="731">+F303*$X$1</f>
        <v>562.02</v>
      </c>
      <c r="H303" s="529"/>
      <c r="I303" s="529"/>
      <c r="J303" s="125"/>
      <c r="K303" s="304"/>
      <c r="L303" s="529">
        <f t="shared" si="727"/>
        <v>662.02</v>
      </c>
      <c r="M303" s="304">
        <f t="shared" si="728"/>
        <v>662.02</v>
      </c>
      <c r="N303" s="529">
        <f t="shared" si="729"/>
        <v>614.02</v>
      </c>
      <c r="O303" s="304">
        <f t="shared" si="730"/>
        <v>614.02</v>
      </c>
      <c r="P303" s="529">
        <f t="shared" si="718"/>
        <v>606.02</v>
      </c>
      <c r="Q303" s="304">
        <f t="shared" si="719"/>
        <v>606.02</v>
      </c>
      <c r="R303" s="529">
        <f t="shared" si="720"/>
        <v>599.02</v>
      </c>
      <c r="S303" s="304">
        <f t="shared" si="721"/>
        <v>599.02</v>
      </c>
      <c r="T303" s="104">
        <f t="shared" si="722"/>
        <v>591.02</v>
      </c>
      <c r="U303" s="325">
        <f t="shared" si="723"/>
        <v>591.02</v>
      </c>
      <c r="V303" s="104">
        <f t="shared" si="724"/>
        <v>587.02</v>
      </c>
      <c r="W303" s="325">
        <f t="shared" si="725"/>
        <v>587.02</v>
      </c>
      <c r="X303" s="136"/>
      <c r="Y303" s="144"/>
      <c r="Z303" s="144"/>
      <c r="AA303" s="144"/>
      <c r="AB303" s="442">
        <v>2174</v>
      </c>
      <c r="AC303" s="67"/>
      <c r="AD303" s="22"/>
    </row>
    <row r="304" spans="1:34" ht="12.6" customHeight="1" x14ac:dyDescent="0.2">
      <c r="A304" s="98"/>
      <c r="B304" s="1187" t="s">
        <v>227</v>
      </c>
      <c r="C304" s="1188"/>
      <c r="D304" s="1188"/>
      <c r="E304" s="1189"/>
      <c r="F304" s="412">
        <f>0.57*X2</f>
        <v>562.02</v>
      </c>
      <c r="G304" s="268">
        <f t="shared" si="731"/>
        <v>562.02</v>
      </c>
      <c r="H304" s="590"/>
      <c r="I304" s="590"/>
      <c r="J304" s="126"/>
      <c r="K304" s="303"/>
      <c r="L304" s="590">
        <f t="shared" si="727"/>
        <v>662.02</v>
      </c>
      <c r="M304" s="303">
        <f t="shared" si="728"/>
        <v>662.02</v>
      </c>
      <c r="N304" s="590">
        <f t="shared" si="729"/>
        <v>614.02</v>
      </c>
      <c r="O304" s="303">
        <f t="shared" si="730"/>
        <v>614.02</v>
      </c>
      <c r="P304" s="590">
        <f t="shared" si="718"/>
        <v>606.02</v>
      </c>
      <c r="Q304" s="303">
        <f t="shared" si="719"/>
        <v>606.02</v>
      </c>
      <c r="R304" s="590">
        <f t="shared" si="720"/>
        <v>599.02</v>
      </c>
      <c r="S304" s="303">
        <f t="shared" si="721"/>
        <v>599.02</v>
      </c>
      <c r="T304" s="105">
        <f t="shared" si="722"/>
        <v>591.02</v>
      </c>
      <c r="U304" s="268">
        <f t="shared" si="723"/>
        <v>591.02</v>
      </c>
      <c r="V304" s="105">
        <f t="shared" si="724"/>
        <v>587.02</v>
      </c>
      <c r="W304" s="268">
        <f t="shared" si="725"/>
        <v>587.02</v>
      </c>
      <c r="X304" s="136"/>
      <c r="Y304" s="144"/>
      <c r="Z304" s="144"/>
      <c r="AA304" s="144"/>
      <c r="AB304" s="442" t="s">
        <v>356</v>
      </c>
      <c r="AC304" s="67"/>
      <c r="AD304" s="22"/>
    </row>
    <row r="305" spans="1:34" ht="12.6" customHeight="1" x14ac:dyDescent="0.2">
      <c r="A305" s="98"/>
      <c r="B305" s="674" t="s">
        <v>728</v>
      </c>
      <c r="C305" s="675"/>
      <c r="D305" s="675"/>
      <c r="E305" s="675"/>
      <c r="F305" s="413">
        <f>0.58*X2</f>
        <v>571.88</v>
      </c>
      <c r="G305" s="325">
        <f t="shared" si="731"/>
        <v>571.88</v>
      </c>
      <c r="H305" s="529"/>
      <c r="I305" s="529"/>
      <c r="J305" s="125"/>
      <c r="K305" s="304"/>
      <c r="L305" s="529">
        <f t="shared" si="727"/>
        <v>671.88</v>
      </c>
      <c r="M305" s="304">
        <f t="shared" si="728"/>
        <v>671.88</v>
      </c>
      <c r="N305" s="529">
        <f t="shared" si="729"/>
        <v>623.88</v>
      </c>
      <c r="O305" s="304">
        <f t="shared" si="730"/>
        <v>623.88</v>
      </c>
      <c r="P305" s="529">
        <f t="shared" si="718"/>
        <v>615.88</v>
      </c>
      <c r="Q305" s="304">
        <f t="shared" si="719"/>
        <v>615.88</v>
      </c>
      <c r="R305" s="529">
        <f t="shared" si="720"/>
        <v>608.88</v>
      </c>
      <c r="S305" s="304">
        <f t="shared" si="721"/>
        <v>608.88</v>
      </c>
      <c r="T305" s="104">
        <f t="shared" si="722"/>
        <v>600.88</v>
      </c>
      <c r="U305" s="325">
        <f t="shared" si="723"/>
        <v>600.88</v>
      </c>
      <c r="V305" s="104">
        <f t="shared" si="724"/>
        <v>596.88</v>
      </c>
      <c r="W305" s="325">
        <f t="shared" si="725"/>
        <v>596.88</v>
      </c>
      <c r="X305" s="136"/>
      <c r="Y305" s="144"/>
      <c r="Z305" s="144"/>
      <c r="AA305" s="144"/>
      <c r="AB305" s="442">
        <v>2180</v>
      </c>
      <c r="AC305" s="22"/>
      <c r="AD305" s="22"/>
    </row>
    <row r="306" spans="1:34" ht="12" customHeight="1" x14ac:dyDescent="0.2">
      <c r="A306" s="193"/>
      <c r="B306" s="622" t="s">
        <v>228</v>
      </c>
      <c r="C306" s="644"/>
      <c r="D306" s="644"/>
      <c r="E306" s="645"/>
      <c r="F306" s="412">
        <f>0.8*X2</f>
        <v>788.80000000000007</v>
      </c>
      <c r="G306" s="268">
        <f t="shared" si="731"/>
        <v>788.80000000000007</v>
      </c>
      <c r="H306" s="621"/>
      <c r="I306" s="621"/>
      <c r="J306" s="126"/>
      <c r="K306" s="303"/>
      <c r="L306" s="621">
        <f t="shared" si="727"/>
        <v>888.80000000000007</v>
      </c>
      <c r="M306" s="303">
        <f t="shared" si="728"/>
        <v>888.80000000000007</v>
      </c>
      <c r="N306" s="621">
        <f t="shared" si="729"/>
        <v>840.80000000000007</v>
      </c>
      <c r="O306" s="303">
        <f t="shared" si="730"/>
        <v>840.80000000000007</v>
      </c>
      <c r="P306" s="621"/>
      <c r="Q306" s="303"/>
      <c r="R306" s="621"/>
      <c r="S306" s="303"/>
      <c r="T306" s="105"/>
      <c r="U306" s="268"/>
      <c r="V306" s="105"/>
      <c r="W306" s="268"/>
      <c r="X306" s="136"/>
      <c r="Y306" s="136"/>
      <c r="Z306" s="136"/>
      <c r="AA306" s="136"/>
      <c r="AB306" s="442">
        <v>2184</v>
      </c>
    </row>
    <row r="307" spans="1:34" ht="12" customHeight="1" x14ac:dyDescent="0.2">
      <c r="A307" s="193"/>
      <c r="B307" s="682" t="s">
        <v>229</v>
      </c>
      <c r="C307" s="683"/>
      <c r="D307" s="683"/>
      <c r="E307" s="684"/>
      <c r="F307" s="413">
        <f>0.71*X2</f>
        <v>700.06</v>
      </c>
      <c r="G307" s="325">
        <f t="shared" si="731"/>
        <v>700.06</v>
      </c>
      <c r="H307" s="529"/>
      <c r="I307" s="529"/>
      <c r="J307" s="125"/>
      <c r="K307" s="304"/>
      <c r="L307" s="529">
        <f t="shared" si="727"/>
        <v>800.06</v>
      </c>
      <c r="M307" s="304">
        <f t="shared" si="728"/>
        <v>800.06</v>
      </c>
      <c r="N307" s="529">
        <f t="shared" si="729"/>
        <v>752.06</v>
      </c>
      <c r="O307" s="304">
        <f t="shared" si="730"/>
        <v>752.06</v>
      </c>
      <c r="P307" s="529">
        <f t="shared" ref="P307:P312" si="732">F307+44</f>
        <v>744.06</v>
      </c>
      <c r="Q307" s="304">
        <f t="shared" ref="Q307:Q312" si="733">+P307*$X$1</f>
        <v>744.06</v>
      </c>
      <c r="R307" s="529">
        <f t="shared" ref="R307:R312" si="734">F307+37</f>
        <v>737.06</v>
      </c>
      <c r="S307" s="304">
        <f t="shared" ref="S307:S312" si="735">+R307*$X$1</f>
        <v>737.06</v>
      </c>
      <c r="T307" s="104">
        <f t="shared" ref="T307:T312" si="736">F307+29</f>
        <v>729.06</v>
      </c>
      <c r="U307" s="325">
        <f t="shared" ref="U307:U312" si="737">+T307*$X$1</f>
        <v>729.06</v>
      </c>
      <c r="V307" s="104">
        <f t="shared" ref="V307:V312" si="738">F307+25</f>
        <v>725.06</v>
      </c>
      <c r="W307" s="325">
        <f t="shared" ref="W307:W312" si="739">+V307*$X$1</f>
        <v>725.06</v>
      </c>
      <c r="X307" s="136"/>
      <c r="Y307" s="136"/>
      <c r="Z307" s="136"/>
      <c r="AA307" s="136"/>
      <c r="AB307" s="442" t="s">
        <v>230</v>
      </c>
    </row>
    <row r="308" spans="1:34" ht="12" customHeight="1" x14ac:dyDescent="0.2">
      <c r="A308" s="98"/>
      <c r="B308" s="622" t="s">
        <v>231</v>
      </c>
      <c r="C308" s="623"/>
      <c r="D308" s="623"/>
      <c r="E308" s="624"/>
      <c r="F308" s="412">
        <f>0.372*X2</f>
        <v>366.79199999999997</v>
      </c>
      <c r="G308" s="268">
        <f t="shared" ref="G308:G310" si="740">+F308*$X$1</f>
        <v>366.79199999999997</v>
      </c>
      <c r="H308" s="621"/>
      <c r="I308" s="621"/>
      <c r="J308" s="126"/>
      <c r="K308" s="303"/>
      <c r="L308" s="621">
        <f t="shared" ref="L308:L312" si="741">F308+100</f>
        <v>466.79199999999997</v>
      </c>
      <c r="M308" s="303">
        <f t="shared" ref="M308:M312" si="742">+L308*$X$1</f>
        <v>466.79199999999997</v>
      </c>
      <c r="N308" s="621">
        <f t="shared" ref="N308:N312" si="743">F308+52</f>
        <v>418.79199999999997</v>
      </c>
      <c r="O308" s="303">
        <f t="shared" ref="O308:O312" si="744">+N308*$X$1</f>
        <v>418.79199999999997</v>
      </c>
      <c r="P308" s="621">
        <f t="shared" si="732"/>
        <v>410.79199999999997</v>
      </c>
      <c r="Q308" s="303">
        <f t="shared" si="733"/>
        <v>410.79199999999997</v>
      </c>
      <c r="R308" s="621">
        <f t="shared" si="734"/>
        <v>403.79199999999997</v>
      </c>
      <c r="S308" s="303">
        <f t="shared" si="735"/>
        <v>403.79199999999997</v>
      </c>
      <c r="T308" s="105">
        <f t="shared" si="736"/>
        <v>395.79199999999997</v>
      </c>
      <c r="U308" s="268">
        <f t="shared" si="737"/>
        <v>395.79199999999997</v>
      </c>
      <c r="V308" s="105">
        <f t="shared" si="738"/>
        <v>391.79199999999997</v>
      </c>
      <c r="W308" s="268">
        <f t="shared" si="739"/>
        <v>391.79199999999997</v>
      </c>
      <c r="X308" s="136"/>
      <c r="Y308" s="136"/>
      <c r="Z308" s="136"/>
      <c r="AA308" s="136"/>
      <c r="AB308" s="442">
        <v>2189</v>
      </c>
    </row>
    <row r="309" spans="1:34" ht="12.6" customHeight="1" x14ac:dyDescent="0.2">
      <c r="A309" s="98"/>
      <c r="B309" s="682" t="s">
        <v>232</v>
      </c>
      <c r="C309" s="683"/>
      <c r="D309" s="683"/>
      <c r="E309" s="684"/>
      <c r="F309" s="413">
        <f>0.6*X2</f>
        <v>591.6</v>
      </c>
      <c r="G309" s="325">
        <f t="shared" si="740"/>
        <v>591.6</v>
      </c>
      <c r="H309" s="529"/>
      <c r="I309" s="529"/>
      <c r="J309" s="125"/>
      <c r="K309" s="304"/>
      <c r="L309" s="529">
        <f t="shared" si="741"/>
        <v>691.6</v>
      </c>
      <c r="M309" s="304">
        <f t="shared" si="742"/>
        <v>691.6</v>
      </c>
      <c r="N309" s="529">
        <f t="shared" si="743"/>
        <v>643.6</v>
      </c>
      <c r="O309" s="304">
        <f t="shared" si="744"/>
        <v>643.6</v>
      </c>
      <c r="P309" s="529">
        <f t="shared" si="732"/>
        <v>635.6</v>
      </c>
      <c r="Q309" s="304">
        <f t="shared" si="733"/>
        <v>635.6</v>
      </c>
      <c r="R309" s="529">
        <f t="shared" si="734"/>
        <v>628.6</v>
      </c>
      <c r="S309" s="304">
        <f t="shared" si="735"/>
        <v>628.6</v>
      </c>
      <c r="T309" s="104">
        <f t="shared" si="736"/>
        <v>620.6</v>
      </c>
      <c r="U309" s="325">
        <f t="shared" si="737"/>
        <v>620.6</v>
      </c>
      <c r="V309" s="104">
        <f t="shared" si="738"/>
        <v>616.6</v>
      </c>
      <c r="W309" s="325">
        <f t="shared" si="739"/>
        <v>616.6</v>
      </c>
      <c r="X309" s="136"/>
      <c r="Y309" s="136"/>
      <c r="Z309" s="136"/>
      <c r="AA309" s="136"/>
      <c r="AB309" s="442">
        <v>2190</v>
      </c>
    </row>
    <row r="310" spans="1:34" ht="12.6" customHeight="1" x14ac:dyDescent="0.2">
      <c r="A310" s="18"/>
      <c r="B310" s="1199" t="s">
        <v>233</v>
      </c>
      <c r="C310" s="623"/>
      <c r="D310" s="623"/>
      <c r="E310" s="624"/>
      <c r="F310" s="412">
        <f>0.521*X2</f>
        <v>513.70600000000002</v>
      </c>
      <c r="G310" s="268">
        <f t="shared" si="740"/>
        <v>513.70600000000002</v>
      </c>
      <c r="H310" s="621"/>
      <c r="I310" s="621"/>
      <c r="J310" s="126"/>
      <c r="K310" s="303"/>
      <c r="L310" s="621">
        <f t="shared" si="741"/>
        <v>613.70600000000002</v>
      </c>
      <c r="M310" s="303">
        <f t="shared" si="742"/>
        <v>613.70600000000002</v>
      </c>
      <c r="N310" s="621">
        <f t="shared" si="743"/>
        <v>565.70600000000002</v>
      </c>
      <c r="O310" s="303">
        <f t="shared" si="744"/>
        <v>565.70600000000002</v>
      </c>
      <c r="P310" s="621">
        <f t="shared" si="732"/>
        <v>557.70600000000002</v>
      </c>
      <c r="Q310" s="303">
        <f t="shared" si="733"/>
        <v>557.70600000000002</v>
      </c>
      <c r="R310" s="621">
        <f t="shared" si="734"/>
        <v>550.70600000000002</v>
      </c>
      <c r="S310" s="303">
        <f t="shared" si="735"/>
        <v>550.70600000000002</v>
      </c>
      <c r="T310" s="105">
        <f t="shared" si="736"/>
        <v>542.70600000000002</v>
      </c>
      <c r="U310" s="268">
        <f t="shared" si="737"/>
        <v>542.70600000000002</v>
      </c>
      <c r="V310" s="105">
        <f t="shared" si="738"/>
        <v>538.70600000000002</v>
      </c>
      <c r="W310" s="268">
        <f t="shared" si="739"/>
        <v>538.70600000000002</v>
      </c>
      <c r="X310" s="190"/>
      <c r="Y310" s="191"/>
      <c r="Z310" s="191"/>
      <c r="AA310" s="190"/>
      <c r="AB310" s="442">
        <v>2193</v>
      </c>
    </row>
    <row r="311" spans="1:34" ht="12.6" customHeight="1" x14ac:dyDescent="0.2">
      <c r="A311" s="18"/>
      <c r="B311" s="674" t="s">
        <v>234</v>
      </c>
      <c r="C311" s="675"/>
      <c r="D311" s="675"/>
      <c r="E311" s="675"/>
      <c r="F311" s="413">
        <f>0.57*X2</f>
        <v>562.02</v>
      </c>
      <c r="G311" s="325">
        <f>+F311*$X$1</f>
        <v>562.02</v>
      </c>
      <c r="H311" s="529"/>
      <c r="I311" s="529"/>
      <c r="J311" s="125"/>
      <c r="K311" s="304"/>
      <c r="L311" s="529">
        <f t="shared" si="741"/>
        <v>662.02</v>
      </c>
      <c r="M311" s="304">
        <f t="shared" si="742"/>
        <v>662.02</v>
      </c>
      <c r="N311" s="529">
        <f t="shared" si="743"/>
        <v>614.02</v>
      </c>
      <c r="O311" s="304">
        <f t="shared" si="744"/>
        <v>614.02</v>
      </c>
      <c r="P311" s="529">
        <f t="shared" si="732"/>
        <v>606.02</v>
      </c>
      <c r="Q311" s="304">
        <f t="shared" si="733"/>
        <v>606.02</v>
      </c>
      <c r="R311" s="529">
        <f t="shared" si="734"/>
        <v>599.02</v>
      </c>
      <c r="S311" s="304">
        <f t="shared" si="735"/>
        <v>599.02</v>
      </c>
      <c r="T311" s="104">
        <f t="shared" si="736"/>
        <v>591.02</v>
      </c>
      <c r="U311" s="325">
        <f t="shared" si="737"/>
        <v>591.02</v>
      </c>
      <c r="V311" s="104">
        <f t="shared" si="738"/>
        <v>587.02</v>
      </c>
      <c r="W311" s="325">
        <f t="shared" si="739"/>
        <v>587.02</v>
      </c>
      <c r="X311" s="136"/>
      <c r="Y311" s="136"/>
      <c r="Z311" s="136"/>
      <c r="AA311" s="136"/>
      <c r="AB311" s="442">
        <v>2194</v>
      </c>
    </row>
    <row r="312" spans="1:34" ht="12.6" customHeight="1" x14ac:dyDescent="0.2">
      <c r="A312" s="18"/>
      <c r="B312" s="1200" t="s">
        <v>235</v>
      </c>
      <c r="C312" s="1201"/>
      <c r="D312" s="1201"/>
      <c r="E312" s="1202"/>
      <c r="F312" s="412">
        <f>0.67*X2</f>
        <v>660.62</v>
      </c>
      <c r="G312" s="268">
        <f>+F312*$X$1</f>
        <v>660.62</v>
      </c>
      <c r="H312" s="621"/>
      <c r="I312" s="621"/>
      <c r="J312" s="126"/>
      <c r="K312" s="303"/>
      <c r="L312" s="621">
        <f t="shared" si="741"/>
        <v>760.62</v>
      </c>
      <c r="M312" s="303">
        <f t="shared" si="742"/>
        <v>760.62</v>
      </c>
      <c r="N312" s="621">
        <f t="shared" si="743"/>
        <v>712.62</v>
      </c>
      <c r="O312" s="303">
        <f t="shared" si="744"/>
        <v>712.62</v>
      </c>
      <c r="P312" s="621">
        <f t="shared" si="732"/>
        <v>704.62</v>
      </c>
      <c r="Q312" s="303">
        <f t="shared" si="733"/>
        <v>704.62</v>
      </c>
      <c r="R312" s="621">
        <f t="shared" si="734"/>
        <v>697.62</v>
      </c>
      <c r="S312" s="303">
        <f t="shared" si="735"/>
        <v>697.62</v>
      </c>
      <c r="T312" s="105">
        <f t="shared" si="736"/>
        <v>689.62</v>
      </c>
      <c r="U312" s="268">
        <f t="shared" si="737"/>
        <v>689.62</v>
      </c>
      <c r="V312" s="105">
        <f t="shared" si="738"/>
        <v>685.62</v>
      </c>
      <c r="W312" s="268">
        <f t="shared" si="739"/>
        <v>685.62</v>
      </c>
      <c r="X312" s="136"/>
      <c r="Y312" s="136"/>
      <c r="Z312" s="136"/>
      <c r="AA312" s="136"/>
      <c r="AB312" s="442">
        <v>2195</v>
      </c>
    </row>
    <row r="313" spans="1:34" ht="12.6" customHeight="1" x14ac:dyDescent="0.2">
      <c r="A313" s="18"/>
      <c r="B313" s="674" t="s">
        <v>236</v>
      </c>
      <c r="C313" s="675"/>
      <c r="D313" s="675"/>
      <c r="E313" s="675"/>
      <c r="F313" s="413">
        <f>0.652*X2</f>
        <v>642.87200000000007</v>
      </c>
      <c r="G313" s="325">
        <f>+F313*$X$1</f>
        <v>642.87200000000007</v>
      </c>
      <c r="H313" s="529"/>
      <c r="I313" s="529"/>
      <c r="J313" s="529"/>
      <c r="K313" s="304"/>
      <c r="L313" s="529">
        <f>F313+100</f>
        <v>742.87200000000007</v>
      </c>
      <c r="M313" s="304">
        <f>+L313*$X$1</f>
        <v>742.87200000000007</v>
      </c>
      <c r="N313" s="529">
        <f>F313+52</f>
        <v>694.87200000000007</v>
      </c>
      <c r="O313" s="304">
        <f>+N313*$X$1</f>
        <v>694.87200000000007</v>
      </c>
      <c r="P313" s="529">
        <f>F313+44</f>
        <v>686.87200000000007</v>
      </c>
      <c r="Q313" s="304">
        <f>+P313*$X$1</f>
        <v>686.87200000000007</v>
      </c>
      <c r="R313" s="529"/>
      <c r="S313" s="304"/>
      <c r="T313" s="104"/>
      <c r="U313" s="325"/>
      <c r="V313" s="104"/>
      <c r="W313" s="325"/>
      <c r="X313" s="136"/>
      <c r="Y313" s="136"/>
      <c r="Z313" s="136"/>
      <c r="AA313" s="136"/>
      <c r="AB313" s="442">
        <v>2198</v>
      </c>
    </row>
    <row r="314" spans="1:34" ht="12.6" customHeight="1" x14ac:dyDescent="0.2">
      <c r="A314" s="108"/>
      <c r="B314" s="628" t="s">
        <v>346</v>
      </c>
      <c r="C314" s="649"/>
      <c r="D314" s="649"/>
      <c r="E314" s="649"/>
      <c r="F314" s="412">
        <f>0.53*X2</f>
        <v>522.58000000000004</v>
      </c>
      <c r="G314" s="268">
        <f>+F314*$X$1</f>
        <v>522.58000000000004</v>
      </c>
      <c r="H314" s="621"/>
      <c r="I314" s="621"/>
      <c r="J314" s="621"/>
      <c r="K314" s="303"/>
      <c r="L314" s="621">
        <f>F314+100</f>
        <v>622.58000000000004</v>
      </c>
      <c r="M314" s="303">
        <f>+L314*$X$1</f>
        <v>622.58000000000004</v>
      </c>
      <c r="N314" s="621">
        <f>F314+52</f>
        <v>574.58000000000004</v>
      </c>
      <c r="O314" s="303">
        <f>+N314*$X$1</f>
        <v>574.58000000000004</v>
      </c>
      <c r="P314" s="621">
        <f>F314+44</f>
        <v>566.58000000000004</v>
      </c>
      <c r="Q314" s="303">
        <f>+P314*$X$1</f>
        <v>566.58000000000004</v>
      </c>
      <c r="R314" s="621">
        <f>F314+37</f>
        <v>559.58000000000004</v>
      </c>
      <c r="S314" s="303">
        <f>+R314*$X$1</f>
        <v>559.58000000000004</v>
      </c>
      <c r="T314" s="105">
        <f>F314+29</f>
        <v>551.58000000000004</v>
      </c>
      <c r="U314" s="268">
        <f>+T314*$X$1</f>
        <v>551.58000000000004</v>
      </c>
      <c r="V314" s="105">
        <f>F314+25</f>
        <v>547.58000000000004</v>
      </c>
      <c r="W314" s="268">
        <f>+V314*$X$1</f>
        <v>547.58000000000004</v>
      </c>
      <c r="X314" s="161"/>
      <c r="Y314" s="136"/>
      <c r="Z314" s="136"/>
      <c r="AA314" s="136"/>
      <c r="AB314" s="442">
        <v>2202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653" t="s">
        <v>11</v>
      </c>
      <c r="C318" s="731" t="s">
        <v>12</v>
      </c>
      <c r="D318" s="732"/>
      <c r="E318" s="732"/>
      <c r="F318" s="806" t="s">
        <v>13</v>
      </c>
      <c r="G318" s="806" t="s">
        <v>13</v>
      </c>
      <c r="H318" s="660" t="s">
        <v>856</v>
      </c>
      <c r="I318" s="660"/>
      <c r="J318" s="661"/>
      <c r="K318" s="661"/>
      <c r="L318" s="661"/>
      <c r="M318" s="661"/>
      <c r="N318" s="661"/>
      <c r="O318" s="661"/>
      <c r="P318" s="661"/>
      <c r="Q318" s="661"/>
      <c r="R318" s="661"/>
      <c r="S318" s="661"/>
      <c r="T318" s="661"/>
      <c r="U318" s="661"/>
      <c r="V318" s="661"/>
      <c r="W318" s="661"/>
      <c r="X318" s="635" t="s">
        <v>14</v>
      </c>
      <c r="Y318" s="636"/>
      <c r="Z318" s="636"/>
      <c r="AA318" s="637"/>
      <c r="AB318" s="633" t="s">
        <v>15</v>
      </c>
      <c r="AF318" s="631" t="s">
        <v>3</v>
      </c>
      <c r="AG318" s="632"/>
      <c r="AH318" s="632"/>
    </row>
    <row r="319" spans="1:34" ht="11.25" customHeight="1" x14ac:dyDescent="0.2">
      <c r="A319" s="18"/>
      <c r="B319" s="653"/>
      <c r="C319" s="732"/>
      <c r="D319" s="732"/>
      <c r="E319" s="732"/>
      <c r="F319" s="807"/>
      <c r="G319" s="807"/>
      <c r="H319" s="568"/>
      <c r="I319" s="560" t="s">
        <v>298</v>
      </c>
      <c r="J319" s="562"/>
      <c r="K319" s="560" t="s">
        <v>17</v>
      </c>
      <c r="L319" s="563"/>
      <c r="M319" s="563" t="s">
        <v>18</v>
      </c>
      <c r="N319" s="563"/>
      <c r="O319" s="560" t="s">
        <v>19</v>
      </c>
      <c r="P319" s="563"/>
      <c r="Q319" s="563" t="s">
        <v>300</v>
      </c>
      <c r="R319" s="563"/>
      <c r="S319" s="563" t="s">
        <v>20</v>
      </c>
      <c r="T319" s="563"/>
      <c r="U319" s="563" t="s">
        <v>21</v>
      </c>
      <c r="V319" s="563"/>
      <c r="W319" s="563" t="s">
        <v>22</v>
      </c>
      <c r="X319" s="638"/>
      <c r="Y319" s="639"/>
      <c r="Z319" s="639"/>
      <c r="AA319" s="640"/>
      <c r="AB319" s="634"/>
    </row>
    <row r="320" spans="1:34" ht="12.6" customHeight="1" x14ac:dyDescent="0.2">
      <c r="A320" s="108"/>
      <c r="B320" s="628" t="s">
        <v>347</v>
      </c>
      <c r="C320" s="649"/>
      <c r="D320" s="649"/>
      <c r="E320" s="649"/>
      <c r="F320" s="412">
        <f>0.53*X2</f>
        <v>522.58000000000004</v>
      </c>
      <c r="G320" s="268">
        <f t="shared" ref="G320:G323" si="745">+F320*$X$1</f>
        <v>522.58000000000004</v>
      </c>
      <c r="H320" s="590"/>
      <c r="I320" s="590"/>
      <c r="J320" s="590"/>
      <c r="K320" s="303"/>
      <c r="L320" s="590">
        <f t="shared" ref="L320:L327" si="746">F320+100</f>
        <v>622.58000000000004</v>
      </c>
      <c r="M320" s="303">
        <f t="shared" ref="M320:M328" si="747">+L320*$X$1</f>
        <v>622.58000000000004</v>
      </c>
      <c r="N320" s="590">
        <f t="shared" ref="N320:N327" si="748">F320+52</f>
        <v>574.58000000000004</v>
      </c>
      <c r="O320" s="303">
        <f t="shared" ref="O320:O328" si="749">+N320*$X$1</f>
        <v>574.58000000000004</v>
      </c>
      <c r="P320" s="590">
        <f t="shared" ref="P320:P327" si="750">F320+44</f>
        <v>566.58000000000004</v>
      </c>
      <c r="Q320" s="303">
        <f t="shared" ref="Q320:Q328" si="751">+P320*$X$1</f>
        <v>566.58000000000004</v>
      </c>
      <c r="R320" s="590">
        <f t="shared" ref="R320:R327" si="752">F320+37</f>
        <v>559.58000000000004</v>
      </c>
      <c r="S320" s="303">
        <f t="shared" ref="S320:S328" si="753">+R320*$X$1</f>
        <v>559.58000000000004</v>
      </c>
      <c r="T320" s="105">
        <f t="shared" ref="T320:T327" si="754">F320+29</f>
        <v>551.58000000000004</v>
      </c>
      <c r="U320" s="268">
        <f t="shared" ref="U320:U328" si="755">+T320*$X$1</f>
        <v>551.58000000000004</v>
      </c>
      <c r="V320" s="105">
        <f t="shared" ref="V320:V327" si="756">F320+25</f>
        <v>547.58000000000004</v>
      </c>
      <c r="W320" s="268">
        <f t="shared" ref="W320:W328" si="757">+V320*$X$1</f>
        <v>547.58000000000004</v>
      </c>
      <c r="X320" s="136"/>
      <c r="Y320" s="136"/>
      <c r="Z320" s="136"/>
      <c r="AA320" s="136"/>
      <c r="AB320" s="442" t="s">
        <v>237</v>
      </c>
    </row>
    <row r="321" spans="1:31" ht="12.6" customHeight="1" x14ac:dyDescent="0.2">
      <c r="A321" s="108"/>
      <c r="B321" s="674" t="s">
        <v>348</v>
      </c>
      <c r="C321" s="734"/>
      <c r="D321" s="734"/>
      <c r="E321" s="734"/>
      <c r="F321" s="413">
        <f>0.57*X2</f>
        <v>562.02</v>
      </c>
      <c r="G321" s="325">
        <f t="shared" ref="G321:G324" si="758">+F321*$X$1</f>
        <v>562.02</v>
      </c>
      <c r="H321" s="529"/>
      <c r="I321" s="529"/>
      <c r="J321" s="529"/>
      <c r="K321" s="340"/>
      <c r="L321" s="529">
        <f t="shared" si="746"/>
        <v>662.02</v>
      </c>
      <c r="M321" s="304">
        <f t="shared" si="747"/>
        <v>662.02</v>
      </c>
      <c r="N321" s="529">
        <f t="shared" si="748"/>
        <v>614.02</v>
      </c>
      <c r="O321" s="304">
        <f t="shared" si="749"/>
        <v>614.02</v>
      </c>
      <c r="P321" s="529">
        <f t="shared" si="750"/>
        <v>606.02</v>
      </c>
      <c r="Q321" s="304">
        <f t="shared" si="751"/>
        <v>606.02</v>
      </c>
      <c r="R321" s="529">
        <f t="shared" si="752"/>
        <v>599.02</v>
      </c>
      <c r="S321" s="304">
        <f t="shared" si="753"/>
        <v>599.02</v>
      </c>
      <c r="T321" s="104">
        <f t="shared" si="754"/>
        <v>591.02</v>
      </c>
      <c r="U321" s="325">
        <f t="shared" si="755"/>
        <v>591.02</v>
      </c>
      <c r="V321" s="104">
        <f t="shared" si="756"/>
        <v>587.02</v>
      </c>
      <c r="W321" s="325">
        <f t="shared" si="757"/>
        <v>587.02</v>
      </c>
      <c r="X321" s="136"/>
      <c r="Y321" s="136"/>
      <c r="Z321" s="136"/>
      <c r="AA321" s="136"/>
      <c r="AB321" s="442" t="s">
        <v>238</v>
      </c>
    </row>
    <row r="322" spans="1:31" ht="12.6" customHeight="1" x14ac:dyDescent="0.2">
      <c r="A322" s="108"/>
      <c r="B322" s="926" t="s">
        <v>673</v>
      </c>
      <c r="C322" s="1169"/>
      <c r="D322" s="1169"/>
      <c r="E322" s="1170"/>
      <c r="F322" s="412">
        <f>0.68*X2</f>
        <v>670.48</v>
      </c>
      <c r="G322" s="268">
        <f t="shared" si="758"/>
        <v>670.48</v>
      </c>
      <c r="H322" s="590"/>
      <c r="I322" s="590"/>
      <c r="J322" s="590"/>
      <c r="K322" s="303"/>
      <c r="L322" s="590">
        <f t="shared" si="746"/>
        <v>770.48</v>
      </c>
      <c r="M322" s="303">
        <f t="shared" si="747"/>
        <v>770.48</v>
      </c>
      <c r="N322" s="590">
        <f t="shared" si="748"/>
        <v>722.48</v>
      </c>
      <c r="O322" s="303">
        <f t="shared" si="749"/>
        <v>722.48</v>
      </c>
      <c r="P322" s="590">
        <f t="shared" si="750"/>
        <v>714.48</v>
      </c>
      <c r="Q322" s="303">
        <f t="shared" si="751"/>
        <v>714.48</v>
      </c>
      <c r="R322" s="590">
        <f t="shared" si="752"/>
        <v>707.48</v>
      </c>
      <c r="S322" s="303">
        <f t="shared" si="753"/>
        <v>707.48</v>
      </c>
      <c r="T322" s="105">
        <f t="shared" si="754"/>
        <v>699.48</v>
      </c>
      <c r="U322" s="268">
        <f t="shared" si="755"/>
        <v>699.48</v>
      </c>
      <c r="V322" s="105">
        <f t="shared" si="756"/>
        <v>695.48</v>
      </c>
      <c r="W322" s="268">
        <f t="shared" si="757"/>
        <v>695.48</v>
      </c>
      <c r="X322" s="626"/>
      <c r="Y322" s="626"/>
      <c r="Z322" s="626"/>
      <c r="AA322" s="627"/>
      <c r="AB322" s="442" t="s">
        <v>677</v>
      </c>
      <c r="AC322" s="66"/>
      <c r="AE322" s="88"/>
    </row>
    <row r="323" spans="1:31" ht="12.6" customHeight="1" x14ac:dyDescent="0.2">
      <c r="A323" s="108"/>
      <c r="B323" s="657" t="s">
        <v>239</v>
      </c>
      <c r="C323" s="1177"/>
      <c r="D323" s="1177"/>
      <c r="E323" s="1178"/>
      <c r="F323" s="413">
        <f>0.75*X2</f>
        <v>739.5</v>
      </c>
      <c r="G323" s="325">
        <f t="shared" si="745"/>
        <v>739.5</v>
      </c>
      <c r="H323" s="529"/>
      <c r="I323" s="529"/>
      <c r="J323" s="529"/>
      <c r="K323" s="304"/>
      <c r="L323" s="529">
        <f t="shared" si="746"/>
        <v>839.5</v>
      </c>
      <c r="M323" s="304">
        <f t="shared" si="747"/>
        <v>839.5</v>
      </c>
      <c r="N323" s="529">
        <f t="shared" si="748"/>
        <v>791.5</v>
      </c>
      <c r="O323" s="304">
        <f t="shared" si="749"/>
        <v>791.5</v>
      </c>
      <c r="P323" s="529">
        <f t="shared" si="750"/>
        <v>783.5</v>
      </c>
      <c r="Q323" s="304">
        <f t="shared" si="751"/>
        <v>783.5</v>
      </c>
      <c r="R323" s="529">
        <f t="shared" si="752"/>
        <v>776.5</v>
      </c>
      <c r="S323" s="304">
        <f t="shared" si="753"/>
        <v>776.5</v>
      </c>
      <c r="T323" s="104">
        <f t="shared" si="754"/>
        <v>768.5</v>
      </c>
      <c r="U323" s="325">
        <f t="shared" si="755"/>
        <v>768.5</v>
      </c>
      <c r="V323" s="104">
        <f t="shared" si="756"/>
        <v>764.5</v>
      </c>
      <c r="W323" s="325">
        <f t="shared" si="757"/>
        <v>764.5</v>
      </c>
      <c r="X323" s="626"/>
      <c r="Y323" s="626"/>
      <c r="Z323" s="626"/>
      <c r="AA323" s="627"/>
      <c r="AB323" s="442" t="s">
        <v>240</v>
      </c>
      <c r="AC323" s="66"/>
      <c r="AE323" s="88"/>
    </row>
    <row r="324" spans="1:31" ht="12.6" customHeight="1" x14ac:dyDescent="0.2">
      <c r="A324" s="98"/>
      <c r="B324" s="926" t="s">
        <v>241</v>
      </c>
      <c r="C324" s="1190"/>
      <c r="D324" s="1190"/>
      <c r="E324" s="1191"/>
      <c r="F324" s="412">
        <f>0.745*X2</f>
        <v>734.57</v>
      </c>
      <c r="G324" s="268">
        <f t="shared" si="758"/>
        <v>734.57</v>
      </c>
      <c r="H324" s="590"/>
      <c r="I324" s="590"/>
      <c r="J324" s="590"/>
      <c r="K324" s="303"/>
      <c r="L324" s="590">
        <f t="shared" si="746"/>
        <v>834.57</v>
      </c>
      <c r="M324" s="303">
        <f t="shared" si="747"/>
        <v>834.57</v>
      </c>
      <c r="N324" s="590">
        <f t="shared" si="748"/>
        <v>786.57</v>
      </c>
      <c r="O324" s="303">
        <f t="shared" si="749"/>
        <v>786.57</v>
      </c>
      <c r="P324" s="590">
        <f t="shared" si="750"/>
        <v>778.57</v>
      </c>
      <c r="Q324" s="303">
        <f t="shared" si="751"/>
        <v>778.57</v>
      </c>
      <c r="R324" s="590">
        <f t="shared" si="752"/>
        <v>771.57</v>
      </c>
      <c r="S324" s="303">
        <f t="shared" si="753"/>
        <v>771.57</v>
      </c>
      <c r="T324" s="105">
        <f t="shared" si="754"/>
        <v>763.57</v>
      </c>
      <c r="U324" s="268">
        <f t="shared" si="755"/>
        <v>763.57</v>
      </c>
      <c r="V324" s="105">
        <f t="shared" si="756"/>
        <v>759.57</v>
      </c>
      <c r="W324" s="268">
        <f t="shared" si="757"/>
        <v>759.57</v>
      </c>
      <c r="X324" s="177"/>
      <c r="Y324" s="136"/>
      <c r="Z324" s="136"/>
      <c r="AA324" s="136"/>
      <c r="AB324" s="442">
        <v>2203</v>
      </c>
      <c r="AC324" s="236"/>
    </row>
    <row r="325" spans="1:31" ht="12.6" customHeight="1" x14ac:dyDescent="0.2">
      <c r="A325" s="98"/>
      <c r="B325" s="665" t="s">
        <v>242</v>
      </c>
      <c r="C325" s="1148"/>
      <c r="D325" s="1148"/>
      <c r="E325" s="1148"/>
      <c r="F325" s="413">
        <f>0.79*X2</f>
        <v>778.94</v>
      </c>
      <c r="G325" s="325">
        <f>+F325*$X$1</f>
        <v>778.94</v>
      </c>
      <c r="H325" s="529"/>
      <c r="I325" s="529"/>
      <c r="J325" s="529"/>
      <c r="K325" s="304"/>
      <c r="L325" s="529">
        <f t="shared" si="746"/>
        <v>878.94</v>
      </c>
      <c r="M325" s="304">
        <f t="shared" si="747"/>
        <v>878.94</v>
      </c>
      <c r="N325" s="529">
        <f t="shared" si="748"/>
        <v>830.94</v>
      </c>
      <c r="O325" s="304">
        <f t="shared" si="749"/>
        <v>830.94</v>
      </c>
      <c r="P325" s="529">
        <f t="shared" si="750"/>
        <v>822.94</v>
      </c>
      <c r="Q325" s="304">
        <f t="shared" si="751"/>
        <v>822.94</v>
      </c>
      <c r="R325" s="529">
        <f t="shared" si="752"/>
        <v>815.94</v>
      </c>
      <c r="S325" s="304">
        <f t="shared" si="753"/>
        <v>815.94</v>
      </c>
      <c r="T325" s="104">
        <f t="shared" si="754"/>
        <v>807.94</v>
      </c>
      <c r="U325" s="325">
        <f t="shared" si="755"/>
        <v>807.94</v>
      </c>
      <c r="V325" s="104">
        <f t="shared" si="756"/>
        <v>803.94</v>
      </c>
      <c r="W325" s="325">
        <f t="shared" si="757"/>
        <v>803.94</v>
      </c>
      <c r="X325" s="178"/>
      <c r="Y325" s="140"/>
      <c r="Z325" s="140"/>
      <c r="AA325" s="143"/>
      <c r="AB325" s="442">
        <v>2205</v>
      </c>
      <c r="AC325" s="66"/>
    </row>
    <row r="326" spans="1:31" ht="12.6" customHeight="1" x14ac:dyDescent="0.2">
      <c r="A326" s="98"/>
      <c r="B326" s="628" t="s">
        <v>243</v>
      </c>
      <c r="C326" s="649"/>
      <c r="D326" s="649"/>
      <c r="E326" s="649"/>
      <c r="F326" s="412">
        <f>0.49*X2</f>
        <v>483.14</v>
      </c>
      <c r="G326" s="268">
        <f>+F326*$X$1</f>
        <v>483.14</v>
      </c>
      <c r="H326" s="590"/>
      <c r="I326" s="590"/>
      <c r="J326" s="590"/>
      <c r="K326" s="303"/>
      <c r="L326" s="590">
        <f t="shared" si="746"/>
        <v>583.14</v>
      </c>
      <c r="M326" s="303">
        <f t="shared" si="747"/>
        <v>583.14</v>
      </c>
      <c r="N326" s="590">
        <f t="shared" si="748"/>
        <v>535.14</v>
      </c>
      <c r="O326" s="303">
        <f t="shared" si="749"/>
        <v>535.14</v>
      </c>
      <c r="P326" s="590">
        <f t="shared" si="750"/>
        <v>527.14</v>
      </c>
      <c r="Q326" s="303">
        <f t="shared" si="751"/>
        <v>527.14</v>
      </c>
      <c r="R326" s="590">
        <f t="shared" si="752"/>
        <v>520.14</v>
      </c>
      <c r="S326" s="303">
        <f t="shared" si="753"/>
        <v>520.14</v>
      </c>
      <c r="T326" s="105">
        <f t="shared" si="754"/>
        <v>512.14</v>
      </c>
      <c r="U326" s="268">
        <f t="shared" si="755"/>
        <v>512.14</v>
      </c>
      <c r="V326" s="105">
        <f t="shared" si="756"/>
        <v>508.14</v>
      </c>
      <c r="W326" s="268">
        <f t="shared" si="757"/>
        <v>508.14</v>
      </c>
      <c r="X326" s="140"/>
      <c r="Y326" s="140"/>
      <c r="Z326" s="140"/>
      <c r="AA326" s="143"/>
      <c r="AB326" s="442">
        <v>2207</v>
      </c>
    </row>
    <row r="327" spans="1:31" ht="12.6" customHeight="1" x14ac:dyDescent="0.2">
      <c r="A327" s="98"/>
      <c r="B327" s="674" t="s">
        <v>244</v>
      </c>
      <c r="C327" s="734"/>
      <c r="D327" s="734"/>
      <c r="E327" s="734"/>
      <c r="F327" s="413">
        <f>0.42*X2</f>
        <v>414.12</v>
      </c>
      <c r="G327" s="374">
        <f>+F327*$X$1</f>
        <v>414.12</v>
      </c>
      <c r="H327" s="96"/>
      <c r="I327" s="96"/>
      <c r="J327" s="96"/>
      <c r="K327" s="306"/>
      <c r="L327" s="529">
        <f t="shared" si="746"/>
        <v>514.12</v>
      </c>
      <c r="M327" s="304">
        <f t="shared" si="747"/>
        <v>514.12</v>
      </c>
      <c r="N327" s="529">
        <f t="shared" si="748"/>
        <v>466.12</v>
      </c>
      <c r="O327" s="304">
        <f t="shared" si="749"/>
        <v>466.12</v>
      </c>
      <c r="P327" s="529">
        <f t="shared" si="750"/>
        <v>458.12</v>
      </c>
      <c r="Q327" s="304">
        <f t="shared" si="751"/>
        <v>458.12</v>
      </c>
      <c r="R327" s="529">
        <f t="shared" si="752"/>
        <v>451.12</v>
      </c>
      <c r="S327" s="304">
        <f t="shared" si="753"/>
        <v>451.12</v>
      </c>
      <c r="T327" s="104">
        <f t="shared" si="754"/>
        <v>443.12</v>
      </c>
      <c r="U327" s="325">
        <f t="shared" si="755"/>
        <v>443.12</v>
      </c>
      <c r="V327" s="104">
        <f t="shared" si="756"/>
        <v>439.12</v>
      </c>
      <c r="W327" s="325">
        <f t="shared" si="757"/>
        <v>439.12</v>
      </c>
      <c r="X327" s="140"/>
      <c r="Y327" s="140"/>
      <c r="Z327" s="140"/>
      <c r="AA327" s="143"/>
      <c r="AB327" s="442">
        <v>2209</v>
      </c>
    </row>
    <row r="328" spans="1:31" ht="12.6" customHeight="1" x14ac:dyDescent="0.2">
      <c r="A328" s="98"/>
      <c r="B328" s="1182" t="s">
        <v>245</v>
      </c>
      <c r="C328" s="1183"/>
      <c r="D328" s="1183"/>
      <c r="E328" s="1183"/>
      <c r="F328" s="412">
        <f>4.17*X2</f>
        <v>4111.62</v>
      </c>
      <c r="G328" s="303">
        <f t="shared" ref="G328" si="759">+F328*$X$1</f>
        <v>4111.62</v>
      </c>
      <c r="H328" s="590">
        <f>F328+310</f>
        <v>4421.62</v>
      </c>
      <c r="I328" s="303">
        <f>+H328*$X$1</f>
        <v>4421.62</v>
      </c>
      <c r="J328" s="590">
        <f>F328+120</f>
        <v>4231.62</v>
      </c>
      <c r="K328" s="303">
        <f t="shared" ref="K328" si="760">+J328*$X$1</f>
        <v>4231.62</v>
      </c>
      <c r="L328" s="590">
        <f>F328+90</f>
        <v>4201.62</v>
      </c>
      <c r="M328" s="303">
        <f t="shared" si="747"/>
        <v>4201.62</v>
      </c>
      <c r="N328" s="590">
        <f>F328+55</f>
        <v>4166.62</v>
      </c>
      <c r="O328" s="303">
        <f t="shared" si="749"/>
        <v>4166.62</v>
      </c>
      <c r="P328" s="590">
        <f>F328+49</f>
        <v>4160.62</v>
      </c>
      <c r="Q328" s="303">
        <f t="shared" si="751"/>
        <v>4160.62</v>
      </c>
      <c r="R328" s="590">
        <f>F328+42</f>
        <v>4153.62</v>
      </c>
      <c r="S328" s="303">
        <f t="shared" si="753"/>
        <v>4153.62</v>
      </c>
      <c r="T328" s="590">
        <f>F328+34</f>
        <v>4145.62</v>
      </c>
      <c r="U328" s="303">
        <f t="shared" si="755"/>
        <v>4145.62</v>
      </c>
      <c r="V328" s="590">
        <f>F328+30</f>
        <v>4141.62</v>
      </c>
      <c r="W328" s="303">
        <f t="shared" si="757"/>
        <v>4141.62</v>
      </c>
      <c r="X328" s="625"/>
      <c r="Y328" s="626"/>
      <c r="Z328" s="626"/>
      <c r="AA328" s="627"/>
      <c r="AB328" s="442">
        <v>2216</v>
      </c>
      <c r="AC328" s="66"/>
    </row>
    <row r="329" spans="1:31" ht="12.6" customHeight="1" x14ac:dyDescent="0.2">
      <c r="A329" s="108"/>
      <c r="B329" s="704" t="s">
        <v>380</v>
      </c>
      <c r="C329" s="705"/>
      <c r="D329" s="705"/>
      <c r="E329" s="705"/>
      <c r="F329" s="416">
        <v>1350</v>
      </c>
      <c r="G329" s="361">
        <f>+F329*$X$1</f>
        <v>1350</v>
      </c>
      <c r="H329" s="591">
        <f>F329+310</f>
        <v>1660</v>
      </c>
      <c r="I329" s="361">
        <f>+H329*$X$1</f>
        <v>1660</v>
      </c>
      <c r="J329" s="591">
        <f>F329+120</f>
        <v>1470</v>
      </c>
      <c r="K329" s="361">
        <f t="shared" ref="K329" si="761">+J329*$X$1</f>
        <v>1470</v>
      </c>
      <c r="L329" s="591">
        <f>F329+90</f>
        <v>1440</v>
      </c>
      <c r="M329" s="361">
        <f t="shared" ref="M329" si="762">+L329*$X$1</f>
        <v>1440</v>
      </c>
      <c r="N329" s="591">
        <f>F329+55</f>
        <v>1405</v>
      </c>
      <c r="O329" s="361">
        <f t="shared" ref="O329" si="763">+N329*$X$1</f>
        <v>1405</v>
      </c>
      <c r="P329" s="106"/>
      <c r="Q329" s="1179" t="s">
        <v>152</v>
      </c>
      <c r="R329" s="1180"/>
      <c r="S329" s="1180"/>
      <c r="T329" s="1180"/>
      <c r="U329" s="1180"/>
      <c r="V329" s="1180"/>
      <c r="W329" s="1181"/>
      <c r="X329" s="625"/>
      <c r="Y329" s="626"/>
      <c r="Z329" s="626"/>
      <c r="AA329" s="627"/>
      <c r="AB329" s="442">
        <v>2222</v>
      </c>
    </row>
    <row r="330" spans="1:31" ht="12.6" customHeight="1" x14ac:dyDescent="0.2">
      <c r="A330" s="18"/>
      <c r="B330" s="662" t="s">
        <v>734</v>
      </c>
      <c r="C330" s="663"/>
      <c r="D330" s="663"/>
      <c r="E330" s="664"/>
      <c r="F330" s="418">
        <f>0.585*X2</f>
        <v>576.80999999999995</v>
      </c>
      <c r="G330" s="303">
        <f t="shared" ref="G330" si="764">+F330*$X$1</f>
        <v>576.80999999999995</v>
      </c>
      <c r="H330" s="295"/>
      <c r="I330" s="295"/>
      <c r="J330" s="590"/>
      <c r="K330" s="590"/>
      <c r="L330" s="590">
        <f t="shared" ref="L330:L332" si="765">F330+100</f>
        <v>676.81</v>
      </c>
      <c r="M330" s="303">
        <f t="shared" ref="M330:M333" si="766">+L330*$X$1</f>
        <v>676.81</v>
      </c>
      <c r="N330" s="590">
        <f t="shared" ref="N330:N332" si="767">F330+52</f>
        <v>628.80999999999995</v>
      </c>
      <c r="O330" s="303">
        <f t="shared" ref="O330:O333" si="768">+N330*$X$1</f>
        <v>628.80999999999995</v>
      </c>
      <c r="P330" s="590">
        <f t="shared" ref="P330:P332" si="769">F330+44</f>
        <v>620.80999999999995</v>
      </c>
      <c r="Q330" s="303">
        <f t="shared" ref="Q330:Q332" si="770">+P330*$X$1</f>
        <v>620.80999999999995</v>
      </c>
      <c r="R330" s="590">
        <f t="shared" ref="R330:R332" si="771">F330+37</f>
        <v>613.80999999999995</v>
      </c>
      <c r="S330" s="303">
        <f t="shared" ref="S330:S332" si="772">+R330*$X$1</f>
        <v>613.80999999999995</v>
      </c>
      <c r="T330" s="105">
        <f t="shared" ref="T330:T332" si="773">F330+29</f>
        <v>605.80999999999995</v>
      </c>
      <c r="U330" s="268">
        <f t="shared" ref="U330:U332" si="774">+T330*$X$1</f>
        <v>605.80999999999995</v>
      </c>
      <c r="V330" s="105">
        <f t="shared" ref="V330:V332" si="775">F330+25</f>
        <v>601.80999999999995</v>
      </c>
      <c r="W330" s="268">
        <f t="shared" ref="W330:W332" si="776">+V330*$X$1</f>
        <v>601.80999999999995</v>
      </c>
      <c r="X330" s="493"/>
      <c r="Y330" s="492"/>
      <c r="Z330" s="492"/>
      <c r="AA330" s="493"/>
      <c r="AB330" s="442">
        <v>2231</v>
      </c>
      <c r="AC330" s="66"/>
    </row>
    <row r="331" spans="1:31" ht="12.6" customHeight="1" x14ac:dyDescent="0.2">
      <c r="A331" s="18"/>
      <c r="B331" s="662" t="s">
        <v>746</v>
      </c>
      <c r="C331" s="663"/>
      <c r="D331" s="663"/>
      <c r="E331" s="664"/>
      <c r="F331" s="417">
        <f>0.57*X2</f>
        <v>562.02</v>
      </c>
      <c r="G331" s="304">
        <f t="shared" ref="G331" si="777">+F331*$X$1</f>
        <v>562.02</v>
      </c>
      <c r="H331" s="294"/>
      <c r="I331" s="294"/>
      <c r="J331" s="529"/>
      <c r="K331" s="529"/>
      <c r="L331" s="529">
        <f t="shared" si="765"/>
        <v>662.02</v>
      </c>
      <c r="M331" s="304">
        <f t="shared" si="766"/>
        <v>662.02</v>
      </c>
      <c r="N331" s="529">
        <f t="shared" si="767"/>
        <v>614.02</v>
      </c>
      <c r="O331" s="304">
        <f t="shared" si="768"/>
        <v>614.02</v>
      </c>
      <c r="P331" s="529">
        <f t="shared" si="769"/>
        <v>606.02</v>
      </c>
      <c r="Q331" s="304">
        <f t="shared" si="770"/>
        <v>606.02</v>
      </c>
      <c r="R331" s="529">
        <f t="shared" si="771"/>
        <v>599.02</v>
      </c>
      <c r="S331" s="304">
        <f t="shared" si="772"/>
        <v>599.02</v>
      </c>
      <c r="T331" s="104">
        <f t="shared" si="773"/>
        <v>591.02</v>
      </c>
      <c r="U331" s="325">
        <f t="shared" si="774"/>
        <v>591.02</v>
      </c>
      <c r="V331" s="104">
        <f t="shared" si="775"/>
        <v>587.02</v>
      </c>
      <c r="W331" s="325">
        <f t="shared" si="776"/>
        <v>587.02</v>
      </c>
      <c r="X331" s="498"/>
      <c r="Y331" s="497"/>
      <c r="Z331" s="497"/>
      <c r="AA331" s="498"/>
      <c r="AB331" s="442">
        <v>2232</v>
      </c>
      <c r="AC331" s="66"/>
    </row>
    <row r="332" spans="1:31" ht="12.6" customHeight="1" x14ac:dyDescent="0.2">
      <c r="A332" s="18"/>
      <c r="B332" s="662" t="s">
        <v>820</v>
      </c>
      <c r="C332" s="663"/>
      <c r="D332" s="663"/>
      <c r="E332" s="664"/>
      <c r="F332" s="418">
        <f>1*X2</f>
        <v>986</v>
      </c>
      <c r="G332" s="303">
        <f t="shared" ref="G332" si="778">+F332*$X$1</f>
        <v>986</v>
      </c>
      <c r="H332" s="295"/>
      <c r="I332" s="295"/>
      <c r="J332" s="590"/>
      <c r="K332" s="590"/>
      <c r="L332" s="590">
        <f t="shared" si="765"/>
        <v>1086</v>
      </c>
      <c r="M332" s="303">
        <f t="shared" si="766"/>
        <v>1086</v>
      </c>
      <c r="N332" s="590">
        <f t="shared" si="767"/>
        <v>1038</v>
      </c>
      <c r="O332" s="303">
        <f t="shared" si="768"/>
        <v>1038</v>
      </c>
      <c r="P332" s="590">
        <f t="shared" si="769"/>
        <v>1030</v>
      </c>
      <c r="Q332" s="303">
        <f t="shared" si="770"/>
        <v>1030</v>
      </c>
      <c r="R332" s="590">
        <f t="shared" si="771"/>
        <v>1023</v>
      </c>
      <c r="S332" s="303">
        <f t="shared" si="772"/>
        <v>1023</v>
      </c>
      <c r="T332" s="105">
        <f t="shared" si="773"/>
        <v>1015</v>
      </c>
      <c r="U332" s="268">
        <f t="shared" si="774"/>
        <v>1015</v>
      </c>
      <c r="V332" s="105">
        <f t="shared" si="775"/>
        <v>1011</v>
      </c>
      <c r="W332" s="268">
        <f t="shared" si="776"/>
        <v>1011</v>
      </c>
      <c r="X332" s="498"/>
      <c r="Y332" s="497"/>
      <c r="Z332" s="497"/>
      <c r="AA332" s="498"/>
      <c r="AB332" s="442">
        <v>2233</v>
      </c>
      <c r="AC332" s="66"/>
    </row>
    <row r="333" spans="1:31" ht="12.6" customHeight="1" x14ac:dyDescent="0.2">
      <c r="A333" s="98"/>
      <c r="B333" s="704" t="s">
        <v>821</v>
      </c>
      <c r="C333" s="1174"/>
      <c r="D333" s="1174"/>
      <c r="E333" s="1174"/>
      <c r="F333" s="416">
        <f>0.4*X2</f>
        <v>394.40000000000003</v>
      </c>
      <c r="G333" s="361">
        <f t="shared" ref="G333:G341" si="779">+F333*$X$1</f>
        <v>394.40000000000003</v>
      </c>
      <c r="H333" s="591"/>
      <c r="I333" s="361"/>
      <c r="J333" s="591"/>
      <c r="K333" s="361"/>
      <c r="L333" s="591">
        <f>F333+150</f>
        <v>544.40000000000009</v>
      </c>
      <c r="M333" s="361">
        <f t="shared" si="766"/>
        <v>544.40000000000009</v>
      </c>
      <c r="N333" s="591">
        <f>F333+78</f>
        <v>472.40000000000003</v>
      </c>
      <c r="O333" s="361">
        <f t="shared" si="768"/>
        <v>472.40000000000003</v>
      </c>
      <c r="P333" s="591">
        <f>F333+66</f>
        <v>460.40000000000003</v>
      </c>
      <c r="Q333" s="361">
        <f t="shared" ref="Q333" si="780">+P333*$X$1</f>
        <v>460.40000000000003</v>
      </c>
      <c r="R333" s="591">
        <f>F333+56</f>
        <v>450.40000000000003</v>
      </c>
      <c r="S333" s="361">
        <f t="shared" ref="S333" si="781">+R333*$X$1</f>
        <v>450.40000000000003</v>
      </c>
      <c r="T333" s="591">
        <f>F333+44</f>
        <v>438.40000000000003</v>
      </c>
      <c r="U333" s="361">
        <f t="shared" ref="U333" si="782">+T333*$X$1</f>
        <v>438.40000000000003</v>
      </c>
      <c r="V333" s="592"/>
      <c r="W333" s="373"/>
      <c r="X333" s="144"/>
      <c r="Y333" s="140"/>
      <c r="Z333" s="140"/>
      <c r="AA333" s="143"/>
      <c r="AB333" s="442">
        <v>2234</v>
      </c>
    </row>
    <row r="334" spans="1:31" ht="12.6" customHeight="1" x14ac:dyDescent="0.2">
      <c r="A334" s="98"/>
      <c r="B334" s="674" t="s">
        <v>822</v>
      </c>
      <c r="C334" s="866"/>
      <c r="D334" s="866"/>
      <c r="E334" s="866"/>
      <c r="F334" s="413">
        <f>0.56*X2</f>
        <v>552.16000000000008</v>
      </c>
      <c r="G334" s="304">
        <f t="shared" si="779"/>
        <v>552.16000000000008</v>
      </c>
      <c r="H334" s="294"/>
      <c r="I334" s="369"/>
      <c r="J334" s="529"/>
      <c r="K334" s="304"/>
      <c r="L334" s="529">
        <f>F334+150</f>
        <v>702.16000000000008</v>
      </c>
      <c r="M334" s="304">
        <f t="shared" ref="M334:M335" si="783">+L334*$X$1</f>
        <v>702.16000000000008</v>
      </c>
      <c r="N334" s="529">
        <f>F334+78</f>
        <v>630.16000000000008</v>
      </c>
      <c r="O334" s="304">
        <f t="shared" ref="O334:O335" si="784">+N334*$X$1</f>
        <v>630.16000000000008</v>
      </c>
      <c r="P334" s="529">
        <f>F334+66</f>
        <v>618.16000000000008</v>
      </c>
      <c r="Q334" s="304">
        <f t="shared" ref="Q334:Q335" si="785">+P334*$X$1</f>
        <v>618.16000000000008</v>
      </c>
      <c r="R334" s="529">
        <f>F334+56</f>
        <v>608.16000000000008</v>
      </c>
      <c r="S334" s="304">
        <f t="shared" ref="S334:S335" si="786">+R334*$X$1</f>
        <v>608.16000000000008</v>
      </c>
      <c r="T334" s="529">
        <f>F334+44</f>
        <v>596.16000000000008</v>
      </c>
      <c r="U334" s="304">
        <f t="shared" ref="U334:U335" si="787">+T334*$X$1</f>
        <v>596.16000000000008</v>
      </c>
      <c r="V334" s="529">
        <f>F334+38</f>
        <v>590.16000000000008</v>
      </c>
      <c r="W334" s="304">
        <f t="shared" ref="W334:W337" si="788">+V334*$X$1</f>
        <v>590.16000000000008</v>
      </c>
      <c r="X334" s="144"/>
      <c r="Y334" s="140"/>
      <c r="Z334" s="140"/>
      <c r="AA334" s="143"/>
      <c r="AB334" s="442" t="s">
        <v>246</v>
      </c>
    </row>
    <row r="335" spans="1:31" ht="12.6" customHeight="1" x14ac:dyDescent="0.2">
      <c r="A335" s="18"/>
      <c r="B335" s="662" t="s">
        <v>866</v>
      </c>
      <c r="C335" s="663"/>
      <c r="D335" s="663"/>
      <c r="E335" s="664"/>
      <c r="F335" s="418">
        <f>0.372*X2</f>
        <v>366.79199999999997</v>
      </c>
      <c r="G335" s="303">
        <f t="shared" si="779"/>
        <v>366.79199999999997</v>
      </c>
      <c r="H335" s="295"/>
      <c r="I335" s="295"/>
      <c r="J335" s="598"/>
      <c r="K335" s="598"/>
      <c r="L335" s="598">
        <f t="shared" ref="L335" si="789">F335+100</f>
        <v>466.79199999999997</v>
      </c>
      <c r="M335" s="303">
        <f t="shared" si="783"/>
        <v>466.79199999999997</v>
      </c>
      <c r="N335" s="598">
        <f t="shared" ref="N335" si="790">F335+52</f>
        <v>418.79199999999997</v>
      </c>
      <c r="O335" s="303">
        <f t="shared" si="784"/>
        <v>418.79199999999997</v>
      </c>
      <c r="P335" s="598">
        <f t="shared" ref="P335" si="791">F335+44</f>
        <v>410.79199999999997</v>
      </c>
      <c r="Q335" s="303">
        <f t="shared" si="785"/>
        <v>410.79199999999997</v>
      </c>
      <c r="R335" s="598">
        <f t="shared" ref="R335" si="792">F335+37</f>
        <v>403.79199999999997</v>
      </c>
      <c r="S335" s="303">
        <f t="shared" si="786"/>
        <v>403.79199999999997</v>
      </c>
      <c r="T335" s="105">
        <f t="shared" ref="T335" si="793">F335+29</f>
        <v>395.79199999999997</v>
      </c>
      <c r="U335" s="268">
        <f t="shared" si="787"/>
        <v>395.79199999999997</v>
      </c>
      <c r="V335" s="105">
        <f t="shared" ref="V335" si="794">F335+25</f>
        <v>391.79199999999997</v>
      </c>
      <c r="W335" s="268">
        <f t="shared" ref="W335" si="795">+V335*$X$1</f>
        <v>391.79199999999997</v>
      </c>
      <c r="X335" s="543"/>
      <c r="Y335" s="544"/>
      <c r="Z335" s="544"/>
      <c r="AA335" s="543"/>
      <c r="AB335" s="442">
        <v>2235</v>
      </c>
      <c r="AC335" s="66"/>
    </row>
    <row r="336" spans="1:31" ht="12.6" customHeight="1" x14ac:dyDescent="0.2">
      <c r="A336" s="98"/>
      <c r="B336" s="674" t="s">
        <v>247</v>
      </c>
      <c r="C336" s="675"/>
      <c r="D336" s="675"/>
      <c r="E336" s="675"/>
      <c r="F336" s="413">
        <f>0.42*X2</f>
        <v>414.12</v>
      </c>
      <c r="G336" s="304">
        <f t="shared" si="779"/>
        <v>414.12</v>
      </c>
      <c r="H336" s="294"/>
      <c r="I336" s="369"/>
      <c r="J336" s="529"/>
      <c r="K336" s="304"/>
      <c r="L336" s="529">
        <f t="shared" ref="L336:L337" si="796">F336+100</f>
        <v>514.12</v>
      </c>
      <c r="M336" s="304">
        <f t="shared" ref="M336:M337" si="797">+L336*$X$1</f>
        <v>514.12</v>
      </c>
      <c r="N336" s="529">
        <f t="shared" ref="N336:N337" si="798">F336+52</f>
        <v>466.12</v>
      </c>
      <c r="O336" s="304">
        <f t="shared" ref="O336:O337" si="799">+N336*$X$1</f>
        <v>466.12</v>
      </c>
      <c r="P336" s="529">
        <f t="shared" ref="P336:P337" si="800">F336+44</f>
        <v>458.12</v>
      </c>
      <c r="Q336" s="304">
        <f t="shared" ref="Q336:Q337" si="801">+P336*$X$1</f>
        <v>458.12</v>
      </c>
      <c r="R336" s="529">
        <f t="shared" ref="R336:R337" si="802">F336+37</f>
        <v>451.12</v>
      </c>
      <c r="S336" s="304">
        <f t="shared" ref="S336:S337" si="803">+R336*$X$1</f>
        <v>451.12</v>
      </c>
      <c r="T336" s="104">
        <f t="shared" ref="T336:T337" si="804">F336+29</f>
        <v>443.12</v>
      </c>
      <c r="U336" s="325">
        <f t="shared" ref="U336:U337" si="805">+T336*$X$1</f>
        <v>443.12</v>
      </c>
      <c r="V336" s="104">
        <f t="shared" ref="V336:V337" si="806">F336+25</f>
        <v>439.12</v>
      </c>
      <c r="W336" s="325">
        <f t="shared" si="788"/>
        <v>439.12</v>
      </c>
      <c r="X336" s="144"/>
      <c r="Y336" s="140"/>
      <c r="Z336" s="140"/>
      <c r="AA336" s="143"/>
      <c r="AB336" s="442">
        <v>2238</v>
      </c>
    </row>
    <row r="337" spans="1:29" ht="12.6" customHeight="1" x14ac:dyDescent="0.2">
      <c r="A337" s="108"/>
      <c r="B337" s="622" t="s">
        <v>248</v>
      </c>
      <c r="C337" s="623"/>
      <c r="D337" s="623"/>
      <c r="E337" s="624"/>
      <c r="F337" s="412">
        <f>0.428*X2</f>
        <v>422.00799999999998</v>
      </c>
      <c r="G337" s="303">
        <f t="shared" si="779"/>
        <v>422.00799999999998</v>
      </c>
      <c r="H337" s="295"/>
      <c r="I337" s="368"/>
      <c r="J337" s="598"/>
      <c r="K337" s="303"/>
      <c r="L337" s="598">
        <f t="shared" si="796"/>
        <v>522.00800000000004</v>
      </c>
      <c r="M337" s="303">
        <f t="shared" si="797"/>
        <v>522.00800000000004</v>
      </c>
      <c r="N337" s="598">
        <f t="shared" si="798"/>
        <v>474.00799999999998</v>
      </c>
      <c r="O337" s="303">
        <f t="shared" si="799"/>
        <v>474.00799999999998</v>
      </c>
      <c r="P337" s="598">
        <f t="shared" si="800"/>
        <v>466.00799999999998</v>
      </c>
      <c r="Q337" s="303">
        <f t="shared" si="801"/>
        <v>466.00799999999998</v>
      </c>
      <c r="R337" s="598">
        <f t="shared" si="802"/>
        <v>459.00799999999998</v>
      </c>
      <c r="S337" s="303">
        <f t="shared" si="803"/>
        <v>459.00799999999998</v>
      </c>
      <c r="T337" s="105">
        <f t="shared" si="804"/>
        <v>451.00799999999998</v>
      </c>
      <c r="U337" s="268">
        <f t="shared" si="805"/>
        <v>451.00799999999998</v>
      </c>
      <c r="V337" s="105">
        <f t="shared" si="806"/>
        <v>447.00799999999998</v>
      </c>
      <c r="W337" s="268">
        <f t="shared" si="788"/>
        <v>447.00799999999998</v>
      </c>
      <c r="X337" s="144"/>
      <c r="Y337" s="140"/>
      <c r="Z337" s="140"/>
      <c r="AA337" s="143"/>
      <c r="AB337" s="442">
        <v>2239</v>
      </c>
    </row>
    <row r="338" spans="1:29" ht="12.6" customHeight="1" x14ac:dyDescent="0.2">
      <c r="A338" s="18"/>
      <c r="B338" s="706" t="s">
        <v>886</v>
      </c>
      <c r="C338" s="840"/>
      <c r="D338" s="840"/>
      <c r="E338" s="840"/>
      <c r="F338" s="413">
        <f>0.48*X2</f>
        <v>473.28</v>
      </c>
      <c r="G338" s="304">
        <f t="shared" si="779"/>
        <v>473.28</v>
      </c>
      <c r="H338" s="294"/>
      <c r="I338" s="369"/>
      <c r="J338" s="529"/>
      <c r="K338" s="304"/>
      <c r="L338" s="529">
        <f t="shared" ref="L338:L340" si="807">F338+100</f>
        <v>573.28</v>
      </c>
      <c r="M338" s="304">
        <f t="shared" ref="M338:M340" si="808">+L338*$X$1</f>
        <v>573.28</v>
      </c>
      <c r="N338" s="529">
        <f t="shared" ref="N338:N340" si="809">F338+52</f>
        <v>525.28</v>
      </c>
      <c r="O338" s="304">
        <f t="shared" ref="O338:O340" si="810">+N338*$X$1</f>
        <v>525.28</v>
      </c>
      <c r="P338" s="529">
        <f t="shared" ref="P338:P340" si="811">F338+44</f>
        <v>517.28</v>
      </c>
      <c r="Q338" s="304">
        <f t="shared" ref="Q338:Q340" si="812">+P338*$X$1</f>
        <v>517.28</v>
      </c>
      <c r="R338" s="529">
        <f t="shared" ref="R338:R340" si="813">F338+37</f>
        <v>510.28</v>
      </c>
      <c r="S338" s="304">
        <f t="shared" ref="S338:S340" si="814">+R338*$X$1</f>
        <v>510.28</v>
      </c>
      <c r="T338" s="104">
        <f t="shared" ref="T338:T340" si="815">F338+29</f>
        <v>502.28</v>
      </c>
      <c r="U338" s="325">
        <f t="shared" ref="U338:U340" si="816">+T338*$X$1</f>
        <v>502.28</v>
      </c>
      <c r="V338" s="104">
        <f t="shared" ref="V338:V340" si="817">F338+25</f>
        <v>498.28</v>
      </c>
      <c r="W338" s="325">
        <f t="shared" ref="W338:W340" si="818">+V338*$X$1</f>
        <v>498.28</v>
      </c>
      <c r="X338" s="144"/>
      <c r="Y338" s="140"/>
      <c r="Z338" s="140"/>
      <c r="AA338" s="143"/>
      <c r="AB338" s="442">
        <v>2240</v>
      </c>
    </row>
    <row r="339" spans="1:29" ht="12.6" customHeight="1" x14ac:dyDescent="0.2">
      <c r="A339" s="18"/>
      <c r="B339" s="706" t="s">
        <v>873</v>
      </c>
      <c r="C339" s="840"/>
      <c r="D339" s="840"/>
      <c r="E339" s="840"/>
      <c r="F339" s="412">
        <f>0.22*X2</f>
        <v>216.92</v>
      </c>
      <c r="G339" s="303">
        <f t="shared" ref="G339:G340" si="819">+F339*$X$1</f>
        <v>216.92</v>
      </c>
      <c r="H339" s="295"/>
      <c r="I339" s="368"/>
      <c r="J339" s="598"/>
      <c r="K339" s="303"/>
      <c r="L339" s="598"/>
      <c r="M339" s="303"/>
      <c r="N339" s="598">
        <f t="shared" si="809"/>
        <v>268.91999999999996</v>
      </c>
      <c r="O339" s="303">
        <f t="shared" si="810"/>
        <v>268.91999999999996</v>
      </c>
      <c r="P339" s="598">
        <f t="shared" si="811"/>
        <v>260.91999999999996</v>
      </c>
      <c r="Q339" s="303">
        <f t="shared" si="812"/>
        <v>260.91999999999996</v>
      </c>
      <c r="R339" s="598">
        <f t="shared" si="813"/>
        <v>253.92</v>
      </c>
      <c r="S339" s="303">
        <f t="shared" si="814"/>
        <v>253.92</v>
      </c>
      <c r="T339" s="105">
        <f t="shared" si="815"/>
        <v>245.92</v>
      </c>
      <c r="U339" s="268">
        <f t="shared" si="816"/>
        <v>245.92</v>
      </c>
      <c r="V339" s="105">
        <f t="shared" si="817"/>
        <v>241.92</v>
      </c>
      <c r="W339" s="268">
        <f t="shared" si="818"/>
        <v>241.92</v>
      </c>
      <c r="X339" s="144"/>
      <c r="Y339" s="140"/>
      <c r="Z339" s="140"/>
      <c r="AA339" s="143"/>
      <c r="AB339" s="442">
        <v>2241</v>
      </c>
    </row>
    <row r="340" spans="1:29" ht="12.6" customHeight="1" x14ac:dyDescent="0.2">
      <c r="A340" s="18"/>
      <c r="B340" s="706" t="s">
        <v>874</v>
      </c>
      <c r="C340" s="840"/>
      <c r="D340" s="840"/>
      <c r="E340" s="840"/>
      <c r="F340" s="413">
        <f>0.35*X2</f>
        <v>345.09999999999997</v>
      </c>
      <c r="G340" s="304">
        <f t="shared" si="819"/>
        <v>345.09999999999997</v>
      </c>
      <c r="H340" s="294"/>
      <c r="I340" s="369"/>
      <c r="J340" s="529"/>
      <c r="K340" s="304"/>
      <c r="L340" s="529">
        <f t="shared" si="807"/>
        <v>445.09999999999997</v>
      </c>
      <c r="M340" s="304">
        <f t="shared" si="808"/>
        <v>445.09999999999997</v>
      </c>
      <c r="N340" s="529">
        <f t="shared" si="809"/>
        <v>397.09999999999997</v>
      </c>
      <c r="O340" s="304">
        <f t="shared" si="810"/>
        <v>397.09999999999997</v>
      </c>
      <c r="P340" s="529">
        <f t="shared" si="811"/>
        <v>389.09999999999997</v>
      </c>
      <c r="Q340" s="304">
        <f t="shared" si="812"/>
        <v>389.09999999999997</v>
      </c>
      <c r="R340" s="529">
        <f t="shared" si="813"/>
        <v>382.09999999999997</v>
      </c>
      <c r="S340" s="304">
        <f t="shared" si="814"/>
        <v>382.09999999999997</v>
      </c>
      <c r="T340" s="104">
        <f t="shared" si="815"/>
        <v>374.09999999999997</v>
      </c>
      <c r="U340" s="325">
        <f t="shared" si="816"/>
        <v>374.09999999999997</v>
      </c>
      <c r="V340" s="104">
        <f t="shared" si="817"/>
        <v>370.09999999999997</v>
      </c>
      <c r="W340" s="325">
        <f t="shared" si="818"/>
        <v>370.09999999999997</v>
      </c>
      <c r="X340" s="144"/>
      <c r="Y340" s="140"/>
      <c r="Z340" s="140"/>
      <c r="AA340" s="143"/>
      <c r="AB340" s="442">
        <v>2242</v>
      </c>
    </row>
    <row r="341" spans="1:29" ht="12.6" customHeight="1" x14ac:dyDescent="0.2">
      <c r="A341" s="98"/>
      <c r="B341" s="628" t="s">
        <v>249</v>
      </c>
      <c r="C341" s="629"/>
      <c r="D341" s="629"/>
      <c r="E341" s="629"/>
      <c r="F341" s="412">
        <f>0.33*X2</f>
        <v>325.38</v>
      </c>
      <c r="G341" s="303">
        <f t="shared" si="779"/>
        <v>325.38</v>
      </c>
      <c r="H341" s="295"/>
      <c r="I341" s="368"/>
      <c r="J341" s="598"/>
      <c r="K341" s="303"/>
      <c r="L341" s="598">
        <f t="shared" ref="L341:L356" si="820">F341+100</f>
        <v>425.38</v>
      </c>
      <c r="M341" s="303">
        <f t="shared" ref="M341:M356" si="821">+L341*$X$1</f>
        <v>425.38</v>
      </c>
      <c r="N341" s="598">
        <f t="shared" ref="N341:N356" si="822">F341+52</f>
        <v>377.38</v>
      </c>
      <c r="O341" s="303">
        <f t="shared" ref="O341:O356" si="823">+N341*$X$1</f>
        <v>377.38</v>
      </c>
      <c r="P341" s="598">
        <f t="shared" ref="P341:P356" si="824">F341+44</f>
        <v>369.38</v>
      </c>
      <c r="Q341" s="303">
        <f t="shared" ref="Q341:Q356" si="825">+P341*$X$1</f>
        <v>369.38</v>
      </c>
      <c r="R341" s="598">
        <f t="shared" ref="R341:R356" si="826">F341+37</f>
        <v>362.38</v>
      </c>
      <c r="S341" s="303">
        <f t="shared" ref="S341:S356" si="827">+R341*$X$1</f>
        <v>362.38</v>
      </c>
      <c r="T341" s="105">
        <f t="shared" ref="T341:T356" si="828">F341+29</f>
        <v>354.38</v>
      </c>
      <c r="U341" s="268">
        <f t="shared" ref="U341:U356" si="829">+T341*$X$1</f>
        <v>354.38</v>
      </c>
      <c r="V341" s="105"/>
      <c r="W341" s="268"/>
      <c r="X341" s="144"/>
      <c r="Y341" s="140"/>
      <c r="Z341" s="140"/>
      <c r="AA341" s="143"/>
      <c r="AB341" s="442">
        <v>2244</v>
      </c>
    </row>
    <row r="342" spans="1:29" ht="12.6" customHeight="1" x14ac:dyDescent="0.2">
      <c r="A342" s="18"/>
      <c r="B342" s="674" t="s">
        <v>877</v>
      </c>
      <c r="C342" s="675"/>
      <c r="D342" s="675"/>
      <c r="E342" s="675"/>
      <c r="F342" s="413">
        <f>0.29*X2</f>
        <v>285.94</v>
      </c>
      <c r="G342" s="304">
        <f t="shared" ref="G342:G343" si="830">+F342*$X$1</f>
        <v>285.94</v>
      </c>
      <c r="H342" s="294"/>
      <c r="I342" s="369"/>
      <c r="J342" s="529"/>
      <c r="K342" s="304"/>
      <c r="L342" s="529">
        <f t="shared" si="820"/>
        <v>385.94</v>
      </c>
      <c r="M342" s="304">
        <f t="shared" si="821"/>
        <v>385.94</v>
      </c>
      <c r="N342" s="529">
        <f t="shared" si="822"/>
        <v>337.94</v>
      </c>
      <c r="O342" s="304">
        <f t="shared" si="823"/>
        <v>337.94</v>
      </c>
      <c r="P342" s="529">
        <f t="shared" si="824"/>
        <v>329.94</v>
      </c>
      <c r="Q342" s="304">
        <f t="shared" si="825"/>
        <v>329.94</v>
      </c>
      <c r="R342" s="529">
        <f t="shared" si="826"/>
        <v>322.94</v>
      </c>
      <c r="S342" s="304">
        <f t="shared" si="827"/>
        <v>322.94</v>
      </c>
      <c r="T342" s="104">
        <f t="shared" si="828"/>
        <v>314.94</v>
      </c>
      <c r="U342" s="325">
        <f t="shared" si="829"/>
        <v>314.94</v>
      </c>
      <c r="V342" s="104">
        <f t="shared" ref="V342:V356" si="831">F342+25</f>
        <v>310.94</v>
      </c>
      <c r="W342" s="325">
        <f t="shared" ref="W342:W356" si="832">+V342*$X$1</f>
        <v>310.94</v>
      </c>
      <c r="X342" s="144"/>
      <c r="Y342" s="140"/>
      <c r="Z342" s="140"/>
      <c r="AA342" s="143"/>
      <c r="AB342" s="442">
        <v>2245</v>
      </c>
    </row>
    <row r="343" spans="1:29" ht="12.6" customHeight="1" x14ac:dyDescent="0.2">
      <c r="A343" s="18"/>
      <c r="B343" s="706" t="s">
        <v>876</v>
      </c>
      <c r="C343" s="840"/>
      <c r="D343" s="840"/>
      <c r="E343" s="840"/>
      <c r="F343" s="412">
        <f>0.3*X2</f>
        <v>295.8</v>
      </c>
      <c r="G343" s="303">
        <f t="shared" si="830"/>
        <v>295.8</v>
      </c>
      <c r="H343" s="295"/>
      <c r="I343" s="368"/>
      <c r="J343" s="598"/>
      <c r="K343" s="303"/>
      <c r="L343" s="598">
        <f t="shared" si="820"/>
        <v>395.8</v>
      </c>
      <c r="M343" s="303">
        <f t="shared" si="821"/>
        <v>395.8</v>
      </c>
      <c r="N343" s="598">
        <f t="shared" si="822"/>
        <v>347.8</v>
      </c>
      <c r="O343" s="303">
        <f t="shared" si="823"/>
        <v>347.8</v>
      </c>
      <c r="P343" s="598">
        <f t="shared" si="824"/>
        <v>339.8</v>
      </c>
      <c r="Q343" s="303">
        <f t="shared" si="825"/>
        <v>339.8</v>
      </c>
      <c r="R343" s="598">
        <f t="shared" si="826"/>
        <v>332.8</v>
      </c>
      <c r="S343" s="303">
        <f t="shared" si="827"/>
        <v>332.8</v>
      </c>
      <c r="T343" s="105">
        <f t="shared" si="828"/>
        <v>324.8</v>
      </c>
      <c r="U343" s="268">
        <f t="shared" si="829"/>
        <v>324.8</v>
      </c>
      <c r="V343" s="105">
        <f t="shared" si="831"/>
        <v>320.8</v>
      </c>
      <c r="W343" s="268">
        <f t="shared" si="832"/>
        <v>320.8</v>
      </c>
      <c r="X343" s="144"/>
      <c r="Y343" s="140"/>
      <c r="Z343" s="140"/>
      <c r="AA343" s="143"/>
      <c r="AB343" s="442" t="s">
        <v>875</v>
      </c>
    </row>
    <row r="344" spans="1:29" ht="12.6" customHeight="1" x14ac:dyDescent="0.2">
      <c r="A344" s="98"/>
      <c r="B344" s="674" t="s">
        <v>550</v>
      </c>
      <c r="C344" s="675"/>
      <c r="D344" s="675"/>
      <c r="E344" s="675"/>
      <c r="F344" s="304">
        <v>1266</v>
      </c>
      <c r="G344" s="304">
        <f>+F344*$X$1</f>
        <v>1266</v>
      </c>
      <c r="H344" s="294"/>
      <c r="I344" s="369"/>
      <c r="J344" s="529"/>
      <c r="K344" s="304"/>
      <c r="L344" s="529">
        <f t="shared" si="820"/>
        <v>1366</v>
      </c>
      <c r="M344" s="304">
        <f t="shared" si="821"/>
        <v>1366</v>
      </c>
      <c r="N344" s="529">
        <f t="shared" si="822"/>
        <v>1318</v>
      </c>
      <c r="O344" s="304">
        <f t="shared" si="823"/>
        <v>1318</v>
      </c>
      <c r="P344" s="529">
        <f t="shared" si="824"/>
        <v>1310</v>
      </c>
      <c r="Q344" s="304">
        <f t="shared" si="825"/>
        <v>1310</v>
      </c>
      <c r="R344" s="529">
        <f t="shared" si="826"/>
        <v>1303</v>
      </c>
      <c r="S344" s="304">
        <f t="shared" si="827"/>
        <v>1303</v>
      </c>
      <c r="T344" s="104">
        <f t="shared" si="828"/>
        <v>1295</v>
      </c>
      <c r="U344" s="325">
        <f t="shared" si="829"/>
        <v>1295</v>
      </c>
      <c r="V344" s="104">
        <f t="shared" si="831"/>
        <v>1291</v>
      </c>
      <c r="W344" s="325">
        <f t="shared" si="832"/>
        <v>1291</v>
      </c>
      <c r="X344" s="144"/>
      <c r="Y344" s="140"/>
      <c r="Z344" s="140"/>
      <c r="AA344" s="143"/>
      <c r="AB344" s="442">
        <v>2246</v>
      </c>
    </row>
    <row r="345" spans="1:29" ht="12.6" customHeight="1" x14ac:dyDescent="0.2">
      <c r="A345" s="18"/>
      <c r="B345" s="706" t="s">
        <v>888</v>
      </c>
      <c r="C345" s="840"/>
      <c r="D345" s="840"/>
      <c r="E345" s="840"/>
      <c r="F345" s="578">
        <f>2.9*X2</f>
        <v>2859.4</v>
      </c>
      <c r="G345" s="303">
        <f t="shared" ref="G345" si="833">+F345*$X$1</f>
        <v>2859.4</v>
      </c>
      <c r="H345" s="295"/>
      <c r="I345" s="368"/>
      <c r="J345" s="598">
        <f>F345+160</f>
        <v>3019.4</v>
      </c>
      <c r="K345" s="303">
        <f t="shared" ref="K345" si="834">+J345*$X$1</f>
        <v>3019.4</v>
      </c>
      <c r="L345" s="598">
        <f t="shared" si="820"/>
        <v>2959.4</v>
      </c>
      <c r="M345" s="303">
        <f t="shared" si="821"/>
        <v>2959.4</v>
      </c>
      <c r="N345" s="598">
        <f t="shared" si="822"/>
        <v>2911.4</v>
      </c>
      <c r="O345" s="303">
        <f t="shared" si="823"/>
        <v>2911.4</v>
      </c>
      <c r="P345" s="598">
        <f t="shared" si="824"/>
        <v>2903.4</v>
      </c>
      <c r="Q345" s="303">
        <f t="shared" si="825"/>
        <v>2903.4</v>
      </c>
      <c r="R345" s="598">
        <f t="shared" si="826"/>
        <v>2896.4</v>
      </c>
      <c r="S345" s="303">
        <f t="shared" si="827"/>
        <v>2896.4</v>
      </c>
      <c r="T345" s="105">
        <f t="shared" si="828"/>
        <v>2888.4</v>
      </c>
      <c r="U345" s="268">
        <f t="shared" si="829"/>
        <v>2888.4</v>
      </c>
      <c r="V345" s="105">
        <f t="shared" si="831"/>
        <v>2884.4</v>
      </c>
      <c r="W345" s="268">
        <f t="shared" si="832"/>
        <v>2884.4</v>
      </c>
      <c r="X345" s="144"/>
      <c r="Y345" s="140"/>
      <c r="Z345" s="140"/>
      <c r="AA345" s="143"/>
      <c r="AB345" s="442">
        <v>2247</v>
      </c>
    </row>
    <row r="346" spans="1:29" ht="12.6" customHeight="1" x14ac:dyDescent="0.2">
      <c r="A346" s="18"/>
      <c r="B346" s="682" t="s">
        <v>500</v>
      </c>
      <c r="C346" s="1047"/>
      <c r="D346" s="1047"/>
      <c r="E346" s="1048"/>
      <c r="F346" s="417">
        <f>0.47*X2</f>
        <v>463.41999999999996</v>
      </c>
      <c r="G346" s="304">
        <f t="shared" ref="G346:G351" si="835">+F346*$X$1</f>
        <v>463.41999999999996</v>
      </c>
      <c r="H346" s="294"/>
      <c r="I346" s="369"/>
      <c r="J346" s="529"/>
      <c r="K346" s="304"/>
      <c r="L346" s="529">
        <f t="shared" si="820"/>
        <v>563.41999999999996</v>
      </c>
      <c r="M346" s="304">
        <f t="shared" si="821"/>
        <v>563.41999999999996</v>
      </c>
      <c r="N346" s="529">
        <f t="shared" si="822"/>
        <v>515.41999999999996</v>
      </c>
      <c r="O346" s="304">
        <f t="shared" si="823"/>
        <v>515.41999999999996</v>
      </c>
      <c r="P346" s="529">
        <f t="shared" si="824"/>
        <v>507.41999999999996</v>
      </c>
      <c r="Q346" s="304">
        <f t="shared" si="825"/>
        <v>507.41999999999996</v>
      </c>
      <c r="R346" s="529">
        <f t="shared" si="826"/>
        <v>500.41999999999996</v>
      </c>
      <c r="S346" s="304">
        <f t="shared" si="827"/>
        <v>500.41999999999996</v>
      </c>
      <c r="T346" s="104">
        <f t="shared" si="828"/>
        <v>492.41999999999996</v>
      </c>
      <c r="U346" s="325">
        <f t="shared" si="829"/>
        <v>492.41999999999996</v>
      </c>
      <c r="V346" s="104">
        <f t="shared" si="831"/>
        <v>488.41999999999996</v>
      </c>
      <c r="W346" s="325">
        <f t="shared" si="832"/>
        <v>488.41999999999996</v>
      </c>
      <c r="X346" s="136"/>
      <c r="Y346" s="136"/>
      <c r="Z346" s="136"/>
      <c r="AA346" s="136"/>
      <c r="AB346" s="456">
        <v>2251</v>
      </c>
    </row>
    <row r="347" spans="1:29" ht="12.6" customHeight="1" x14ac:dyDescent="0.2">
      <c r="A347" s="18"/>
      <c r="B347" s="622" t="s">
        <v>727</v>
      </c>
      <c r="C347" s="651"/>
      <c r="D347" s="651"/>
      <c r="E347" s="652"/>
      <c r="F347" s="418">
        <f>0.47*X2</f>
        <v>463.41999999999996</v>
      </c>
      <c r="G347" s="303">
        <f t="shared" si="835"/>
        <v>463.41999999999996</v>
      </c>
      <c r="H347" s="295"/>
      <c r="I347" s="368"/>
      <c r="J347" s="598"/>
      <c r="K347" s="303"/>
      <c r="L347" s="598">
        <f t="shared" si="820"/>
        <v>563.41999999999996</v>
      </c>
      <c r="M347" s="303">
        <f t="shared" si="821"/>
        <v>563.41999999999996</v>
      </c>
      <c r="N347" s="598">
        <f t="shared" si="822"/>
        <v>515.41999999999996</v>
      </c>
      <c r="O347" s="303">
        <f t="shared" si="823"/>
        <v>515.41999999999996</v>
      </c>
      <c r="P347" s="598">
        <f t="shared" si="824"/>
        <v>507.41999999999996</v>
      </c>
      <c r="Q347" s="303">
        <f t="shared" si="825"/>
        <v>507.41999999999996</v>
      </c>
      <c r="R347" s="598">
        <f t="shared" si="826"/>
        <v>500.41999999999996</v>
      </c>
      <c r="S347" s="303">
        <f t="shared" si="827"/>
        <v>500.41999999999996</v>
      </c>
      <c r="T347" s="105">
        <f t="shared" si="828"/>
        <v>492.41999999999996</v>
      </c>
      <c r="U347" s="268">
        <f t="shared" si="829"/>
        <v>492.41999999999996</v>
      </c>
      <c r="V347" s="105">
        <f t="shared" si="831"/>
        <v>488.41999999999996</v>
      </c>
      <c r="W347" s="268">
        <f t="shared" si="832"/>
        <v>488.41999999999996</v>
      </c>
      <c r="X347" s="136"/>
      <c r="Y347" s="136"/>
      <c r="Z347" s="136"/>
      <c r="AA347" s="136"/>
      <c r="AB347" s="442">
        <v>2252</v>
      </c>
    </row>
    <row r="348" spans="1:29" ht="12.6" customHeight="1" x14ac:dyDescent="0.2">
      <c r="A348" s="108"/>
      <c r="B348" s="682" t="s">
        <v>250</v>
      </c>
      <c r="C348" s="889"/>
      <c r="D348" s="889"/>
      <c r="E348" s="890"/>
      <c r="F348" s="413">
        <f>0.35*X2</f>
        <v>345.09999999999997</v>
      </c>
      <c r="G348" s="304">
        <f t="shared" si="835"/>
        <v>345.09999999999997</v>
      </c>
      <c r="H348" s="294"/>
      <c r="I348" s="369"/>
      <c r="J348" s="529"/>
      <c r="K348" s="304"/>
      <c r="L348" s="529">
        <f t="shared" si="820"/>
        <v>445.09999999999997</v>
      </c>
      <c r="M348" s="304">
        <f t="shared" si="821"/>
        <v>445.09999999999997</v>
      </c>
      <c r="N348" s="529">
        <f t="shared" si="822"/>
        <v>397.09999999999997</v>
      </c>
      <c r="O348" s="304">
        <f t="shared" si="823"/>
        <v>397.09999999999997</v>
      </c>
      <c r="P348" s="529">
        <f t="shared" si="824"/>
        <v>389.09999999999997</v>
      </c>
      <c r="Q348" s="304">
        <f t="shared" si="825"/>
        <v>389.09999999999997</v>
      </c>
      <c r="R348" s="529">
        <f t="shared" si="826"/>
        <v>382.09999999999997</v>
      </c>
      <c r="S348" s="304">
        <f t="shared" si="827"/>
        <v>382.09999999999997</v>
      </c>
      <c r="T348" s="104">
        <f t="shared" si="828"/>
        <v>374.09999999999997</v>
      </c>
      <c r="U348" s="325">
        <f t="shared" si="829"/>
        <v>374.09999999999997</v>
      </c>
      <c r="V348" s="104">
        <f t="shared" si="831"/>
        <v>370.09999999999997</v>
      </c>
      <c r="W348" s="325">
        <f t="shared" si="832"/>
        <v>370.09999999999997</v>
      </c>
      <c r="X348" s="177"/>
      <c r="Y348" s="136"/>
      <c r="Z348" s="136"/>
      <c r="AA348" s="156"/>
      <c r="AB348" s="442">
        <v>2254</v>
      </c>
      <c r="AC348" s="66"/>
    </row>
    <row r="349" spans="1:29" ht="12.6" customHeight="1" x14ac:dyDescent="0.2">
      <c r="A349" s="108"/>
      <c r="B349" s="622" t="s">
        <v>513</v>
      </c>
      <c r="C349" s="644"/>
      <c r="D349" s="644"/>
      <c r="E349" s="645"/>
      <c r="F349" s="412">
        <f>0.32*X2</f>
        <v>315.52</v>
      </c>
      <c r="G349" s="303">
        <f t="shared" si="835"/>
        <v>315.52</v>
      </c>
      <c r="H349" s="295"/>
      <c r="I349" s="368"/>
      <c r="J349" s="598"/>
      <c r="K349" s="303"/>
      <c r="L349" s="598">
        <f t="shared" si="820"/>
        <v>415.52</v>
      </c>
      <c r="M349" s="303">
        <f t="shared" si="821"/>
        <v>415.52</v>
      </c>
      <c r="N349" s="598">
        <f t="shared" si="822"/>
        <v>367.52</v>
      </c>
      <c r="O349" s="303">
        <f t="shared" si="823"/>
        <v>367.52</v>
      </c>
      <c r="P349" s="598">
        <f t="shared" si="824"/>
        <v>359.52</v>
      </c>
      <c r="Q349" s="303">
        <f t="shared" si="825"/>
        <v>359.52</v>
      </c>
      <c r="R349" s="598">
        <f t="shared" si="826"/>
        <v>352.52</v>
      </c>
      <c r="S349" s="303">
        <f t="shared" si="827"/>
        <v>352.52</v>
      </c>
      <c r="T349" s="105">
        <f t="shared" si="828"/>
        <v>344.52</v>
      </c>
      <c r="U349" s="268">
        <f t="shared" si="829"/>
        <v>344.52</v>
      </c>
      <c r="V349" s="105">
        <f t="shared" si="831"/>
        <v>340.52</v>
      </c>
      <c r="W349" s="268">
        <f t="shared" si="832"/>
        <v>340.52</v>
      </c>
      <c r="X349" s="177"/>
      <c r="Y349" s="136"/>
      <c r="Z349" s="136"/>
      <c r="AA349" s="156"/>
      <c r="AB349" s="442" t="s">
        <v>540</v>
      </c>
      <c r="AC349" s="66"/>
    </row>
    <row r="350" spans="1:29" ht="12.6" customHeight="1" x14ac:dyDescent="0.2">
      <c r="A350" s="108"/>
      <c r="B350" s="682" t="s">
        <v>516</v>
      </c>
      <c r="C350" s="889"/>
      <c r="D350" s="889"/>
      <c r="E350" s="890"/>
      <c r="F350" s="413"/>
      <c r="G350" s="304"/>
      <c r="H350" s="294"/>
      <c r="I350" s="369"/>
      <c r="J350" s="529"/>
      <c r="K350" s="304"/>
      <c r="L350" s="529"/>
      <c r="M350" s="304"/>
      <c r="N350" s="529"/>
      <c r="O350" s="304"/>
      <c r="P350" s="529"/>
      <c r="Q350" s="304"/>
      <c r="R350" s="529"/>
      <c r="S350" s="304"/>
      <c r="T350" s="104"/>
      <c r="U350" s="325"/>
      <c r="V350" s="104"/>
      <c r="W350" s="325"/>
      <c r="X350" s="177"/>
      <c r="Y350" s="136"/>
      <c r="Z350" s="136"/>
      <c r="AA350" s="156"/>
      <c r="AB350" s="442" t="s">
        <v>539</v>
      </c>
      <c r="AC350" s="66"/>
    </row>
    <row r="351" spans="1:29" ht="12.6" customHeight="1" x14ac:dyDescent="0.2">
      <c r="A351" s="108"/>
      <c r="B351" s="1184" t="s">
        <v>251</v>
      </c>
      <c r="C351" s="1185"/>
      <c r="D351" s="1185"/>
      <c r="E351" s="1186"/>
      <c r="F351" s="361">
        <v>430</v>
      </c>
      <c r="G351" s="361">
        <f t="shared" si="835"/>
        <v>430</v>
      </c>
      <c r="H351" s="301"/>
      <c r="I351" s="367"/>
      <c r="J351" s="610"/>
      <c r="K351" s="361"/>
      <c r="L351" s="610">
        <f t="shared" si="820"/>
        <v>530</v>
      </c>
      <c r="M351" s="361">
        <f t="shared" si="821"/>
        <v>530</v>
      </c>
      <c r="N351" s="610">
        <f t="shared" si="822"/>
        <v>482</v>
      </c>
      <c r="O351" s="361">
        <f t="shared" si="823"/>
        <v>482</v>
      </c>
      <c r="P351" s="610">
        <f t="shared" si="824"/>
        <v>474</v>
      </c>
      <c r="Q351" s="361">
        <f t="shared" si="825"/>
        <v>474</v>
      </c>
      <c r="R351" s="610">
        <f t="shared" si="826"/>
        <v>467</v>
      </c>
      <c r="S351" s="361">
        <f t="shared" si="827"/>
        <v>467</v>
      </c>
      <c r="T351" s="117">
        <f t="shared" si="828"/>
        <v>459</v>
      </c>
      <c r="U351" s="410">
        <f t="shared" si="829"/>
        <v>459</v>
      </c>
      <c r="V351" s="117"/>
      <c r="W351" s="410"/>
      <c r="X351" s="177"/>
      <c r="Y351" s="136"/>
      <c r="Z351" s="136"/>
      <c r="AA351" s="136"/>
      <c r="AB351" s="442">
        <v>2255</v>
      </c>
      <c r="AC351" s="66"/>
    </row>
    <row r="352" spans="1:29" ht="12.6" customHeight="1" x14ac:dyDescent="0.2">
      <c r="A352" s="18"/>
      <c r="B352" s="665" t="s">
        <v>707</v>
      </c>
      <c r="C352" s="666"/>
      <c r="D352" s="666"/>
      <c r="E352" s="666"/>
      <c r="F352" s="413">
        <f>0.54*X2</f>
        <v>532.44000000000005</v>
      </c>
      <c r="G352" s="304">
        <f t="shared" ref="G352" si="836">+F352*$X$1</f>
        <v>532.44000000000005</v>
      </c>
      <c r="H352" s="529"/>
      <c r="I352" s="304"/>
      <c r="J352" s="529"/>
      <c r="K352" s="304"/>
      <c r="L352" s="529">
        <f t="shared" si="820"/>
        <v>632.44000000000005</v>
      </c>
      <c r="M352" s="304">
        <f t="shared" si="821"/>
        <v>632.44000000000005</v>
      </c>
      <c r="N352" s="529">
        <f t="shared" si="822"/>
        <v>584.44000000000005</v>
      </c>
      <c r="O352" s="304">
        <f t="shared" si="823"/>
        <v>584.44000000000005</v>
      </c>
      <c r="P352" s="529">
        <f t="shared" si="824"/>
        <v>576.44000000000005</v>
      </c>
      <c r="Q352" s="304">
        <f t="shared" si="825"/>
        <v>576.44000000000005</v>
      </c>
      <c r="R352" s="529">
        <f t="shared" si="826"/>
        <v>569.44000000000005</v>
      </c>
      <c r="S352" s="304">
        <f t="shared" si="827"/>
        <v>569.44000000000005</v>
      </c>
      <c r="T352" s="104">
        <f t="shared" si="828"/>
        <v>561.44000000000005</v>
      </c>
      <c r="U352" s="325">
        <f t="shared" si="829"/>
        <v>561.44000000000005</v>
      </c>
      <c r="V352" s="104">
        <f t="shared" si="831"/>
        <v>557.44000000000005</v>
      </c>
      <c r="W352" s="325">
        <f t="shared" si="832"/>
        <v>557.44000000000005</v>
      </c>
      <c r="X352" s="626"/>
      <c r="Y352" s="753"/>
      <c r="Z352" s="753"/>
      <c r="AA352" s="627"/>
      <c r="AB352" s="442">
        <v>2260</v>
      </c>
      <c r="AC352" s="66"/>
    </row>
    <row r="353" spans="1:29" ht="12.6" customHeight="1" x14ac:dyDescent="0.2">
      <c r="A353" s="18"/>
      <c r="B353" s="912" t="s">
        <v>683</v>
      </c>
      <c r="C353" s="1166"/>
      <c r="D353" s="1166"/>
      <c r="E353" s="1166"/>
      <c r="F353" s="412">
        <f>0.6*X2</f>
        <v>591.6</v>
      </c>
      <c r="G353" s="303">
        <f t="shared" ref="G353:G354" si="837">+F353*$X$1</f>
        <v>591.6</v>
      </c>
      <c r="H353" s="598"/>
      <c r="I353" s="303"/>
      <c r="J353" s="598"/>
      <c r="K353" s="303"/>
      <c r="L353" s="598">
        <f t="shared" si="820"/>
        <v>691.6</v>
      </c>
      <c r="M353" s="303">
        <f t="shared" si="821"/>
        <v>691.6</v>
      </c>
      <c r="N353" s="598">
        <f t="shared" si="822"/>
        <v>643.6</v>
      </c>
      <c r="O353" s="303">
        <f t="shared" si="823"/>
        <v>643.6</v>
      </c>
      <c r="P353" s="598">
        <f t="shared" si="824"/>
        <v>635.6</v>
      </c>
      <c r="Q353" s="303">
        <f t="shared" si="825"/>
        <v>635.6</v>
      </c>
      <c r="R353" s="598">
        <f t="shared" si="826"/>
        <v>628.6</v>
      </c>
      <c r="S353" s="303">
        <f t="shared" si="827"/>
        <v>628.6</v>
      </c>
      <c r="T353" s="105">
        <f t="shared" si="828"/>
        <v>620.6</v>
      </c>
      <c r="U353" s="268">
        <f t="shared" si="829"/>
        <v>620.6</v>
      </c>
      <c r="V353" s="105">
        <f t="shared" si="831"/>
        <v>616.6</v>
      </c>
      <c r="W353" s="268">
        <f t="shared" si="832"/>
        <v>616.6</v>
      </c>
      <c r="X353" s="626"/>
      <c r="Y353" s="753"/>
      <c r="Z353" s="753"/>
      <c r="AA353" s="627"/>
      <c r="AB353" s="442">
        <v>2261</v>
      </c>
      <c r="AC353" s="66"/>
    </row>
    <row r="354" spans="1:29" ht="12.6" customHeight="1" x14ac:dyDescent="0.2">
      <c r="A354" s="18"/>
      <c r="B354" s="665" t="s">
        <v>709</v>
      </c>
      <c r="C354" s="666"/>
      <c r="D354" s="666"/>
      <c r="E354" s="666"/>
      <c r="F354" s="413">
        <f>0.58*X2</f>
        <v>571.88</v>
      </c>
      <c r="G354" s="304">
        <f t="shared" si="837"/>
        <v>571.88</v>
      </c>
      <c r="H354" s="529"/>
      <c r="I354" s="304"/>
      <c r="J354" s="529"/>
      <c r="K354" s="304"/>
      <c r="L354" s="529">
        <f t="shared" si="820"/>
        <v>671.88</v>
      </c>
      <c r="M354" s="304">
        <f t="shared" si="821"/>
        <v>671.88</v>
      </c>
      <c r="N354" s="529">
        <f t="shared" si="822"/>
        <v>623.88</v>
      </c>
      <c r="O354" s="304">
        <f t="shared" si="823"/>
        <v>623.88</v>
      </c>
      <c r="P354" s="529">
        <f t="shared" si="824"/>
        <v>615.88</v>
      </c>
      <c r="Q354" s="304">
        <f t="shared" si="825"/>
        <v>615.88</v>
      </c>
      <c r="R354" s="529">
        <f t="shared" si="826"/>
        <v>608.88</v>
      </c>
      <c r="S354" s="304">
        <f t="shared" si="827"/>
        <v>608.88</v>
      </c>
      <c r="T354" s="104">
        <f t="shared" si="828"/>
        <v>600.88</v>
      </c>
      <c r="U354" s="325">
        <f t="shared" si="829"/>
        <v>600.88</v>
      </c>
      <c r="V354" s="104">
        <f t="shared" si="831"/>
        <v>596.88</v>
      </c>
      <c r="W354" s="325">
        <f t="shared" si="832"/>
        <v>596.88</v>
      </c>
      <c r="X354" s="626"/>
      <c r="Y354" s="753"/>
      <c r="Z354" s="753"/>
      <c r="AA354" s="627"/>
      <c r="AB354" s="442">
        <v>2262</v>
      </c>
      <c r="AC354" s="66"/>
    </row>
    <row r="355" spans="1:29" ht="12.6" customHeight="1" x14ac:dyDescent="0.2">
      <c r="A355" s="18"/>
      <c r="B355" s="912" t="s">
        <v>648</v>
      </c>
      <c r="C355" s="1166"/>
      <c r="D355" s="1166"/>
      <c r="E355" s="1166"/>
      <c r="F355" s="412">
        <f>1.921*X2</f>
        <v>1894.106</v>
      </c>
      <c r="G355" s="303">
        <f t="shared" ref="G355" si="838">+F355*$X$1</f>
        <v>1894.106</v>
      </c>
      <c r="H355" s="598"/>
      <c r="I355" s="303"/>
      <c r="J355" s="598"/>
      <c r="K355" s="303"/>
      <c r="L355" s="598">
        <f t="shared" si="820"/>
        <v>1994.106</v>
      </c>
      <c r="M355" s="303">
        <f t="shared" si="821"/>
        <v>1994.106</v>
      </c>
      <c r="N355" s="598">
        <f t="shared" si="822"/>
        <v>1946.106</v>
      </c>
      <c r="O355" s="303">
        <f t="shared" si="823"/>
        <v>1946.106</v>
      </c>
      <c r="P355" s="598">
        <f t="shared" si="824"/>
        <v>1938.106</v>
      </c>
      <c r="Q355" s="303">
        <f t="shared" si="825"/>
        <v>1938.106</v>
      </c>
      <c r="R355" s="598">
        <f t="shared" si="826"/>
        <v>1931.106</v>
      </c>
      <c r="S355" s="303">
        <f t="shared" si="827"/>
        <v>1931.106</v>
      </c>
      <c r="T355" s="105">
        <f t="shared" si="828"/>
        <v>1923.106</v>
      </c>
      <c r="U355" s="268">
        <f t="shared" si="829"/>
        <v>1923.106</v>
      </c>
      <c r="V355" s="105">
        <f t="shared" si="831"/>
        <v>1919.106</v>
      </c>
      <c r="W355" s="268">
        <f t="shared" si="832"/>
        <v>1919.106</v>
      </c>
      <c r="X355" s="626"/>
      <c r="Y355" s="753"/>
      <c r="Z355" s="753"/>
      <c r="AA355" s="627"/>
      <c r="AB355" s="442">
        <v>2264</v>
      </c>
      <c r="AC355" s="66"/>
    </row>
    <row r="356" spans="1:29" ht="12.6" customHeight="1" x14ac:dyDescent="0.2">
      <c r="A356" s="18"/>
      <c r="B356" s="665" t="s">
        <v>708</v>
      </c>
      <c r="C356" s="666"/>
      <c r="D356" s="666"/>
      <c r="E356" s="666"/>
      <c r="F356" s="413">
        <f>0.81*X2</f>
        <v>798.66000000000008</v>
      </c>
      <c r="G356" s="304">
        <f t="shared" ref="G356" si="839">+F356*$X$1</f>
        <v>798.66000000000008</v>
      </c>
      <c r="H356" s="529"/>
      <c r="I356" s="304"/>
      <c r="J356" s="529"/>
      <c r="K356" s="304"/>
      <c r="L356" s="529">
        <f t="shared" si="820"/>
        <v>898.66000000000008</v>
      </c>
      <c r="M356" s="304">
        <f t="shared" si="821"/>
        <v>898.66000000000008</v>
      </c>
      <c r="N356" s="529">
        <f t="shared" si="822"/>
        <v>850.66000000000008</v>
      </c>
      <c r="O356" s="304">
        <f t="shared" si="823"/>
        <v>850.66000000000008</v>
      </c>
      <c r="P356" s="529">
        <f t="shared" si="824"/>
        <v>842.66000000000008</v>
      </c>
      <c r="Q356" s="304">
        <f t="shared" si="825"/>
        <v>842.66000000000008</v>
      </c>
      <c r="R356" s="529">
        <f t="shared" si="826"/>
        <v>835.66000000000008</v>
      </c>
      <c r="S356" s="304">
        <f t="shared" si="827"/>
        <v>835.66000000000008</v>
      </c>
      <c r="T356" s="104">
        <f t="shared" si="828"/>
        <v>827.66000000000008</v>
      </c>
      <c r="U356" s="325">
        <f t="shared" si="829"/>
        <v>827.66000000000008</v>
      </c>
      <c r="V356" s="104">
        <f t="shared" si="831"/>
        <v>823.66000000000008</v>
      </c>
      <c r="W356" s="325">
        <f t="shared" si="832"/>
        <v>823.66000000000008</v>
      </c>
      <c r="X356" s="626"/>
      <c r="Y356" s="753"/>
      <c r="Z356" s="753"/>
      <c r="AA356" s="627"/>
      <c r="AB356" s="442">
        <v>2266</v>
      </c>
      <c r="AC356" s="66"/>
    </row>
    <row r="357" spans="1:29" ht="12.6" customHeight="1" x14ac:dyDescent="0.2">
      <c r="A357" s="18"/>
      <c r="B357" s="1171" t="s">
        <v>252</v>
      </c>
      <c r="C357" s="1172"/>
      <c r="D357" s="1172"/>
      <c r="E357" s="1172"/>
      <c r="F357" s="420">
        <f>1.96*X2</f>
        <v>1932.56</v>
      </c>
      <c r="G357" s="303">
        <f t="shared" ref="G357:G358" si="840">+F357*$X$1</f>
        <v>1932.56</v>
      </c>
      <c r="H357" s="598">
        <f>F357+310</f>
        <v>2242.56</v>
      </c>
      <c r="I357" s="303">
        <f>+H357*$X$1</f>
        <v>2242.56</v>
      </c>
      <c r="J357" s="598">
        <f>F357+120</f>
        <v>2052.56</v>
      </c>
      <c r="K357" s="303">
        <f t="shared" ref="K357" si="841">+J357*$X$1</f>
        <v>2052.56</v>
      </c>
      <c r="L357" s="598">
        <f>F357+90</f>
        <v>2022.56</v>
      </c>
      <c r="M357" s="303">
        <f t="shared" ref="M357:M358" si="842">+L357*$X$1</f>
        <v>2022.56</v>
      </c>
      <c r="N357" s="598">
        <f>F357+55</f>
        <v>1987.56</v>
      </c>
      <c r="O357" s="303">
        <f t="shared" ref="O357:O358" si="843">+N357*$X$1</f>
        <v>1987.56</v>
      </c>
      <c r="P357" s="598">
        <f>F357+49</f>
        <v>1981.56</v>
      </c>
      <c r="Q357" s="303">
        <f t="shared" ref="Q357:Q358" si="844">+P357*$X$1</f>
        <v>1981.56</v>
      </c>
      <c r="R357" s="598">
        <f>F357+42</f>
        <v>1974.56</v>
      </c>
      <c r="S357" s="303">
        <f t="shared" ref="S357:S358" si="845">+R357*$X$1</f>
        <v>1974.56</v>
      </c>
      <c r="T357" s="598">
        <f>F357+34</f>
        <v>1966.56</v>
      </c>
      <c r="U357" s="303">
        <f t="shared" ref="U357:U358" si="846">+T357*$X$1</f>
        <v>1966.56</v>
      </c>
      <c r="V357" s="598">
        <f>F357+30</f>
        <v>1962.56</v>
      </c>
      <c r="W357" s="303">
        <f t="shared" ref="W357:W358" si="847">+V357*$X$1</f>
        <v>1962.56</v>
      </c>
      <c r="X357" s="626"/>
      <c r="Y357" s="753"/>
      <c r="Z357" s="753"/>
      <c r="AA357" s="627"/>
      <c r="AB357" s="442">
        <v>2268</v>
      </c>
      <c r="AC357" s="66"/>
    </row>
    <row r="358" spans="1:29" ht="12.6" customHeight="1" x14ac:dyDescent="0.2">
      <c r="A358" s="18"/>
      <c r="B358" s="665" t="s">
        <v>253</v>
      </c>
      <c r="C358" s="1148"/>
      <c r="D358" s="1148"/>
      <c r="E358" s="1148"/>
      <c r="F358" s="413">
        <f>0.36*X2</f>
        <v>354.96</v>
      </c>
      <c r="G358" s="304">
        <f t="shared" si="840"/>
        <v>354.96</v>
      </c>
      <c r="H358" s="294"/>
      <c r="I358" s="294"/>
      <c r="J358" s="529"/>
      <c r="K358" s="529"/>
      <c r="L358" s="529">
        <f t="shared" ref="L358" si="848">F358+100</f>
        <v>454.96</v>
      </c>
      <c r="M358" s="304">
        <f t="shared" si="842"/>
        <v>454.96</v>
      </c>
      <c r="N358" s="529">
        <f t="shared" ref="N358" si="849">F358+52</f>
        <v>406.96</v>
      </c>
      <c r="O358" s="304">
        <f t="shared" si="843"/>
        <v>406.96</v>
      </c>
      <c r="P358" s="529">
        <f t="shared" ref="P358" si="850">F358+44</f>
        <v>398.96</v>
      </c>
      <c r="Q358" s="304">
        <f t="shared" si="844"/>
        <v>398.96</v>
      </c>
      <c r="R358" s="529">
        <f t="shared" ref="R358" si="851">F358+37</f>
        <v>391.96</v>
      </c>
      <c r="S358" s="304">
        <f t="shared" si="845"/>
        <v>391.96</v>
      </c>
      <c r="T358" s="104">
        <f t="shared" ref="T358" si="852">F358+29</f>
        <v>383.96</v>
      </c>
      <c r="U358" s="325">
        <f t="shared" si="846"/>
        <v>383.96</v>
      </c>
      <c r="V358" s="104">
        <f t="shared" ref="V358" si="853">F358+25</f>
        <v>379.96</v>
      </c>
      <c r="W358" s="325">
        <f t="shared" si="847"/>
        <v>379.96</v>
      </c>
      <c r="X358" s="183"/>
      <c r="Y358" s="185"/>
      <c r="Z358" s="185"/>
      <c r="AA358" s="183"/>
      <c r="AB358" s="442">
        <v>2270</v>
      </c>
      <c r="AC358" s="66"/>
    </row>
    <row r="359" spans="1:29" ht="12.6" customHeight="1" x14ac:dyDescent="0.2">
      <c r="A359" s="18"/>
      <c r="B359" s="912" t="s">
        <v>254</v>
      </c>
      <c r="C359" s="1153"/>
      <c r="D359" s="1153"/>
      <c r="E359" s="1153"/>
      <c r="F359" s="412"/>
      <c r="G359" s="303"/>
      <c r="H359" s="295"/>
      <c r="I359" s="295"/>
      <c r="J359" s="598"/>
      <c r="K359" s="598"/>
      <c r="L359" s="598"/>
      <c r="M359" s="303"/>
      <c r="N359" s="598"/>
      <c r="O359" s="303"/>
      <c r="P359" s="598"/>
      <c r="Q359" s="303"/>
      <c r="R359" s="598"/>
      <c r="S359" s="303"/>
      <c r="T359" s="598"/>
      <c r="U359" s="303"/>
      <c r="V359" s="598"/>
      <c r="W359" s="303"/>
      <c r="X359" s="183"/>
      <c r="Y359" s="185"/>
      <c r="Z359" s="185"/>
      <c r="AA359" s="183"/>
      <c r="AB359" s="442">
        <v>2271</v>
      </c>
      <c r="AC359" s="66"/>
    </row>
    <row r="360" spans="1:29" ht="12.6" customHeight="1" x14ac:dyDescent="0.2">
      <c r="A360" s="18"/>
      <c r="B360" s="665" t="s">
        <v>255</v>
      </c>
      <c r="C360" s="948"/>
      <c r="D360" s="948"/>
      <c r="E360" s="948"/>
      <c r="F360" s="413">
        <f>0.59*X2</f>
        <v>581.74</v>
      </c>
      <c r="G360" s="304">
        <f>+F360*$X$1</f>
        <v>581.74</v>
      </c>
      <c r="H360" s="294"/>
      <c r="I360" s="294"/>
      <c r="J360" s="529"/>
      <c r="K360" s="529"/>
      <c r="L360" s="529">
        <f t="shared" ref="L360:L362" si="854">F360+100</f>
        <v>681.74</v>
      </c>
      <c r="M360" s="304">
        <f t="shared" ref="M360:M362" si="855">+L360*$X$1</f>
        <v>681.74</v>
      </c>
      <c r="N360" s="529">
        <f t="shared" ref="N360:N362" si="856">F360+52</f>
        <v>633.74</v>
      </c>
      <c r="O360" s="304">
        <f t="shared" ref="O360:O362" si="857">+N360*$X$1</f>
        <v>633.74</v>
      </c>
      <c r="P360" s="529">
        <f t="shared" ref="P360:P362" si="858">F360+44</f>
        <v>625.74</v>
      </c>
      <c r="Q360" s="304">
        <f t="shared" ref="Q360:Q362" si="859">+P360*$X$1</f>
        <v>625.74</v>
      </c>
      <c r="R360" s="529">
        <f t="shared" ref="R360:R362" si="860">F360+37</f>
        <v>618.74</v>
      </c>
      <c r="S360" s="304">
        <f t="shared" ref="S360:S362" si="861">+R360*$X$1</f>
        <v>618.74</v>
      </c>
      <c r="T360" s="104">
        <f t="shared" ref="T360:T362" si="862">F360+29</f>
        <v>610.74</v>
      </c>
      <c r="U360" s="325">
        <f t="shared" ref="U360:U362" si="863">+T360*$X$1</f>
        <v>610.74</v>
      </c>
      <c r="V360" s="104">
        <f t="shared" ref="V360:V362" si="864">F360+25</f>
        <v>606.74</v>
      </c>
      <c r="W360" s="325">
        <f t="shared" ref="W360:W362" si="865">+V360*$X$1</f>
        <v>606.74</v>
      </c>
      <c r="X360" s="183"/>
      <c r="Y360" s="185"/>
      <c r="Z360" s="185"/>
      <c r="AA360" s="183"/>
      <c r="AB360" s="442">
        <v>2275</v>
      </c>
      <c r="AC360" s="66"/>
    </row>
    <row r="361" spans="1:29" ht="12.6" customHeight="1" x14ac:dyDescent="0.2">
      <c r="A361" s="18"/>
      <c r="B361" s="912" t="s">
        <v>646</v>
      </c>
      <c r="C361" s="913"/>
      <c r="D361" s="913"/>
      <c r="E361" s="913"/>
      <c r="F361" s="412">
        <f>0.6*X2</f>
        <v>591.6</v>
      </c>
      <c r="G361" s="303">
        <f t="shared" ref="G361:G362" si="866">+F361*$X$1</f>
        <v>591.6</v>
      </c>
      <c r="H361" s="295"/>
      <c r="I361" s="295"/>
      <c r="J361" s="590"/>
      <c r="K361" s="590"/>
      <c r="L361" s="590">
        <f t="shared" si="854"/>
        <v>691.6</v>
      </c>
      <c r="M361" s="303">
        <f t="shared" si="855"/>
        <v>691.6</v>
      </c>
      <c r="N361" s="590">
        <f t="shared" si="856"/>
        <v>643.6</v>
      </c>
      <c r="O361" s="303">
        <f t="shared" si="857"/>
        <v>643.6</v>
      </c>
      <c r="P361" s="590">
        <f t="shared" si="858"/>
        <v>635.6</v>
      </c>
      <c r="Q361" s="303">
        <f t="shared" si="859"/>
        <v>635.6</v>
      </c>
      <c r="R361" s="590">
        <f t="shared" si="860"/>
        <v>628.6</v>
      </c>
      <c r="S361" s="303">
        <f t="shared" si="861"/>
        <v>628.6</v>
      </c>
      <c r="T361" s="105">
        <f t="shared" si="862"/>
        <v>620.6</v>
      </c>
      <c r="U361" s="268">
        <f t="shared" si="863"/>
        <v>620.6</v>
      </c>
      <c r="V361" s="105">
        <f t="shared" si="864"/>
        <v>616.6</v>
      </c>
      <c r="W361" s="268">
        <f t="shared" si="865"/>
        <v>616.6</v>
      </c>
      <c r="X361" s="234"/>
      <c r="Y361" s="235"/>
      <c r="Z361" s="235"/>
      <c r="AA361" s="234"/>
      <c r="AB361" s="442">
        <v>2279</v>
      </c>
      <c r="AC361" s="66"/>
    </row>
    <row r="362" spans="1:29" ht="12.6" customHeight="1" x14ac:dyDescent="0.2">
      <c r="A362" s="18"/>
      <c r="B362" s="665" t="s">
        <v>256</v>
      </c>
      <c r="C362" s="948"/>
      <c r="D362" s="948"/>
      <c r="E362" s="948"/>
      <c r="F362" s="413">
        <f>0.484*X2</f>
        <v>477.22399999999999</v>
      </c>
      <c r="G362" s="304">
        <f t="shared" si="866"/>
        <v>477.22399999999999</v>
      </c>
      <c r="H362" s="294"/>
      <c r="I362" s="294"/>
      <c r="J362" s="529"/>
      <c r="K362" s="529"/>
      <c r="L362" s="529">
        <f t="shared" si="854"/>
        <v>577.22399999999993</v>
      </c>
      <c r="M362" s="304">
        <f t="shared" si="855"/>
        <v>577.22399999999993</v>
      </c>
      <c r="N362" s="529">
        <f t="shared" si="856"/>
        <v>529.22399999999993</v>
      </c>
      <c r="O362" s="304">
        <f t="shared" si="857"/>
        <v>529.22399999999993</v>
      </c>
      <c r="P362" s="529">
        <f t="shared" si="858"/>
        <v>521.22399999999993</v>
      </c>
      <c r="Q362" s="304">
        <f t="shared" si="859"/>
        <v>521.22399999999993</v>
      </c>
      <c r="R362" s="529">
        <f t="shared" si="860"/>
        <v>514.22399999999993</v>
      </c>
      <c r="S362" s="304">
        <f t="shared" si="861"/>
        <v>514.22399999999993</v>
      </c>
      <c r="T362" s="104">
        <f t="shared" si="862"/>
        <v>506.22399999999999</v>
      </c>
      <c r="U362" s="325">
        <f t="shared" si="863"/>
        <v>506.22399999999999</v>
      </c>
      <c r="V362" s="104">
        <f t="shared" si="864"/>
        <v>502.22399999999999</v>
      </c>
      <c r="W362" s="325">
        <f t="shared" si="865"/>
        <v>502.22399999999999</v>
      </c>
      <c r="X362" s="183"/>
      <c r="Y362" s="185"/>
      <c r="Z362" s="185"/>
      <c r="AA362" s="183"/>
      <c r="AB362" s="442">
        <v>2280</v>
      </c>
      <c r="AC362" s="66"/>
    </row>
    <row r="363" spans="1:29" ht="12.6" customHeight="1" x14ac:dyDescent="0.2">
      <c r="A363" s="18"/>
      <c r="B363" s="912" t="s">
        <v>507</v>
      </c>
      <c r="C363" s="913"/>
      <c r="D363" s="913"/>
      <c r="E363" s="913"/>
      <c r="F363" s="412">
        <f>0.413*X2</f>
        <v>407.21799999999996</v>
      </c>
      <c r="G363" s="303">
        <f t="shared" ref="G363:G365" si="867">+F363*$X$1</f>
        <v>407.21799999999996</v>
      </c>
      <c r="H363" s="295"/>
      <c r="I363" s="295"/>
      <c r="J363" s="590"/>
      <c r="K363" s="590"/>
      <c r="L363" s="590">
        <f t="shared" ref="L363:L374" si="868">F363+100</f>
        <v>507.21799999999996</v>
      </c>
      <c r="M363" s="303">
        <f t="shared" ref="M363:M374" si="869">+L363*$X$1</f>
        <v>507.21799999999996</v>
      </c>
      <c r="N363" s="590">
        <f t="shared" ref="N363:N374" si="870">F363+52</f>
        <v>459.21799999999996</v>
      </c>
      <c r="O363" s="303">
        <f t="shared" ref="O363:O374" si="871">+N363*$X$1</f>
        <v>459.21799999999996</v>
      </c>
      <c r="P363" s="590">
        <f t="shared" ref="P363:P374" si="872">F363+44</f>
        <v>451.21799999999996</v>
      </c>
      <c r="Q363" s="303">
        <f t="shared" ref="Q363:Q374" si="873">+P363*$X$1</f>
        <v>451.21799999999996</v>
      </c>
      <c r="R363" s="590">
        <f t="shared" ref="R363:R374" si="874">F363+37</f>
        <v>444.21799999999996</v>
      </c>
      <c r="S363" s="303">
        <f t="shared" ref="S363:S374" si="875">+R363*$X$1</f>
        <v>444.21799999999996</v>
      </c>
      <c r="T363" s="105">
        <f t="shared" ref="T363:T374" si="876">F363+29</f>
        <v>436.21799999999996</v>
      </c>
      <c r="U363" s="268">
        <f t="shared" ref="U363:U374" si="877">+T363*$X$1</f>
        <v>436.21799999999996</v>
      </c>
      <c r="V363" s="105">
        <f t="shared" ref="V363:V374" si="878">F363+25</f>
        <v>432.21799999999996</v>
      </c>
      <c r="W363" s="268">
        <f t="shared" ref="W363:W374" si="879">+V363*$X$1</f>
        <v>432.21799999999996</v>
      </c>
      <c r="X363" s="183"/>
      <c r="Y363" s="185"/>
      <c r="Z363" s="185"/>
      <c r="AA363" s="183"/>
      <c r="AB363" s="442">
        <v>2281</v>
      </c>
      <c r="AC363" s="66"/>
    </row>
    <row r="364" spans="1:29" ht="12.6" customHeight="1" x14ac:dyDescent="0.2">
      <c r="A364" s="18"/>
      <c r="B364" s="665" t="s">
        <v>354</v>
      </c>
      <c r="C364" s="948"/>
      <c r="D364" s="948"/>
      <c r="E364" s="948"/>
      <c r="F364" s="413">
        <f>0.64*X2</f>
        <v>631.04</v>
      </c>
      <c r="G364" s="304">
        <f t="shared" si="867"/>
        <v>631.04</v>
      </c>
      <c r="H364" s="294"/>
      <c r="I364" s="294"/>
      <c r="J364" s="529"/>
      <c r="K364" s="529"/>
      <c r="L364" s="529">
        <f t="shared" si="868"/>
        <v>731.04</v>
      </c>
      <c r="M364" s="304">
        <f t="shared" si="869"/>
        <v>731.04</v>
      </c>
      <c r="N364" s="529">
        <f t="shared" si="870"/>
        <v>683.04</v>
      </c>
      <c r="O364" s="304">
        <f t="shared" si="871"/>
        <v>683.04</v>
      </c>
      <c r="P364" s="529">
        <f t="shared" si="872"/>
        <v>675.04</v>
      </c>
      <c r="Q364" s="304">
        <f t="shared" si="873"/>
        <v>675.04</v>
      </c>
      <c r="R364" s="529">
        <f t="shared" si="874"/>
        <v>668.04</v>
      </c>
      <c r="S364" s="304">
        <f t="shared" si="875"/>
        <v>668.04</v>
      </c>
      <c r="T364" s="104">
        <f t="shared" si="876"/>
        <v>660.04</v>
      </c>
      <c r="U364" s="325">
        <f t="shared" si="877"/>
        <v>660.04</v>
      </c>
      <c r="V364" s="104">
        <f t="shared" si="878"/>
        <v>656.04</v>
      </c>
      <c r="W364" s="325">
        <f t="shared" si="879"/>
        <v>656.04</v>
      </c>
      <c r="X364" s="196"/>
      <c r="Y364" s="195"/>
      <c r="Z364" s="195"/>
      <c r="AA364" s="196"/>
      <c r="AB364" s="442">
        <v>2285</v>
      </c>
      <c r="AC364" s="66"/>
    </row>
    <row r="365" spans="1:29" ht="12.6" customHeight="1" x14ac:dyDescent="0.2">
      <c r="A365" s="18"/>
      <c r="B365" s="912" t="s">
        <v>355</v>
      </c>
      <c r="C365" s="913"/>
      <c r="D365" s="913"/>
      <c r="E365" s="913"/>
      <c r="F365" s="412">
        <f>0.356*X2</f>
        <v>351.01599999999996</v>
      </c>
      <c r="G365" s="303">
        <f t="shared" si="867"/>
        <v>351.01599999999996</v>
      </c>
      <c r="H365" s="295"/>
      <c r="I365" s="295"/>
      <c r="J365" s="590"/>
      <c r="K365" s="590"/>
      <c r="L365" s="590">
        <f t="shared" si="868"/>
        <v>451.01599999999996</v>
      </c>
      <c r="M365" s="303">
        <f t="shared" si="869"/>
        <v>451.01599999999996</v>
      </c>
      <c r="N365" s="590">
        <f t="shared" si="870"/>
        <v>403.01599999999996</v>
      </c>
      <c r="O365" s="303">
        <f t="shared" si="871"/>
        <v>403.01599999999996</v>
      </c>
      <c r="P365" s="590">
        <f t="shared" si="872"/>
        <v>395.01599999999996</v>
      </c>
      <c r="Q365" s="303">
        <f t="shared" si="873"/>
        <v>395.01599999999996</v>
      </c>
      <c r="R365" s="590">
        <f t="shared" si="874"/>
        <v>388.01599999999996</v>
      </c>
      <c r="S365" s="303">
        <f t="shared" si="875"/>
        <v>388.01599999999996</v>
      </c>
      <c r="T365" s="105">
        <f t="shared" si="876"/>
        <v>380.01599999999996</v>
      </c>
      <c r="U365" s="268">
        <f t="shared" si="877"/>
        <v>380.01599999999996</v>
      </c>
      <c r="V365" s="105">
        <f t="shared" si="878"/>
        <v>376.01599999999996</v>
      </c>
      <c r="W365" s="268">
        <f t="shared" si="879"/>
        <v>376.01599999999996</v>
      </c>
      <c r="X365" s="197"/>
      <c r="Y365" s="198"/>
      <c r="Z365" s="198"/>
      <c r="AA365" s="197"/>
      <c r="AB365" s="442">
        <v>2286</v>
      </c>
      <c r="AC365" s="66"/>
    </row>
    <row r="366" spans="1:29" ht="12.6" customHeight="1" x14ac:dyDescent="0.2">
      <c r="A366" s="18"/>
      <c r="B366" s="1175" t="s">
        <v>393</v>
      </c>
      <c r="C366" s="1176"/>
      <c r="D366" s="1176"/>
      <c r="E366" s="1176"/>
      <c r="F366" s="417">
        <f>0.51*X2</f>
        <v>502.86</v>
      </c>
      <c r="G366" s="340">
        <f t="shared" ref="G366:G368" si="880">+F366*$X$1</f>
        <v>502.86</v>
      </c>
      <c r="H366" s="318"/>
      <c r="I366" s="318"/>
      <c r="J366" s="104"/>
      <c r="K366" s="104"/>
      <c r="L366" s="529">
        <f t="shared" si="868"/>
        <v>602.86</v>
      </c>
      <c r="M366" s="304">
        <f t="shared" si="869"/>
        <v>602.86</v>
      </c>
      <c r="N366" s="529">
        <f t="shared" si="870"/>
        <v>554.86</v>
      </c>
      <c r="O366" s="304">
        <f t="shared" si="871"/>
        <v>554.86</v>
      </c>
      <c r="P366" s="529">
        <f t="shared" si="872"/>
        <v>546.86</v>
      </c>
      <c r="Q366" s="304">
        <f t="shared" si="873"/>
        <v>546.86</v>
      </c>
      <c r="R366" s="529">
        <f t="shared" si="874"/>
        <v>539.86</v>
      </c>
      <c r="S366" s="304">
        <f t="shared" si="875"/>
        <v>539.86</v>
      </c>
      <c r="T366" s="104">
        <f t="shared" si="876"/>
        <v>531.86</v>
      </c>
      <c r="U366" s="325">
        <f t="shared" si="877"/>
        <v>531.86</v>
      </c>
      <c r="V366" s="104">
        <f t="shared" si="878"/>
        <v>527.86</v>
      </c>
      <c r="W366" s="325">
        <f t="shared" si="879"/>
        <v>527.86</v>
      </c>
      <c r="X366" s="229"/>
      <c r="Y366" s="228"/>
      <c r="Z366" s="228"/>
      <c r="AA366" s="229"/>
      <c r="AB366" s="442">
        <v>2287</v>
      </c>
      <c r="AC366" s="66"/>
    </row>
    <row r="367" spans="1:29" ht="12.6" customHeight="1" x14ac:dyDescent="0.2">
      <c r="A367" s="18"/>
      <c r="B367" s="1192" t="s">
        <v>404</v>
      </c>
      <c r="C367" s="1193"/>
      <c r="D367" s="1193"/>
      <c r="E367" s="1194"/>
      <c r="F367" s="412">
        <f>1.01*X2</f>
        <v>995.86</v>
      </c>
      <c r="G367" s="303">
        <f t="shared" si="880"/>
        <v>995.86</v>
      </c>
      <c r="H367" s="295"/>
      <c r="I367" s="295"/>
      <c r="J367" s="590"/>
      <c r="K367" s="590"/>
      <c r="L367" s="590">
        <f t="shared" si="868"/>
        <v>1095.8600000000001</v>
      </c>
      <c r="M367" s="303">
        <f t="shared" si="869"/>
        <v>1095.8600000000001</v>
      </c>
      <c r="N367" s="590">
        <f t="shared" si="870"/>
        <v>1047.8600000000001</v>
      </c>
      <c r="O367" s="303">
        <f t="shared" si="871"/>
        <v>1047.8600000000001</v>
      </c>
      <c r="P367" s="590">
        <f t="shared" si="872"/>
        <v>1039.8600000000001</v>
      </c>
      <c r="Q367" s="303">
        <f t="shared" si="873"/>
        <v>1039.8600000000001</v>
      </c>
      <c r="R367" s="590">
        <f t="shared" si="874"/>
        <v>1032.8600000000001</v>
      </c>
      <c r="S367" s="303">
        <f t="shared" si="875"/>
        <v>1032.8600000000001</v>
      </c>
      <c r="T367" s="105">
        <f t="shared" si="876"/>
        <v>1024.8600000000001</v>
      </c>
      <c r="U367" s="268">
        <f t="shared" si="877"/>
        <v>1024.8600000000001</v>
      </c>
      <c r="V367" s="105">
        <f t="shared" si="878"/>
        <v>1020.86</v>
      </c>
      <c r="W367" s="268">
        <f t="shared" si="879"/>
        <v>1020.86</v>
      </c>
      <c r="X367" s="230"/>
      <c r="Y367" s="231"/>
      <c r="Z367" s="231"/>
      <c r="AA367" s="230"/>
      <c r="AB367" s="442">
        <v>2289</v>
      </c>
      <c r="AC367" s="66"/>
    </row>
    <row r="368" spans="1:29" ht="12.6" customHeight="1" x14ac:dyDescent="0.2">
      <c r="A368" s="18"/>
      <c r="B368" s="657" t="s">
        <v>733</v>
      </c>
      <c r="C368" s="658"/>
      <c r="D368" s="658"/>
      <c r="E368" s="659"/>
      <c r="F368" s="417">
        <f>0.73*X2</f>
        <v>719.78</v>
      </c>
      <c r="G368" s="304">
        <f t="shared" si="880"/>
        <v>719.78</v>
      </c>
      <c r="H368" s="294"/>
      <c r="I368" s="294"/>
      <c r="J368" s="529"/>
      <c r="K368" s="529"/>
      <c r="L368" s="529">
        <f t="shared" si="868"/>
        <v>819.78</v>
      </c>
      <c r="M368" s="304">
        <f t="shared" si="869"/>
        <v>819.78</v>
      </c>
      <c r="N368" s="529">
        <f t="shared" si="870"/>
        <v>771.78</v>
      </c>
      <c r="O368" s="304">
        <f t="shared" si="871"/>
        <v>771.78</v>
      </c>
      <c r="P368" s="529">
        <f t="shared" si="872"/>
        <v>763.78</v>
      </c>
      <c r="Q368" s="304">
        <f t="shared" si="873"/>
        <v>763.78</v>
      </c>
      <c r="R368" s="529">
        <f t="shared" si="874"/>
        <v>756.78</v>
      </c>
      <c r="S368" s="304">
        <f t="shared" si="875"/>
        <v>756.78</v>
      </c>
      <c r="T368" s="104">
        <f t="shared" si="876"/>
        <v>748.78</v>
      </c>
      <c r="U368" s="325">
        <f t="shared" si="877"/>
        <v>748.78</v>
      </c>
      <c r="V368" s="104">
        <f t="shared" si="878"/>
        <v>744.78</v>
      </c>
      <c r="W368" s="325">
        <f t="shared" si="879"/>
        <v>744.78</v>
      </c>
      <c r="X368" s="490"/>
      <c r="Y368" s="491"/>
      <c r="Z368" s="491"/>
      <c r="AA368" s="490"/>
      <c r="AB368" s="442">
        <v>2290</v>
      </c>
      <c r="AC368" s="66"/>
    </row>
    <row r="369" spans="1:29" ht="12.6" customHeight="1" x14ac:dyDescent="0.2">
      <c r="A369" s="18"/>
      <c r="B369" s="926" t="s">
        <v>505</v>
      </c>
      <c r="C369" s="927"/>
      <c r="D369" s="927"/>
      <c r="E369" s="928"/>
      <c r="F369" s="418">
        <f>0.549*X2</f>
        <v>541.31400000000008</v>
      </c>
      <c r="G369" s="303">
        <f t="shared" ref="G369" si="881">+F369*$X$1</f>
        <v>541.31400000000008</v>
      </c>
      <c r="H369" s="295"/>
      <c r="I369" s="295"/>
      <c r="J369" s="590"/>
      <c r="K369" s="590"/>
      <c r="L369" s="590">
        <f t="shared" si="868"/>
        <v>641.31400000000008</v>
      </c>
      <c r="M369" s="303">
        <f t="shared" si="869"/>
        <v>641.31400000000008</v>
      </c>
      <c r="N369" s="590">
        <f t="shared" si="870"/>
        <v>593.31400000000008</v>
      </c>
      <c r="O369" s="303">
        <f t="shared" si="871"/>
        <v>593.31400000000008</v>
      </c>
      <c r="P369" s="590">
        <f t="shared" si="872"/>
        <v>585.31400000000008</v>
      </c>
      <c r="Q369" s="303">
        <f t="shared" si="873"/>
        <v>585.31400000000008</v>
      </c>
      <c r="R369" s="590">
        <f t="shared" si="874"/>
        <v>578.31400000000008</v>
      </c>
      <c r="S369" s="303">
        <f t="shared" si="875"/>
        <v>578.31400000000008</v>
      </c>
      <c r="T369" s="105">
        <f t="shared" si="876"/>
        <v>570.31400000000008</v>
      </c>
      <c r="U369" s="268">
        <f t="shared" si="877"/>
        <v>570.31400000000008</v>
      </c>
      <c r="V369" s="105">
        <f t="shared" si="878"/>
        <v>566.31400000000008</v>
      </c>
      <c r="W369" s="268">
        <f t="shared" si="879"/>
        <v>566.31400000000008</v>
      </c>
      <c r="X369" s="260"/>
      <c r="Y369" s="264"/>
      <c r="Z369" s="264"/>
      <c r="AA369" s="260"/>
      <c r="AB369" s="442">
        <v>2291</v>
      </c>
      <c r="AC369" s="66"/>
    </row>
    <row r="370" spans="1:29" ht="12.6" customHeight="1" x14ac:dyDescent="0.2">
      <c r="A370" s="18"/>
      <c r="B370" s="657" t="s">
        <v>647</v>
      </c>
      <c r="C370" s="658"/>
      <c r="D370" s="658"/>
      <c r="E370" s="659"/>
      <c r="F370" s="417">
        <f>0.4*X2</f>
        <v>394.40000000000003</v>
      </c>
      <c r="G370" s="304">
        <f t="shared" ref="G370" si="882">+F370*$X$1</f>
        <v>394.40000000000003</v>
      </c>
      <c r="H370" s="294"/>
      <c r="I370" s="294"/>
      <c r="J370" s="529"/>
      <c r="K370" s="529"/>
      <c r="L370" s="529">
        <f t="shared" si="868"/>
        <v>494.40000000000003</v>
      </c>
      <c r="M370" s="304">
        <f t="shared" si="869"/>
        <v>494.40000000000003</v>
      </c>
      <c r="N370" s="529">
        <f t="shared" si="870"/>
        <v>446.40000000000003</v>
      </c>
      <c r="O370" s="304">
        <f t="shared" si="871"/>
        <v>446.40000000000003</v>
      </c>
      <c r="P370" s="529">
        <f t="shared" si="872"/>
        <v>438.40000000000003</v>
      </c>
      <c r="Q370" s="304">
        <f t="shared" si="873"/>
        <v>438.40000000000003</v>
      </c>
      <c r="R370" s="529">
        <f t="shared" si="874"/>
        <v>431.40000000000003</v>
      </c>
      <c r="S370" s="304">
        <f t="shared" si="875"/>
        <v>431.40000000000003</v>
      </c>
      <c r="T370" s="104">
        <f t="shared" si="876"/>
        <v>423.40000000000003</v>
      </c>
      <c r="U370" s="325">
        <f t="shared" si="877"/>
        <v>423.40000000000003</v>
      </c>
      <c r="V370" s="104">
        <f t="shared" si="878"/>
        <v>419.40000000000003</v>
      </c>
      <c r="W370" s="325">
        <f t="shared" si="879"/>
        <v>419.40000000000003</v>
      </c>
      <c r="X370" s="266"/>
      <c r="Y370" s="267"/>
      <c r="Z370" s="267"/>
      <c r="AA370" s="266"/>
      <c r="AB370" s="442">
        <v>2292</v>
      </c>
      <c r="AC370" s="66"/>
    </row>
    <row r="371" spans="1:29" ht="12.6" customHeight="1" x14ac:dyDescent="0.2">
      <c r="A371" s="18"/>
      <c r="B371" s="926" t="s">
        <v>525</v>
      </c>
      <c r="C371" s="927"/>
      <c r="D371" s="927"/>
      <c r="E371" s="928"/>
      <c r="F371" s="418">
        <f>0.95*X2</f>
        <v>936.69999999999993</v>
      </c>
      <c r="G371" s="303">
        <f t="shared" ref="G371" si="883">+F371*$X$1</f>
        <v>936.69999999999993</v>
      </c>
      <c r="H371" s="295"/>
      <c r="I371" s="295"/>
      <c r="J371" s="590"/>
      <c r="K371" s="590"/>
      <c r="L371" s="590">
        <f t="shared" si="868"/>
        <v>1036.6999999999998</v>
      </c>
      <c r="M371" s="303">
        <f t="shared" si="869"/>
        <v>1036.6999999999998</v>
      </c>
      <c r="N371" s="590">
        <f t="shared" si="870"/>
        <v>988.69999999999993</v>
      </c>
      <c r="O371" s="303">
        <f t="shared" si="871"/>
        <v>988.69999999999993</v>
      </c>
      <c r="P371" s="590">
        <f t="shared" si="872"/>
        <v>980.69999999999993</v>
      </c>
      <c r="Q371" s="303">
        <f t="shared" si="873"/>
        <v>980.69999999999993</v>
      </c>
      <c r="R371" s="590">
        <f t="shared" si="874"/>
        <v>973.69999999999993</v>
      </c>
      <c r="S371" s="303">
        <f t="shared" si="875"/>
        <v>973.69999999999993</v>
      </c>
      <c r="T371" s="105">
        <f t="shared" si="876"/>
        <v>965.69999999999993</v>
      </c>
      <c r="U371" s="268">
        <f t="shared" si="877"/>
        <v>965.69999999999993</v>
      </c>
      <c r="V371" s="105">
        <f t="shared" si="878"/>
        <v>961.69999999999993</v>
      </c>
      <c r="W371" s="268">
        <f t="shared" si="879"/>
        <v>961.69999999999993</v>
      </c>
      <c r="X371" s="269"/>
      <c r="Y371" s="270"/>
      <c r="Z371" s="270"/>
      <c r="AA371" s="269"/>
      <c r="AB371" s="442">
        <v>2293</v>
      </c>
      <c r="AC371" s="66"/>
    </row>
    <row r="372" spans="1:29" ht="12.6" customHeight="1" x14ac:dyDescent="0.2">
      <c r="A372" s="18"/>
      <c r="B372" s="657" t="s">
        <v>586</v>
      </c>
      <c r="C372" s="658"/>
      <c r="D372" s="658"/>
      <c r="E372" s="659"/>
      <c r="F372" s="340">
        <v>377</v>
      </c>
      <c r="G372" s="304">
        <f t="shared" ref="G372" si="884">+F372*$X$1</f>
        <v>377</v>
      </c>
      <c r="H372" s="294"/>
      <c r="I372" s="294"/>
      <c r="J372" s="529"/>
      <c r="K372" s="529"/>
      <c r="L372" s="529">
        <f t="shared" si="868"/>
        <v>477</v>
      </c>
      <c r="M372" s="304">
        <f t="shared" si="869"/>
        <v>477</v>
      </c>
      <c r="N372" s="529">
        <f t="shared" si="870"/>
        <v>429</v>
      </c>
      <c r="O372" s="304">
        <f t="shared" si="871"/>
        <v>429</v>
      </c>
      <c r="P372" s="529">
        <f t="shared" si="872"/>
        <v>421</v>
      </c>
      <c r="Q372" s="304">
        <f t="shared" si="873"/>
        <v>421</v>
      </c>
      <c r="R372" s="529">
        <f t="shared" si="874"/>
        <v>414</v>
      </c>
      <c r="S372" s="304">
        <f t="shared" si="875"/>
        <v>414</v>
      </c>
      <c r="T372" s="104">
        <f t="shared" si="876"/>
        <v>406</v>
      </c>
      <c r="U372" s="325">
        <f t="shared" si="877"/>
        <v>406</v>
      </c>
      <c r="V372" s="104">
        <f t="shared" si="878"/>
        <v>402</v>
      </c>
      <c r="W372" s="325">
        <f t="shared" si="879"/>
        <v>402</v>
      </c>
      <c r="X372" s="349"/>
      <c r="Y372" s="350"/>
      <c r="Z372" s="350"/>
      <c r="AA372" s="349"/>
      <c r="AB372" s="442">
        <v>2294</v>
      </c>
      <c r="AC372" s="66"/>
    </row>
    <row r="373" spans="1:29" ht="12.6" customHeight="1" x14ac:dyDescent="0.2">
      <c r="A373" s="18"/>
      <c r="B373" s="926" t="s">
        <v>462</v>
      </c>
      <c r="C373" s="927"/>
      <c r="D373" s="927"/>
      <c r="E373" s="928"/>
      <c r="F373" s="418">
        <f>0.7*X2</f>
        <v>690.19999999999993</v>
      </c>
      <c r="G373" s="303">
        <f t="shared" ref="G373" si="885">+F373*$X$1</f>
        <v>690.19999999999993</v>
      </c>
      <c r="H373" s="295"/>
      <c r="I373" s="295"/>
      <c r="J373" s="590"/>
      <c r="K373" s="590"/>
      <c r="L373" s="590">
        <f t="shared" si="868"/>
        <v>790.19999999999993</v>
      </c>
      <c r="M373" s="303">
        <f t="shared" si="869"/>
        <v>790.19999999999993</v>
      </c>
      <c r="N373" s="590">
        <f t="shared" si="870"/>
        <v>742.19999999999993</v>
      </c>
      <c r="O373" s="303">
        <f t="shared" si="871"/>
        <v>742.19999999999993</v>
      </c>
      <c r="P373" s="590">
        <f t="shared" si="872"/>
        <v>734.19999999999993</v>
      </c>
      <c r="Q373" s="303">
        <f t="shared" si="873"/>
        <v>734.19999999999993</v>
      </c>
      <c r="R373" s="590">
        <f t="shared" si="874"/>
        <v>727.19999999999993</v>
      </c>
      <c r="S373" s="303">
        <f t="shared" si="875"/>
        <v>727.19999999999993</v>
      </c>
      <c r="T373" s="105">
        <f t="shared" si="876"/>
        <v>719.19999999999993</v>
      </c>
      <c r="U373" s="268">
        <f t="shared" si="877"/>
        <v>719.19999999999993</v>
      </c>
      <c r="V373" s="105">
        <f t="shared" si="878"/>
        <v>715.19999999999993</v>
      </c>
      <c r="W373" s="268">
        <f t="shared" si="879"/>
        <v>715.19999999999993</v>
      </c>
      <c r="X373" s="232"/>
      <c r="Y373" s="233"/>
      <c r="Z373" s="233"/>
      <c r="AA373" s="232"/>
      <c r="AB373" s="442">
        <v>2295</v>
      </c>
      <c r="AC373" s="66"/>
    </row>
    <row r="374" spans="1:29" ht="12.6" customHeight="1" x14ac:dyDescent="0.2">
      <c r="A374" s="18"/>
      <c r="B374" s="1145" t="s">
        <v>407</v>
      </c>
      <c r="C374" s="1146"/>
      <c r="D374" s="1146"/>
      <c r="E374" s="1147"/>
      <c r="F374" s="484">
        <f>0.46*X2</f>
        <v>453.56</v>
      </c>
      <c r="G374" s="361">
        <f t="shared" ref="G374" si="886">+F374*$X$1</f>
        <v>453.56</v>
      </c>
      <c r="H374" s="301"/>
      <c r="I374" s="301"/>
      <c r="J374" s="591"/>
      <c r="K374" s="591"/>
      <c r="L374" s="591">
        <f t="shared" si="868"/>
        <v>553.55999999999995</v>
      </c>
      <c r="M374" s="361">
        <f t="shared" si="869"/>
        <v>553.55999999999995</v>
      </c>
      <c r="N374" s="591">
        <f t="shared" si="870"/>
        <v>505.56</v>
      </c>
      <c r="O374" s="361">
        <f t="shared" si="871"/>
        <v>505.56</v>
      </c>
      <c r="P374" s="591">
        <f t="shared" si="872"/>
        <v>497.56</v>
      </c>
      <c r="Q374" s="361">
        <f t="shared" si="873"/>
        <v>497.56</v>
      </c>
      <c r="R374" s="591">
        <f t="shared" si="874"/>
        <v>490.56</v>
      </c>
      <c r="S374" s="361">
        <f t="shared" si="875"/>
        <v>490.56</v>
      </c>
      <c r="T374" s="117">
        <f t="shared" si="876"/>
        <v>482.56</v>
      </c>
      <c r="U374" s="410">
        <f t="shared" si="877"/>
        <v>482.56</v>
      </c>
      <c r="V374" s="117">
        <f t="shared" si="878"/>
        <v>478.56</v>
      </c>
      <c r="W374" s="410">
        <f t="shared" si="879"/>
        <v>478.56</v>
      </c>
      <c r="X374" s="232"/>
      <c r="Y374" s="233"/>
      <c r="Z374" s="233"/>
      <c r="AA374" s="232"/>
      <c r="AB374" s="442">
        <v>2296</v>
      </c>
      <c r="AC374" s="66"/>
    </row>
    <row r="375" spans="1:29" ht="12.6" customHeight="1" x14ac:dyDescent="0.2">
      <c r="A375" s="18"/>
      <c r="B375" s="926" t="s">
        <v>438</v>
      </c>
      <c r="C375" s="927"/>
      <c r="D375" s="927"/>
      <c r="E375" s="928"/>
      <c r="F375" s="418">
        <f>0.627*X2</f>
        <v>618.22199999999998</v>
      </c>
      <c r="G375" s="303">
        <f t="shared" ref="G375" si="887">+F375*$X$1</f>
        <v>618.22199999999998</v>
      </c>
      <c r="H375" s="295"/>
      <c r="I375" s="295"/>
      <c r="J375" s="590"/>
      <c r="K375" s="590"/>
      <c r="L375" s="590">
        <f t="shared" ref="L375:L376" si="888">F375+100</f>
        <v>718.22199999999998</v>
      </c>
      <c r="M375" s="303">
        <f t="shared" ref="M375:M376" si="889">+L375*$X$1</f>
        <v>718.22199999999998</v>
      </c>
      <c r="N375" s="590">
        <f t="shared" ref="N375:N376" si="890">F375+52</f>
        <v>670.22199999999998</v>
      </c>
      <c r="O375" s="303">
        <f t="shared" ref="O375:O376" si="891">+N375*$X$1</f>
        <v>670.22199999999998</v>
      </c>
      <c r="P375" s="590"/>
      <c r="Q375" s="303"/>
      <c r="R375" s="590"/>
      <c r="S375" s="303"/>
      <c r="T375" s="105"/>
      <c r="U375" s="268"/>
      <c r="V375" s="105"/>
      <c r="W375" s="268"/>
      <c r="X375" s="242"/>
      <c r="Y375" s="241"/>
      <c r="Z375" s="241"/>
      <c r="AA375" s="242"/>
      <c r="AB375" s="442">
        <v>2298</v>
      </c>
      <c r="AC375" s="66"/>
    </row>
    <row r="376" spans="1:29" ht="12.6" customHeight="1" x14ac:dyDescent="0.2">
      <c r="A376" s="18"/>
      <c r="B376" s="657" t="s">
        <v>568</v>
      </c>
      <c r="C376" s="658"/>
      <c r="D376" s="658"/>
      <c r="E376" s="659"/>
      <c r="F376" s="417">
        <f>0.57*X2</f>
        <v>562.02</v>
      </c>
      <c r="G376" s="304">
        <f t="shared" ref="G376" si="892">+F376*$X$1</f>
        <v>562.02</v>
      </c>
      <c r="H376" s="294"/>
      <c r="I376" s="294"/>
      <c r="J376" s="529"/>
      <c r="K376" s="304"/>
      <c r="L376" s="529">
        <f t="shared" si="888"/>
        <v>662.02</v>
      </c>
      <c r="M376" s="304">
        <f t="shared" si="889"/>
        <v>662.02</v>
      </c>
      <c r="N376" s="529">
        <f t="shared" si="890"/>
        <v>614.02</v>
      </c>
      <c r="O376" s="304">
        <f t="shared" si="891"/>
        <v>614.02</v>
      </c>
      <c r="P376" s="529">
        <f t="shared" ref="P376" si="893">F376+44</f>
        <v>606.02</v>
      </c>
      <c r="Q376" s="304">
        <f t="shared" ref="Q376" si="894">+P376*$X$1</f>
        <v>606.02</v>
      </c>
      <c r="R376" s="529">
        <f t="shared" ref="R376" si="895">F376+37</f>
        <v>599.02</v>
      </c>
      <c r="S376" s="304">
        <f t="shared" ref="S376" si="896">+R376*$X$1</f>
        <v>599.02</v>
      </c>
      <c r="T376" s="104">
        <f t="shared" ref="T376" si="897">F376+29</f>
        <v>591.02</v>
      </c>
      <c r="U376" s="325">
        <f t="shared" ref="U376" si="898">+T376*$X$1</f>
        <v>591.02</v>
      </c>
      <c r="V376" s="104">
        <f t="shared" ref="V376" si="899">F376+25</f>
        <v>587.02</v>
      </c>
      <c r="W376" s="325">
        <f>+V376*$X$1</f>
        <v>587.02</v>
      </c>
      <c r="X376" s="334"/>
      <c r="Y376" s="335"/>
      <c r="Z376" s="335"/>
      <c r="AA376" s="334"/>
      <c r="AB376" s="442">
        <v>2299</v>
      </c>
      <c r="AC376" s="66"/>
    </row>
    <row r="377" spans="1:29" ht="12.6" customHeight="1" x14ac:dyDescent="0.2">
      <c r="A377" s="18"/>
      <c r="B377" s="912" t="s">
        <v>452</v>
      </c>
      <c r="C377" s="1166"/>
      <c r="D377" s="1166"/>
      <c r="E377" s="1166"/>
      <c r="F377" s="412">
        <f>1.42*X2</f>
        <v>1400.12</v>
      </c>
      <c r="G377" s="303">
        <f>+F377*$X$1</f>
        <v>1400.12</v>
      </c>
      <c r="H377" s="617">
        <f t="shared" ref="H377:H384" si="900">F377+310</f>
        <v>1710.12</v>
      </c>
      <c r="I377" s="303">
        <f t="shared" ref="I377:I384" si="901">+H377*$X$1</f>
        <v>1710.12</v>
      </c>
      <c r="J377" s="617">
        <f t="shared" ref="J377:J384" si="902">F377+120</f>
        <v>1520.12</v>
      </c>
      <c r="K377" s="303">
        <f t="shared" ref="K377:K379" si="903">+J377*$X$1</f>
        <v>1520.12</v>
      </c>
      <c r="L377" s="617">
        <f t="shared" ref="L377:L384" si="904">F377+90</f>
        <v>1490.12</v>
      </c>
      <c r="M377" s="303">
        <f t="shared" ref="M377:M379" si="905">+L377*$X$1</f>
        <v>1490.12</v>
      </c>
      <c r="N377" s="617">
        <f t="shared" ref="N377:N384" si="906">F377+55</f>
        <v>1455.12</v>
      </c>
      <c r="O377" s="303">
        <f t="shared" ref="O377:O379" si="907">+N377*$X$1</f>
        <v>1455.12</v>
      </c>
      <c r="P377" s="617">
        <f t="shared" ref="P377:P384" si="908">F377+49</f>
        <v>1449.12</v>
      </c>
      <c r="Q377" s="303">
        <f t="shared" ref="Q377:Q379" si="909">+P377*$X$1</f>
        <v>1449.12</v>
      </c>
      <c r="R377" s="617">
        <f t="shared" ref="R377:R384" si="910">F377+42</f>
        <v>1442.12</v>
      </c>
      <c r="S377" s="303">
        <f t="shared" ref="S377:S379" si="911">+R377*$X$1</f>
        <v>1442.12</v>
      </c>
      <c r="T377" s="617">
        <f t="shared" ref="T377:T384" si="912">F377+34</f>
        <v>1434.12</v>
      </c>
      <c r="U377" s="303">
        <f t="shared" ref="U377:U379" si="913">+T377*$X$1</f>
        <v>1434.12</v>
      </c>
      <c r="V377" s="617">
        <f t="shared" ref="V377:V384" si="914">F377+30</f>
        <v>1430.12</v>
      </c>
      <c r="W377" s="303">
        <f t="shared" ref="W377:W379" si="915">+V377*$X$1</f>
        <v>1430.12</v>
      </c>
      <c r="X377" s="625"/>
      <c r="Y377" s="753"/>
      <c r="Z377" s="753"/>
      <c r="AA377" s="627"/>
      <c r="AB377" s="442">
        <v>2322</v>
      </c>
      <c r="AC377" s="66"/>
    </row>
    <row r="378" spans="1:29" ht="12.6" customHeight="1" x14ac:dyDescent="0.2">
      <c r="A378" s="18"/>
      <c r="B378" s="1035" t="s">
        <v>891</v>
      </c>
      <c r="C378" s="1173"/>
      <c r="D378" s="1173"/>
      <c r="E378" s="1173"/>
      <c r="F378" s="413">
        <f>1.71*X2</f>
        <v>1686.06</v>
      </c>
      <c r="G378" s="304">
        <f>+F378*$X$1</f>
        <v>1686.06</v>
      </c>
      <c r="H378" s="529">
        <f t="shared" si="900"/>
        <v>1996.06</v>
      </c>
      <c r="I378" s="304">
        <f t="shared" si="901"/>
        <v>1996.06</v>
      </c>
      <c r="J378" s="529">
        <f t="shared" si="902"/>
        <v>1806.06</v>
      </c>
      <c r="K378" s="304">
        <f t="shared" ref="K378" si="916">+J378*$X$1</f>
        <v>1806.06</v>
      </c>
      <c r="L378" s="529">
        <f t="shared" si="904"/>
        <v>1776.06</v>
      </c>
      <c r="M378" s="304">
        <f t="shared" ref="M378" si="917">+L378*$X$1</f>
        <v>1776.06</v>
      </c>
      <c r="N378" s="529">
        <f t="shared" si="906"/>
        <v>1741.06</v>
      </c>
      <c r="O378" s="304">
        <f t="shared" ref="O378" si="918">+N378*$X$1</f>
        <v>1741.06</v>
      </c>
      <c r="P378" s="529">
        <f t="shared" si="908"/>
        <v>1735.06</v>
      </c>
      <c r="Q378" s="304">
        <f t="shared" ref="Q378" si="919">+P378*$X$1</f>
        <v>1735.06</v>
      </c>
      <c r="R378" s="529">
        <f t="shared" si="910"/>
        <v>1728.06</v>
      </c>
      <c r="S378" s="304">
        <f t="shared" ref="S378" si="920">+R378*$X$1</f>
        <v>1728.06</v>
      </c>
      <c r="T378" s="529">
        <f t="shared" si="912"/>
        <v>1720.06</v>
      </c>
      <c r="U378" s="304">
        <f t="shared" ref="U378" si="921">+T378*$X$1</f>
        <v>1720.06</v>
      </c>
      <c r="V378" s="529">
        <f t="shared" si="914"/>
        <v>1716.06</v>
      </c>
      <c r="W378" s="304">
        <f t="shared" ref="W378" si="922">+V378*$X$1</f>
        <v>1716.06</v>
      </c>
      <c r="X378" s="625"/>
      <c r="Y378" s="753"/>
      <c r="Z378" s="753"/>
      <c r="AA378" s="627"/>
      <c r="AB378" s="442">
        <v>2327</v>
      </c>
      <c r="AC378" s="66"/>
    </row>
    <row r="379" spans="1:29" ht="12.6" customHeight="1" x14ac:dyDescent="0.2">
      <c r="A379" s="18"/>
      <c r="B379" s="622" t="s">
        <v>257</v>
      </c>
      <c r="C379" s="644"/>
      <c r="D379" s="644"/>
      <c r="E379" s="645"/>
      <c r="F379" s="412">
        <f>3.407*X2</f>
        <v>3359.3020000000001</v>
      </c>
      <c r="G379" s="303">
        <f>+F379*$X$1</f>
        <v>3359.3020000000001</v>
      </c>
      <c r="H379" s="617">
        <f t="shared" si="900"/>
        <v>3669.3020000000001</v>
      </c>
      <c r="I379" s="303">
        <f t="shared" si="901"/>
        <v>3669.3020000000001</v>
      </c>
      <c r="J379" s="617">
        <f t="shared" si="902"/>
        <v>3479.3020000000001</v>
      </c>
      <c r="K379" s="303">
        <f t="shared" si="903"/>
        <v>3479.3020000000001</v>
      </c>
      <c r="L379" s="617">
        <f t="shared" si="904"/>
        <v>3449.3020000000001</v>
      </c>
      <c r="M379" s="303">
        <f t="shared" si="905"/>
        <v>3449.3020000000001</v>
      </c>
      <c r="N379" s="617">
        <f t="shared" si="906"/>
        <v>3414.3020000000001</v>
      </c>
      <c r="O379" s="303">
        <f t="shared" si="907"/>
        <v>3414.3020000000001</v>
      </c>
      <c r="P379" s="617">
        <f t="shared" si="908"/>
        <v>3408.3020000000001</v>
      </c>
      <c r="Q379" s="303">
        <f t="shared" si="909"/>
        <v>3408.3020000000001</v>
      </c>
      <c r="R379" s="617">
        <f t="shared" si="910"/>
        <v>3401.3020000000001</v>
      </c>
      <c r="S379" s="303">
        <f t="shared" si="911"/>
        <v>3401.3020000000001</v>
      </c>
      <c r="T379" s="617">
        <f t="shared" si="912"/>
        <v>3393.3020000000001</v>
      </c>
      <c r="U379" s="303">
        <f t="shared" si="913"/>
        <v>3393.3020000000001</v>
      </c>
      <c r="V379" s="617">
        <f t="shared" si="914"/>
        <v>3389.3020000000001</v>
      </c>
      <c r="W379" s="303">
        <f t="shared" si="915"/>
        <v>3389.3020000000001</v>
      </c>
      <c r="X379" s="625"/>
      <c r="Y379" s="753"/>
      <c r="Z379" s="753"/>
      <c r="AA379" s="627"/>
      <c r="AB379" s="442">
        <v>2330</v>
      </c>
      <c r="AC379" s="66"/>
    </row>
    <row r="380" spans="1:29" ht="12.6" customHeight="1" x14ac:dyDescent="0.2">
      <c r="A380" s="108"/>
      <c r="B380" s="682" t="s">
        <v>408</v>
      </c>
      <c r="C380" s="683"/>
      <c r="D380" s="683"/>
      <c r="E380" s="684"/>
      <c r="F380" s="413">
        <f>1.7*X2</f>
        <v>1676.2</v>
      </c>
      <c r="G380" s="304">
        <f t="shared" ref="G380" si="923">+F380*$X$1</f>
        <v>1676.2</v>
      </c>
      <c r="H380" s="529">
        <f t="shared" si="900"/>
        <v>1986.2</v>
      </c>
      <c r="I380" s="304">
        <f t="shared" si="901"/>
        <v>1986.2</v>
      </c>
      <c r="J380" s="529">
        <f t="shared" si="902"/>
        <v>1796.2</v>
      </c>
      <c r="K380" s="304">
        <f t="shared" ref="K380:K384" si="924">+J380*$X$1</f>
        <v>1796.2</v>
      </c>
      <c r="L380" s="529">
        <f t="shared" si="904"/>
        <v>1766.2</v>
      </c>
      <c r="M380" s="304">
        <f t="shared" ref="M380:M384" si="925">+L380*$X$1</f>
        <v>1766.2</v>
      </c>
      <c r="N380" s="529">
        <f t="shared" si="906"/>
        <v>1731.2</v>
      </c>
      <c r="O380" s="304">
        <f t="shared" ref="O380:O384" si="926">+N380*$X$1</f>
        <v>1731.2</v>
      </c>
      <c r="P380" s="529">
        <f t="shared" si="908"/>
        <v>1725.2</v>
      </c>
      <c r="Q380" s="304">
        <f t="shared" ref="Q380:Q384" si="927">+P380*$X$1</f>
        <v>1725.2</v>
      </c>
      <c r="R380" s="529">
        <f t="shared" si="910"/>
        <v>1718.2</v>
      </c>
      <c r="S380" s="304">
        <f t="shared" ref="S380:S384" si="928">+R380*$X$1</f>
        <v>1718.2</v>
      </c>
      <c r="T380" s="529">
        <f t="shared" si="912"/>
        <v>1710.2</v>
      </c>
      <c r="U380" s="304">
        <f t="shared" ref="U380:U384" si="929">+T380*$X$1</f>
        <v>1710.2</v>
      </c>
      <c r="V380" s="529">
        <f t="shared" si="914"/>
        <v>1706.2</v>
      </c>
      <c r="W380" s="304">
        <f t="shared" ref="W380:W384" si="930">+V380*$X$1</f>
        <v>1706.2</v>
      </c>
      <c r="X380" s="625"/>
      <c r="Y380" s="753"/>
      <c r="Z380" s="753"/>
      <c r="AA380" s="627"/>
      <c r="AB380" s="442">
        <v>2334</v>
      </c>
      <c r="AC380" s="66"/>
    </row>
    <row r="381" spans="1:29" ht="12.6" customHeight="1" x14ac:dyDescent="0.2">
      <c r="A381" s="108"/>
      <c r="B381" s="685" t="s">
        <v>258</v>
      </c>
      <c r="C381" s="686"/>
      <c r="D381" s="686"/>
      <c r="E381" s="687"/>
      <c r="F381" s="418">
        <f>1.5*X2</f>
        <v>1479</v>
      </c>
      <c r="G381" s="326">
        <f t="shared" ref="G381" si="931">+F381*$X$1</f>
        <v>1479</v>
      </c>
      <c r="H381" s="617">
        <f t="shared" si="900"/>
        <v>1789</v>
      </c>
      <c r="I381" s="303">
        <f t="shared" si="901"/>
        <v>1789</v>
      </c>
      <c r="J381" s="617">
        <f t="shared" si="902"/>
        <v>1599</v>
      </c>
      <c r="K381" s="303">
        <f t="shared" si="924"/>
        <v>1599</v>
      </c>
      <c r="L381" s="617">
        <f t="shared" si="904"/>
        <v>1569</v>
      </c>
      <c r="M381" s="303">
        <f t="shared" si="925"/>
        <v>1569</v>
      </c>
      <c r="N381" s="617">
        <f t="shared" si="906"/>
        <v>1534</v>
      </c>
      <c r="O381" s="303">
        <f t="shared" si="926"/>
        <v>1534</v>
      </c>
      <c r="P381" s="617">
        <f t="shared" si="908"/>
        <v>1528</v>
      </c>
      <c r="Q381" s="303">
        <f t="shared" si="927"/>
        <v>1528</v>
      </c>
      <c r="R381" s="617">
        <f t="shared" si="910"/>
        <v>1521</v>
      </c>
      <c r="S381" s="303">
        <f t="shared" si="928"/>
        <v>1521</v>
      </c>
      <c r="T381" s="617">
        <f t="shared" si="912"/>
        <v>1513</v>
      </c>
      <c r="U381" s="303">
        <f t="shared" si="929"/>
        <v>1513</v>
      </c>
      <c r="V381" s="617">
        <f t="shared" si="914"/>
        <v>1509</v>
      </c>
      <c r="W381" s="303">
        <f t="shared" si="930"/>
        <v>1509</v>
      </c>
      <c r="X381" s="625"/>
      <c r="Y381" s="753"/>
      <c r="Z381" s="753"/>
      <c r="AA381" s="627"/>
      <c r="AB381" s="456">
        <v>2336</v>
      </c>
      <c r="AC381" s="66"/>
    </row>
    <row r="382" spans="1:29" ht="12.6" customHeight="1" x14ac:dyDescent="0.2">
      <c r="A382" s="18"/>
      <c r="B382" s="682" t="s">
        <v>259</v>
      </c>
      <c r="C382" s="683"/>
      <c r="D382" s="683"/>
      <c r="E382" s="684"/>
      <c r="F382" s="413">
        <f>1.48*X2</f>
        <v>1459.28</v>
      </c>
      <c r="G382" s="304">
        <f>+F382*$X$1</f>
        <v>1459.28</v>
      </c>
      <c r="H382" s="529">
        <f t="shared" si="900"/>
        <v>1769.28</v>
      </c>
      <c r="I382" s="304">
        <f t="shared" si="901"/>
        <v>1769.28</v>
      </c>
      <c r="J382" s="529">
        <f t="shared" si="902"/>
        <v>1579.28</v>
      </c>
      <c r="K382" s="304">
        <f t="shared" si="924"/>
        <v>1579.28</v>
      </c>
      <c r="L382" s="529"/>
      <c r="M382" s="304"/>
      <c r="N382" s="529"/>
      <c r="O382" s="304"/>
      <c r="P382" s="529"/>
      <c r="Q382" s="304"/>
      <c r="R382" s="529"/>
      <c r="S382" s="304"/>
      <c r="T382" s="529"/>
      <c r="U382" s="304"/>
      <c r="V382" s="529"/>
      <c r="W382" s="304"/>
      <c r="X382" s="625"/>
      <c r="Y382" s="753"/>
      <c r="Z382" s="753"/>
      <c r="AA382" s="627"/>
      <c r="AB382" s="442">
        <v>2337</v>
      </c>
      <c r="AC382" s="66"/>
    </row>
    <row r="383" spans="1:29" ht="12.6" customHeight="1" x14ac:dyDescent="0.2">
      <c r="A383" s="18"/>
      <c r="B383" s="622" t="s">
        <v>260</v>
      </c>
      <c r="C383" s="623"/>
      <c r="D383" s="623"/>
      <c r="E383" s="624"/>
      <c r="F383" s="412">
        <f>1.85*X2</f>
        <v>1824.1000000000001</v>
      </c>
      <c r="G383" s="303">
        <f t="shared" ref="G383" si="932">+F383*$X$1</f>
        <v>1824.1000000000001</v>
      </c>
      <c r="H383" s="617">
        <f t="shared" si="900"/>
        <v>2134.1000000000004</v>
      </c>
      <c r="I383" s="303">
        <f t="shared" si="901"/>
        <v>2134.1000000000004</v>
      </c>
      <c r="J383" s="617">
        <f t="shared" si="902"/>
        <v>1944.1000000000001</v>
      </c>
      <c r="K383" s="303">
        <f t="shared" si="924"/>
        <v>1944.1000000000001</v>
      </c>
      <c r="L383" s="617">
        <f t="shared" si="904"/>
        <v>1914.1000000000001</v>
      </c>
      <c r="M383" s="303">
        <f t="shared" si="925"/>
        <v>1914.1000000000001</v>
      </c>
      <c r="N383" s="617">
        <f t="shared" si="906"/>
        <v>1879.1000000000001</v>
      </c>
      <c r="O383" s="303">
        <f t="shared" si="926"/>
        <v>1879.1000000000001</v>
      </c>
      <c r="P383" s="617">
        <f t="shared" si="908"/>
        <v>1873.1000000000001</v>
      </c>
      <c r="Q383" s="303">
        <f t="shared" si="927"/>
        <v>1873.1000000000001</v>
      </c>
      <c r="R383" s="617">
        <f t="shared" si="910"/>
        <v>1866.1000000000001</v>
      </c>
      <c r="S383" s="303">
        <f t="shared" si="928"/>
        <v>1866.1000000000001</v>
      </c>
      <c r="T383" s="617">
        <f t="shared" si="912"/>
        <v>1858.1000000000001</v>
      </c>
      <c r="U383" s="303">
        <f t="shared" si="929"/>
        <v>1858.1000000000001</v>
      </c>
      <c r="V383" s="617">
        <f t="shared" si="914"/>
        <v>1854.1000000000001</v>
      </c>
      <c r="W383" s="303">
        <f t="shared" si="930"/>
        <v>1854.1000000000001</v>
      </c>
      <c r="X383" s="625"/>
      <c r="Y383" s="753"/>
      <c r="Z383" s="753"/>
      <c r="AA383" s="627"/>
      <c r="AB383" s="442">
        <v>2338</v>
      </c>
      <c r="AC383" s="66"/>
    </row>
    <row r="384" spans="1:29" ht="12.6" customHeight="1" x14ac:dyDescent="0.2">
      <c r="A384" s="18"/>
      <c r="B384" s="682" t="s">
        <v>343</v>
      </c>
      <c r="C384" s="683"/>
      <c r="D384" s="683"/>
      <c r="E384" s="684"/>
      <c r="F384" s="419">
        <f>1.6*X2</f>
        <v>1577.6000000000001</v>
      </c>
      <c r="G384" s="304">
        <f>+F384*$X$1</f>
        <v>1577.6000000000001</v>
      </c>
      <c r="H384" s="529">
        <f t="shared" si="900"/>
        <v>1887.6000000000001</v>
      </c>
      <c r="I384" s="304">
        <f t="shared" si="901"/>
        <v>1887.6000000000001</v>
      </c>
      <c r="J384" s="529">
        <f t="shared" si="902"/>
        <v>1697.6000000000001</v>
      </c>
      <c r="K384" s="304">
        <f t="shared" si="924"/>
        <v>1697.6000000000001</v>
      </c>
      <c r="L384" s="529">
        <f t="shared" si="904"/>
        <v>1667.6000000000001</v>
      </c>
      <c r="M384" s="304">
        <f t="shared" si="925"/>
        <v>1667.6000000000001</v>
      </c>
      <c r="N384" s="529">
        <f t="shared" si="906"/>
        <v>1632.6000000000001</v>
      </c>
      <c r="O384" s="304">
        <f t="shared" si="926"/>
        <v>1632.6000000000001</v>
      </c>
      <c r="P384" s="529">
        <f t="shared" si="908"/>
        <v>1626.6000000000001</v>
      </c>
      <c r="Q384" s="304">
        <f t="shared" si="927"/>
        <v>1626.6000000000001</v>
      </c>
      <c r="R384" s="529">
        <f t="shared" si="910"/>
        <v>1619.6000000000001</v>
      </c>
      <c r="S384" s="304">
        <f t="shared" si="928"/>
        <v>1619.6000000000001</v>
      </c>
      <c r="T384" s="529">
        <f t="shared" si="912"/>
        <v>1611.6000000000001</v>
      </c>
      <c r="U384" s="304">
        <f t="shared" si="929"/>
        <v>1611.6000000000001</v>
      </c>
      <c r="V384" s="529">
        <f t="shared" si="914"/>
        <v>1607.6000000000001</v>
      </c>
      <c r="W384" s="304">
        <f t="shared" si="930"/>
        <v>1607.6000000000001</v>
      </c>
      <c r="X384" s="182"/>
      <c r="Y384" s="185"/>
      <c r="Z384" s="185"/>
      <c r="AA384" s="184"/>
      <c r="AB384" s="442">
        <v>2340</v>
      </c>
      <c r="AC384" s="66"/>
    </row>
    <row r="385" spans="1:34" ht="12.6" customHeight="1" x14ac:dyDescent="0.2">
      <c r="A385" s="18"/>
      <c r="B385" s="622" t="s">
        <v>342</v>
      </c>
      <c r="C385" s="623"/>
      <c r="D385" s="623"/>
      <c r="E385" s="624"/>
      <c r="F385" s="412"/>
      <c r="G385" s="303"/>
      <c r="H385" s="617"/>
      <c r="I385" s="303"/>
      <c r="J385" s="617"/>
      <c r="K385" s="303"/>
      <c r="L385" s="617"/>
      <c r="M385" s="303"/>
      <c r="N385" s="617"/>
      <c r="O385" s="303"/>
      <c r="P385" s="617"/>
      <c r="Q385" s="303"/>
      <c r="R385" s="617"/>
      <c r="S385" s="303"/>
      <c r="T385" s="617"/>
      <c r="U385" s="303"/>
      <c r="V385" s="617"/>
      <c r="W385" s="303"/>
      <c r="X385" s="182"/>
      <c r="Y385" s="185"/>
      <c r="Z385" s="185"/>
      <c r="AA385" s="184"/>
      <c r="AB385" s="442">
        <v>2341</v>
      </c>
      <c r="AC385" s="66"/>
    </row>
    <row r="386" spans="1:34" ht="12.6" customHeight="1" x14ac:dyDescent="0.2">
      <c r="A386" s="18"/>
      <c r="B386" s="682" t="s">
        <v>743</v>
      </c>
      <c r="C386" s="683"/>
      <c r="D386" s="683"/>
      <c r="E386" s="684"/>
      <c r="F386" s="413">
        <f>12.42*X2</f>
        <v>12246.12</v>
      </c>
      <c r="G386" s="304">
        <f t="shared" ref="G386" si="933">+F386*$X$1</f>
        <v>12246.12</v>
      </c>
      <c r="H386" s="529">
        <f t="shared" ref="H386:H392" si="934">F386+310</f>
        <v>12556.12</v>
      </c>
      <c r="I386" s="304">
        <f t="shared" ref="I386:I392" si="935">+H386*$X$1</f>
        <v>12556.12</v>
      </c>
      <c r="J386" s="529">
        <f t="shared" ref="J386:J392" si="936">F386+120</f>
        <v>12366.12</v>
      </c>
      <c r="K386" s="304">
        <f t="shared" ref="K386:K391" si="937">+J386*$X$1</f>
        <v>12366.12</v>
      </c>
      <c r="L386" s="529">
        <f t="shared" ref="L386:L392" si="938">F386+90</f>
        <v>12336.12</v>
      </c>
      <c r="M386" s="304">
        <f t="shared" ref="M386:M391" si="939">+L386*$X$1</f>
        <v>12336.12</v>
      </c>
      <c r="N386" s="529">
        <f t="shared" ref="N386:N392" si="940">F386+55</f>
        <v>12301.12</v>
      </c>
      <c r="O386" s="304">
        <f t="shared" ref="O386:O391" si="941">+N386*$X$1</f>
        <v>12301.12</v>
      </c>
      <c r="P386" s="529">
        <f t="shared" ref="P386:P392" si="942">F386+49</f>
        <v>12295.12</v>
      </c>
      <c r="Q386" s="304">
        <f t="shared" ref="Q386:Q391" si="943">+P386*$X$1</f>
        <v>12295.12</v>
      </c>
      <c r="R386" s="529">
        <f t="shared" ref="R386:R392" si="944">F386+42</f>
        <v>12288.12</v>
      </c>
      <c r="S386" s="304">
        <f t="shared" ref="S386:S391" si="945">+R386*$X$1</f>
        <v>12288.12</v>
      </c>
      <c r="T386" s="529">
        <f t="shared" ref="T386:T392" si="946">F386+34</f>
        <v>12280.12</v>
      </c>
      <c r="U386" s="304">
        <f t="shared" ref="U386:U391" si="947">+T386*$X$1</f>
        <v>12280.12</v>
      </c>
      <c r="V386" s="529">
        <f t="shared" ref="V386:V392" si="948">F386+30</f>
        <v>12276.12</v>
      </c>
      <c r="W386" s="304">
        <f t="shared" ref="W386:W391" si="949">+V386*$X$1</f>
        <v>12276.12</v>
      </c>
      <c r="X386" s="494"/>
      <c r="Y386" s="495"/>
      <c r="Z386" s="495"/>
      <c r="AA386" s="496"/>
      <c r="AB386" s="442">
        <v>2342</v>
      </c>
      <c r="AC386" s="66"/>
    </row>
    <row r="387" spans="1:34" ht="12.6" customHeight="1" x14ac:dyDescent="0.2">
      <c r="A387" s="18"/>
      <c r="B387" s="622" t="s">
        <v>742</v>
      </c>
      <c r="C387" s="623"/>
      <c r="D387" s="623"/>
      <c r="E387" s="624"/>
      <c r="F387" s="412">
        <f>14.9*X2</f>
        <v>14691.4</v>
      </c>
      <c r="G387" s="303">
        <f t="shared" ref="G387:G388" si="950">+F387*$X$1</f>
        <v>14691.4</v>
      </c>
      <c r="H387" s="617">
        <f t="shared" si="934"/>
        <v>15001.4</v>
      </c>
      <c r="I387" s="303">
        <f t="shared" si="935"/>
        <v>15001.4</v>
      </c>
      <c r="J387" s="617">
        <f t="shared" si="936"/>
        <v>14811.4</v>
      </c>
      <c r="K387" s="303">
        <f t="shared" si="937"/>
        <v>14811.4</v>
      </c>
      <c r="L387" s="617">
        <f t="shared" si="938"/>
        <v>14781.4</v>
      </c>
      <c r="M387" s="303">
        <f t="shared" si="939"/>
        <v>14781.4</v>
      </c>
      <c r="N387" s="617">
        <f t="shared" si="940"/>
        <v>14746.4</v>
      </c>
      <c r="O387" s="303">
        <f t="shared" si="941"/>
        <v>14746.4</v>
      </c>
      <c r="P387" s="617">
        <f t="shared" si="942"/>
        <v>14740.4</v>
      </c>
      <c r="Q387" s="303">
        <f t="shared" si="943"/>
        <v>14740.4</v>
      </c>
      <c r="R387" s="617">
        <f t="shared" si="944"/>
        <v>14733.4</v>
      </c>
      <c r="S387" s="303">
        <f t="shared" si="945"/>
        <v>14733.4</v>
      </c>
      <c r="T387" s="617">
        <f t="shared" si="946"/>
        <v>14725.4</v>
      </c>
      <c r="U387" s="303">
        <f t="shared" si="947"/>
        <v>14725.4</v>
      </c>
      <c r="V387" s="617">
        <f t="shared" si="948"/>
        <v>14721.4</v>
      </c>
      <c r="W387" s="303">
        <f t="shared" si="949"/>
        <v>14721.4</v>
      </c>
      <c r="X387" s="494"/>
      <c r="Y387" s="495"/>
      <c r="Z387" s="495"/>
      <c r="AA387" s="496"/>
      <c r="AB387" s="442">
        <v>2343</v>
      </c>
      <c r="AC387" s="66"/>
    </row>
    <row r="388" spans="1:34" ht="12.6" customHeight="1" x14ac:dyDescent="0.2">
      <c r="A388" s="18"/>
      <c r="B388" s="1027" t="s">
        <v>903</v>
      </c>
      <c r="C388" s="953"/>
      <c r="D388" s="953"/>
      <c r="E388" s="954"/>
      <c r="F388" s="413">
        <f>9.5*X2</f>
        <v>9367</v>
      </c>
      <c r="G388" s="304">
        <f t="shared" si="950"/>
        <v>9367</v>
      </c>
      <c r="H388" s="529">
        <f t="shared" ref="H388" si="951">F388+310</f>
        <v>9677</v>
      </c>
      <c r="I388" s="304">
        <f t="shared" ref="I388" si="952">+H388*$X$1</f>
        <v>9677</v>
      </c>
      <c r="J388" s="529">
        <f t="shared" ref="J388" si="953">F388+120</f>
        <v>9487</v>
      </c>
      <c r="K388" s="304">
        <f t="shared" ref="K388" si="954">+J388*$X$1</f>
        <v>9487</v>
      </c>
      <c r="L388" s="529">
        <f t="shared" ref="L388" si="955">F388+90</f>
        <v>9457</v>
      </c>
      <c r="M388" s="304">
        <f t="shared" ref="M388" si="956">+L388*$X$1</f>
        <v>9457</v>
      </c>
      <c r="N388" s="529">
        <f t="shared" ref="N388" si="957">F388+55</f>
        <v>9422</v>
      </c>
      <c r="O388" s="304">
        <f t="shared" ref="O388" si="958">+N388*$X$1</f>
        <v>9422</v>
      </c>
      <c r="P388" s="529">
        <f t="shared" ref="P388" si="959">F388+49</f>
        <v>9416</v>
      </c>
      <c r="Q388" s="304">
        <f t="shared" ref="Q388" si="960">+P388*$X$1</f>
        <v>9416</v>
      </c>
      <c r="R388" s="529">
        <f t="shared" ref="R388" si="961">F388+42</f>
        <v>9409</v>
      </c>
      <c r="S388" s="304">
        <f t="shared" ref="S388" si="962">+R388*$X$1</f>
        <v>9409</v>
      </c>
      <c r="T388" s="529">
        <f t="shared" ref="T388" si="963">F388+34</f>
        <v>9401</v>
      </c>
      <c r="U388" s="304">
        <f t="shared" ref="U388" si="964">+T388*$X$1</f>
        <v>9401</v>
      </c>
      <c r="V388" s="529">
        <f t="shared" ref="V388" si="965">F388+30</f>
        <v>9397</v>
      </c>
      <c r="W388" s="304">
        <f t="shared" ref="W388" si="966">+V388*$X$1</f>
        <v>9397</v>
      </c>
      <c r="X388" s="614"/>
      <c r="Y388" s="615"/>
      <c r="Z388" s="615"/>
      <c r="AA388" s="616"/>
      <c r="AB388" s="442" t="s">
        <v>904</v>
      </c>
      <c r="AC388" s="66"/>
    </row>
    <row r="389" spans="1:34" ht="12.6" customHeight="1" x14ac:dyDescent="0.2">
      <c r="A389" s="18"/>
      <c r="B389" s="622" t="s">
        <v>463</v>
      </c>
      <c r="C389" s="623"/>
      <c r="D389" s="623"/>
      <c r="E389" s="624"/>
      <c r="F389" s="412">
        <f>8.48*X2</f>
        <v>8361.2800000000007</v>
      </c>
      <c r="G389" s="303">
        <f t="shared" ref="G389" si="967">+F389*$X$1</f>
        <v>8361.2800000000007</v>
      </c>
      <c r="H389" s="590">
        <f t="shared" si="934"/>
        <v>8671.2800000000007</v>
      </c>
      <c r="I389" s="303">
        <f t="shared" si="935"/>
        <v>8671.2800000000007</v>
      </c>
      <c r="J389" s="590">
        <f t="shared" si="936"/>
        <v>8481.2800000000007</v>
      </c>
      <c r="K389" s="303">
        <f t="shared" si="937"/>
        <v>8481.2800000000007</v>
      </c>
      <c r="L389" s="590">
        <f t="shared" si="938"/>
        <v>8451.2800000000007</v>
      </c>
      <c r="M389" s="303">
        <f t="shared" si="939"/>
        <v>8451.2800000000007</v>
      </c>
      <c r="N389" s="590">
        <f t="shared" si="940"/>
        <v>8416.2800000000007</v>
      </c>
      <c r="O389" s="303">
        <f t="shared" si="941"/>
        <v>8416.2800000000007</v>
      </c>
      <c r="P389" s="590">
        <f t="shared" si="942"/>
        <v>8410.2800000000007</v>
      </c>
      <c r="Q389" s="303">
        <f t="shared" si="943"/>
        <v>8410.2800000000007</v>
      </c>
      <c r="R389" s="590">
        <f t="shared" si="944"/>
        <v>8403.2800000000007</v>
      </c>
      <c r="S389" s="303">
        <f t="shared" si="945"/>
        <v>8403.2800000000007</v>
      </c>
      <c r="T389" s="590">
        <f t="shared" si="946"/>
        <v>8395.2800000000007</v>
      </c>
      <c r="U389" s="303">
        <f t="shared" si="947"/>
        <v>8395.2800000000007</v>
      </c>
      <c r="V389" s="590">
        <f t="shared" si="948"/>
        <v>8391.2800000000007</v>
      </c>
      <c r="W389" s="303">
        <f t="shared" si="949"/>
        <v>8391.2800000000007</v>
      </c>
      <c r="X389" s="250"/>
      <c r="Y389" s="248"/>
      <c r="Z389" s="248"/>
      <c r="AA389" s="249"/>
      <c r="AB389" s="442">
        <v>2346</v>
      </c>
      <c r="AC389" s="66"/>
    </row>
    <row r="390" spans="1:34" ht="12.6" customHeight="1" x14ac:dyDescent="0.2">
      <c r="A390" s="18"/>
      <c r="B390" s="682" t="s">
        <v>744</v>
      </c>
      <c r="C390" s="683"/>
      <c r="D390" s="683"/>
      <c r="E390" s="684"/>
      <c r="F390" s="413">
        <f>11.84*X2</f>
        <v>11674.24</v>
      </c>
      <c r="G390" s="304">
        <f t="shared" ref="G390" si="968">+F390*$X$1</f>
        <v>11674.24</v>
      </c>
      <c r="H390" s="529">
        <f t="shared" si="934"/>
        <v>11984.24</v>
      </c>
      <c r="I390" s="304">
        <f t="shared" si="935"/>
        <v>11984.24</v>
      </c>
      <c r="J390" s="529">
        <f t="shared" si="936"/>
        <v>11794.24</v>
      </c>
      <c r="K390" s="304">
        <f t="shared" si="937"/>
        <v>11794.24</v>
      </c>
      <c r="L390" s="529">
        <f t="shared" si="938"/>
        <v>11764.24</v>
      </c>
      <c r="M390" s="304">
        <f t="shared" si="939"/>
        <v>11764.24</v>
      </c>
      <c r="N390" s="529">
        <f t="shared" si="940"/>
        <v>11729.24</v>
      </c>
      <c r="O390" s="304">
        <f t="shared" si="941"/>
        <v>11729.24</v>
      </c>
      <c r="P390" s="529">
        <f t="shared" si="942"/>
        <v>11723.24</v>
      </c>
      <c r="Q390" s="304">
        <f t="shared" si="943"/>
        <v>11723.24</v>
      </c>
      <c r="R390" s="529">
        <f t="shared" si="944"/>
        <v>11716.24</v>
      </c>
      <c r="S390" s="304">
        <f t="shared" si="945"/>
        <v>11716.24</v>
      </c>
      <c r="T390" s="529">
        <f t="shared" si="946"/>
        <v>11708.24</v>
      </c>
      <c r="U390" s="304">
        <f t="shared" si="947"/>
        <v>11708.24</v>
      </c>
      <c r="V390" s="529">
        <f t="shared" si="948"/>
        <v>11704.24</v>
      </c>
      <c r="W390" s="304">
        <f t="shared" si="949"/>
        <v>11704.24</v>
      </c>
      <c r="X390" s="494"/>
      <c r="Y390" s="495"/>
      <c r="Z390" s="495"/>
      <c r="AA390" s="496"/>
      <c r="AB390" s="442" t="s">
        <v>754</v>
      </c>
      <c r="AC390" s="66"/>
    </row>
    <row r="391" spans="1:34" ht="12.6" customHeight="1" x14ac:dyDescent="0.2">
      <c r="A391" s="18"/>
      <c r="B391" s="622" t="s">
        <v>745</v>
      </c>
      <c r="C391" s="623"/>
      <c r="D391" s="623"/>
      <c r="E391" s="624"/>
      <c r="F391" s="412">
        <f>12.63*X2</f>
        <v>12453.18</v>
      </c>
      <c r="G391" s="303">
        <f t="shared" ref="G391" si="969">+F391*$X$1</f>
        <v>12453.18</v>
      </c>
      <c r="H391" s="590">
        <f t="shared" si="934"/>
        <v>12763.18</v>
      </c>
      <c r="I391" s="303">
        <f t="shared" si="935"/>
        <v>12763.18</v>
      </c>
      <c r="J391" s="590">
        <f t="shared" si="936"/>
        <v>12573.18</v>
      </c>
      <c r="K391" s="303">
        <f t="shared" si="937"/>
        <v>12573.18</v>
      </c>
      <c r="L391" s="590">
        <f t="shared" si="938"/>
        <v>12543.18</v>
      </c>
      <c r="M391" s="303">
        <f t="shared" si="939"/>
        <v>12543.18</v>
      </c>
      <c r="N391" s="590">
        <f t="shared" si="940"/>
        <v>12508.18</v>
      </c>
      <c r="O391" s="303">
        <f t="shared" si="941"/>
        <v>12508.18</v>
      </c>
      <c r="P391" s="590">
        <f t="shared" si="942"/>
        <v>12502.18</v>
      </c>
      <c r="Q391" s="303">
        <f t="shared" si="943"/>
        <v>12502.18</v>
      </c>
      <c r="R391" s="590">
        <f t="shared" si="944"/>
        <v>12495.18</v>
      </c>
      <c r="S391" s="303">
        <f t="shared" si="945"/>
        <v>12495.18</v>
      </c>
      <c r="T391" s="590">
        <f t="shared" si="946"/>
        <v>12487.18</v>
      </c>
      <c r="U391" s="303">
        <f t="shared" si="947"/>
        <v>12487.18</v>
      </c>
      <c r="V391" s="590">
        <f t="shared" si="948"/>
        <v>12483.18</v>
      </c>
      <c r="W391" s="303">
        <f t="shared" si="949"/>
        <v>12483.18</v>
      </c>
      <c r="X391" s="494"/>
      <c r="Y391" s="495"/>
      <c r="Z391" s="495"/>
      <c r="AA391" s="496"/>
      <c r="AB391" s="442" t="s">
        <v>806</v>
      </c>
      <c r="AC391" s="66"/>
    </row>
    <row r="392" spans="1:34" ht="12.6" customHeight="1" x14ac:dyDescent="0.2">
      <c r="A392" s="18"/>
      <c r="B392" s="682" t="s">
        <v>621</v>
      </c>
      <c r="C392" s="683"/>
      <c r="D392" s="683"/>
      <c r="E392" s="684"/>
      <c r="F392" s="413">
        <f>2.56*X2</f>
        <v>2524.16</v>
      </c>
      <c r="G392" s="304">
        <f t="shared" ref="G392" si="970">+F392*$X$1</f>
        <v>2524.16</v>
      </c>
      <c r="H392" s="529">
        <f t="shared" si="934"/>
        <v>2834.16</v>
      </c>
      <c r="I392" s="304">
        <f t="shared" si="935"/>
        <v>2834.16</v>
      </c>
      <c r="J392" s="529">
        <f t="shared" si="936"/>
        <v>2644.16</v>
      </c>
      <c r="K392" s="304">
        <f>+J392*$X$1</f>
        <v>2644.16</v>
      </c>
      <c r="L392" s="529">
        <f t="shared" si="938"/>
        <v>2614.16</v>
      </c>
      <c r="M392" s="304">
        <f>+L392*$X$1</f>
        <v>2614.16</v>
      </c>
      <c r="N392" s="529">
        <f t="shared" si="940"/>
        <v>2579.16</v>
      </c>
      <c r="O392" s="304">
        <f>+N392*$X$1</f>
        <v>2579.16</v>
      </c>
      <c r="P392" s="529">
        <f t="shared" si="942"/>
        <v>2573.16</v>
      </c>
      <c r="Q392" s="304">
        <f>+P392*$X$1</f>
        <v>2573.16</v>
      </c>
      <c r="R392" s="529">
        <f t="shared" si="944"/>
        <v>2566.16</v>
      </c>
      <c r="S392" s="304">
        <f>+R392*$X$1</f>
        <v>2566.16</v>
      </c>
      <c r="T392" s="529">
        <f t="shared" si="946"/>
        <v>2558.16</v>
      </c>
      <c r="U392" s="304">
        <f>+T392*$X$1</f>
        <v>2558.16</v>
      </c>
      <c r="V392" s="529">
        <f t="shared" si="948"/>
        <v>2554.16</v>
      </c>
      <c r="W392" s="304">
        <f>+V392*$X$1</f>
        <v>2554.16</v>
      </c>
      <c r="X392" s="405"/>
      <c r="Y392" s="406"/>
      <c r="Z392" s="406"/>
      <c r="AA392" s="407"/>
      <c r="AB392" s="442">
        <v>2350</v>
      </c>
      <c r="AC392" s="66"/>
    </row>
    <row r="393" spans="1:34" ht="12.6" customHeight="1" x14ac:dyDescent="0.2">
      <c r="A393" s="18"/>
      <c r="B393" s="622" t="s">
        <v>713</v>
      </c>
      <c r="C393" s="623"/>
      <c r="D393" s="623"/>
      <c r="E393" s="624"/>
      <c r="F393" s="412">
        <f>3.3*X2</f>
        <v>3253.7999999999997</v>
      </c>
      <c r="G393" s="303">
        <f t="shared" ref="G393" si="971">+F393*$X$1</f>
        <v>3253.7999999999997</v>
      </c>
      <c r="H393" s="621">
        <f t="shared" ref="H393:H394" si="972">F393+310</f>
        <v>3563.7999999999997</v>
      </c>
      <c r="I393" s="303">
        <f t="shared" ref="I393:I394" si="973">+H393*$X$1</f>
        <v>3563.7999999999997</v>
      </c>
      <c r="J393" s="621">
        <f t="shared" ref="J393:J394" si="974">F393+120</f>
        <v>3373.7999999999997</v>
      </c>
      <c r="K393" s="303">
        <f t="shared" ref="K393:K394" si="975">+J393*$X$1</f>
        <v>3373.7999999999997</v>
      </c>
      <c r="L393" s="621">
        <f t="shared" ref="L393:L394" si="976">F393+90</f>
        <v>3343.7999999999997</v>
      </c>
      <c r="M393" s="303">
        <f t="shared" ref="M393:M394" si="977">+L393*$X$1</f>
        <v>3343.7999999999997</v>
      </c>
      <c r="N393" s="621">
        <f t="shared" ref="N393:N394" si="978">F393+55</f>
        <v>3308.7999999999997</v>
      </c>
      <c r="O393" s="303">
        <f t="shared" ref="O393:O394" si="979">+N393*$X$1</f>
        <v>3308.7999999999997</v>
      </c>
      <c r="P393" s="621">
        <f t="shared" ref="P393:P394" si="980">F393+49</f>
        <v>3302.7999999999997</v>
      </c>
      <c r="Q393" s="303">
        <f t="shared" ref="Q393:Q394" si="981">+P393*$X$1</f>
        <v>3302.7999999999997</v>
      </c>
      <c r="R393" s="621">
        <f t="shared" ref="R393:R394" si="982">F393+42</f>
        <v>3295.7999999999997</v>
      </c>
      <c r="S393" s="303">
        <f t="shared" ref="S393:S394" si="983">+R393*$X$1</f>
        <v>3295.7999999999997</v>
      </c>
      <c r="T393" s="621"/>
      <c r="U393" s="303"/>
      <c r="V393" s="621"/>
      <c r="W393" s="303"/>
      <c r="X393" s="475"/>
      <c r="Y393" s="476"/>
      <c r="Z393" s="476"/>
      <c r="AA393" s="477"/>
      <c r="AB393" s="442">
        <v>2351</v>
      </c>
      <c r="AC393" s="66"/>
    </row>
    <row r="394" spans="1:34" ht="12.6" customHeight="1" x14ac:dyDescent="0.2">
      <c r="A394" s="18"/>
      <c r="B394" s="1027" t="s">
        <v>726</v>
      </c>
      <c r="C394" s="953"/>
      <c r="D394" s="953"/>
      <c r="E394" s="954"/>
      <c r="F394" s="413">
        <f>1.59*X2</f>
        <v>1567.74</v>
      </c>
      <c r="G394" s="304">
        <f t="shared" ref="G394" si="984">+F394*$X$1</f>
        <v>1567.74</v>
      </c>
      <c r="H394" s="529">
        <f t="shared" si="972"/>
        <v>1877.74</v>
      </c>
      <c r="I394" s="304">
        <f t="shared" si="973"/>
        <v>1877.74</v>
      </c>
      <c r="J394" s="529">
        <f t="shared" si="974"/>
        <v>1687.74</v>
      </c>
      <c r="K394" s="304">
        <f t="shared" si="975"/>
        <v>1687.74</v>
      </c>
      <c r="L394" s="529">
        <f t="shared" si="976"/>
        <v>1657.74</v>
      </c>
      <c r="M394" s="304">
        <f t="shared" si="977"/>
        <v>1657.74</v>
      </c>
      <c r="N394" s="529">
        <f t="shared" si="978"/>
        <v>1622.74</v>
      </c>
      <c r="O394" s="304">
        <f t="shared" si="979"/>
        <v>1622.74</v>
      </c>
      <c r="P394" s="529">
        <f t="shared" si="980"/>
        <v>1616.74</v>
      </c>
      <c r="Q394" s="304">
        <f t="shared" si="981"/>
        <v>1616.74</v>
      </c>
      <c r="R394" s="529">
        <f t="shared" si="982"/>
        <v>1609.74</v>
      </c>
      <c r="S394" s="304">
        <f t="shared" si="983"/>
        <v>1609.74</v>
      </c>
      <c r="T394" s="529">
        <f t="shared" ref="T394" si="985">F394+34</f>
        <v>1601.74</v>
      </c>
      <c r="U394" s="304">
        <f t="shared" ref="U394" si="986">+T394*$X$1</f>
        <v>1601.74</v>
      </c>
      <c r="V394" s="529">
        <f t="shared" ref="V394" si="987">F394+30</f>
        <v>1597.74</v>
      </c>
      <c r="W394" s="304">
        <f t="shared" ref="W394" si="988">+V394*$X$1</f>
        <v>1597.74</v>
      </c>
      <c r="X394" s="481"/>
      <c r="Y394" s="482"/>
      <c r="Z394" s="482"/>
      <c r="AA394" s="483"/>
      <c r="AB394" s="442">
        <v>2352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653" t="s">
        <v>11</v>
      </c>
      <c r="C398" s="731" t="s">
        <v>12</v>
      </c>
      <c r="D398" s="732"/>
      <c r="E398" s="732"/>
      <c r="F398" s="806" t="s">
        <v>13</v>
      </c>
      <c r="G398" s="806" t="s">
        <v>13</v>
      </c>
      <c r="H398" s="660" t="s">
        <v>856</v>
      </c>
      <c r="I398" s="660"/>
      <c r="J398" s="661"/>
      <c r="K398" s="661"/>
      <c r="L398" s="661"/>
      <c r="M398" s="661"/>
      <c r="N398" s="661"/>
      <c r="O398" s="661"/>
      <c r="P398" s="661"/>
      <c r="Q398" s="661"/>
      <c r="R398" s="661"/>
      <c r="S398" s="661"/>
      <c r="T398" s="661"/>
      <c r="U398" s="661"/>
      <c r="V398" s="661"/>
      <c r="W398" s="661"/>
      <c r="X398" s="635" t="s">
        <v>14</v>
      </c>
      <c r="Y398" s="636"/>
      <c r="Z398" s="636"/>
      <c r="AA398" s="637"/>
      <c r="AB398" s="633" t="s">
        <v>15</v>
      </c>
      <c r="AE398" s="65"/>
      <c r="AF398" s="631" t="s">
        <v>3</v>
      </c>
      <c r="AG398" s="632"/>
      <c r="AH398" s="632"/>
    </row>
    <row r="399" spans="1:34" ht="12" customHeight="1" x14ac:dyDescent="0.2">
      <c r="A399" s="18"/>
      <c r="B399" s="653"/>
      <c r="C399" s="732"/>
      <c r="D399" s="732"/>
      <c r="E399" s="732"/>
      <c r="F399" s="807"/>
      <c r="G399" s="807"/>
      <c r="H399" s="568"/>
      <c r="I399" s="560" t="s">
        <v>298</v>
      </c>
      <c r="J399" s="562"/>
      <c r="K399" s="560" t="s">
        <v>17</v>
      </c>
      <c r="L399" s="563"/>
      <c r="M399" s="563" t="s">
        <v>18</v>
      </c>
      <c r="N399" s="563"/>
      <c r="O399" s="560" t="s">
        <v>19</v>
      </c>
      <c r="P399" s="563"/>
      <c r="Q399" s="563" t="s">
        <v>300</v>
      </c>
      <c r="R399" s="563"/>
      <c r="S399" s="563" t="s">
        <v>20</v>
      </c>
      <c r="T399" s="563"/>
      <c r="U399" s="563" t="s">
        <v>21</v>
      </c>
      <c r="V399" s="563"/>
      <c r="W399" s="563" t="s">
        <v>22</v>
      </c>
      <c r="X399" s="638"/>
      <c r="Y399" s="639"/>
      <c r="Z399" s="639"/>
      <c r="AA399" s="640"/>
      <c r="AB399" s="634"/>
    </row>
    <row r="400" spans="1:34" ht="12.6" customHeight="1" x14ac:dyDescent="0.2">
      <c r="A400" s="18"/>
      <c r="B400" s="1027" t="s">
        <v>882</v>
      </c>
      <c r="C400" s="953"/>
      <c r="D400" s="953"/>
      <c r="E400" s="954"/>
      <c r="F400" s="303">
        <f>3.463*X2</f>
        <v>3414.518</v>
      </c>
      <c r="G400" s="303">
        <f>+F400*$X$1</f>
        <v>3414.518</v>
      </c>
      <c r="H400" s="621">
        <f>F400+400</f>
        <v>3814.518</v>
      </c>
      <c r="I400" s="303">
        <f t="shared" ref="I400" si="989">+H400*$X$1</f>
        <v>3814.518</v>
      </c>
      <c r="J400" s="621">
        <f>F400+150</f>
        <v>3564.518</v>
      </c>
      <c r="K400" s="303">
        <f>+J400*$X$1</f>
        <v>3564.518</v>
      </c>
      <c r="L400" s="621">
        <f>F400+90</f>
        <v>3504.518</v>
      </c>
      <c r="M400" s="303">
        <f>+L400*$X$1</f>
        <v>3504.518</v>
      </c>
      <c r="N400" s="621">
        <f>F400+55</f>
        <v>3469.518</v>
      </c>
      <c r="O400" s="303">
        <f>+N400*$X$1</f>
        <v>3469.518</v>
      </c>
      <c r="P400" s="621">
        <f>F400+50</f>
        <v>3464.518</v>
      </c>
      <c r="Q400" s="303">
        <f>+P400*$X$1</f>
        <v>3464.518</v>
      </c>
      <c r="R400" s="621">
        <f>F400+42</f>
        <v>3456.518</v>
      </c>
      <c r="S400" s="303">
        <f>+R400*$X$1</f>
        <v>3456.518</v>
      </c>
      <c r="T400" s="105">
        <f>F400+35</f>
        <v>3449.518</v>
      </c>
      <c r="U400" s="268">
        <f>+T400*$X$1</f>
        <v>3449.518</v>
      </c>
      <c r="V400" s="105">
        <f>F400+30</f>
        <v>3444.518</v>
      </c>
      <c r="W400" s="268">
        <f>+V400*$X$1</f>
        <v>3444.518</v>
      </c>
      <c r="X400" s="625"/>
      <c r="Y400" s="626"/>
      <c r="Z400" s="626"/>
      <c r="AA400" s="627"/>
      <c r="AB400" s="442">
        <v>2503</v>
      </c>
    </row>
    <row r="401" spans="1:35" ht="12.6" customHeight="1" x14ac:dyDescent="0.2">
      <c r="A401" s="18"/>
      <c r="B401" s="682" t="s">
        <v>883</v>
      </c>
      <c r="C401" s="683"/>
      <c r="D401" s="683"/>
      <c r="E401" s="684"/>
      <c r="F401" s="304">
        <f>0.76*X2</f>
        <v>749.36</v>
      </c>
      <c r="G401" s="304">
        <f t="shared" ref="G401" si="990">+F401*$X$1</f>
        <v>749.36</v>
      </c>
      <c r="H401" s="529">
        <f>F401+400</f>
        <v>1149.3600000000001</v>
      </c>
      <c r="I401" s="304">
        <f t="shared" ref="I401" si="991">+H401*$X$1</f>
        <v>1149.3600000000001</v>
      </c>
      <c r="J401" s="529">
        <f>F401+150</f>
        <v>899.36</v>
      </c>
      <c r="K401" s="304">
        <f t="shared" ref="K401" si="992">+J401*$X$1</f>
        <v>899.36</v>
      </c>
      <c r="L401" s="529">
        <f>F401+90</f>
        <v>839.36</v>
      </c>
      <c r="M401" s="304">
        <f t="shared" ref="M401" si="993">+L401*$X$1</f>
        <v>839.36</v>
      </c>
      <c r="N401" s="529">
        <f>F401+55</f>
        <v>804.36</v>
      </c>
      <c r="O401" s="304">
        <f t="shared" ref="O401" si="994">+N401*$X$1</f>
        <v>804.36</v>
      </c>
      <c r="P401" s="529">
        <f>F401+50</f>
        <v>799.36</v>
      </c>
      <c r="Q401" s="304">
        <f t="shared" ref="Q401" si="995">+P401*$X$1</f>
        <v>799.36</v>
      </c>
      <c r="R401" s="529">
        <f>F401+42</f>
        <v>791.36</v>
      </c>
      <c r="S401" s="304">
        <f t="shared" ref="S401" si="996">+R401*$X$1</f>
        <v>791.36</v>
      </c>
      <c r="T401" s="104">
        <f>F401+35</f>
        <v>784.36</v>
      </c>
      <c r="U401" s="325">
        <f t="shared" ref="U401" si="997">+T401*$X$1</f>
        <v>784.36</v>
      </c>
      <c r="V401" s="104">
        <f>F401+30</f>
        <v>779.36</v>
      </c>
      <c r="W401" s="325">
        <f t="shared" ref="W401" si="998">+V401*$X$1</f>
        <v>779.36</v>
      </c>
      <c r="X401" s="625"/>
      <c r="Y401" s="626"/>
      <c r="Z401" s="626"/>
      <c r="AA401" s="627"/>
      <c r="AB401" s="442">
        <v>2504</v>
      </c>
    </row>
    <row r="402" spans="1:35" ht="12.6" customHeight="1" x14ac:dyDescent="0.2">
      <c r="A402" s="18"/>
      <c r="B402" s="622" t="s">
        <v>711</v>
      </c>
      <c r="C402" s="623"/>
      <c r="D402" s="623"/>
      <c r="E402" s="624"/>
      <c r="F402" s="412"/>
      <c r="G402" s="303"/>
      <c r="H402" s="621"/>
      <c r="I402" s="303"/>
      <c r="J402" s="621"/>
      <c r="K402" s="303"/>
      <c r="L402" s="621"/>
      <c r="M402" s="303"/>
      <c r="N402" s="621">
        <f>F402+55</f>
        <v>55</v>
      </c>
      <c r="O402" s="303"/>
      <c r="P402" s="621"/>
      <c r="Q402" s="303"/>
      <c r="R402" s="621"/>
      <c r="S402" s="303"/>
      <c r="T402" s="105"/>
      <c r="U402" s="268"/>
      <c r="V402" s="105"/>
      <c r="W402" s="268"/>
      <c r="X402" s="625"/>
      <c r="Y402" s="626"/>
      <c r="Z402" s="626"/>
      <c r="AA402" s="627"/>
      <c r="AB402" s="442">
        <v>2505</v>
      </c>
    </row>
    <row r="403" spans="1:35" ht="12.6" customHeight="1" x14ac:dyDescent="0.2">
      <c r="A403" s="18"/>
      <c r="B403" s="682" t="s">
        <v>514</v>
      </c>
      <c r="C403" s="889"/>
      <c r="D403" s="889"/>
      <c r="E403" s="890"/>
      <c r="F403" s="413">
        <f>3.88*X2</f>
        <v>3825.68</v>
      </c>
      <c r="G403" s="304">
        <f t="shared" ref="G403" si="999">+F403*$X$1</f>
        <v>3825.68</v>
      </c>
      <c r="H403" s="294"/>
      <c r="I403" s="369"/>
      <c r="J403" s="529">
        <f>F403+150</f>
        <v>3975.68</v>
      </c>
      <c r="K403" s="304">
        <f t="shared" ref="K403" si="1000">+J403*$X$1</f>
        <v>3975.68</v>
      </c>
      <c r="L403" s="529">
        <f>F403+90</f>
        <v>3915.68</v>
      </c>
      <c r="M403" s="304">
        <f t="shared" ref="M403" si="1001">+L403*$X$1</f>
        <v>3915.68</v>
      </c>
      <c r="N403" s="529">
        <f>F403+55</f>
        <v>3880.68</v>
      </c>
      <c r="O403" s="304">
        <f t="shared" ref="O403" si="1002">+N403*$X$1</f>
        <v>3880.68</v>
      </c>
      <c r="P403" s="529">
        <f>F403+50</f>
        <v>3875.68</v>
      </c>
      <c r="Q403" s="304">
        <f t="shared" ref="Q403" si="1003">+P403*$X$1</f>
        <v>3875.68</v>
      </c>
      <c r="R403" s="529">
        <f>F403+42</f>
        <v>3867.68</v>
      </c>
      <c r="S403" s="304">
        <f t="shared" ref="S403" si="1004">+R403*$X$1</f>
        <v>3867.68</v>
      </c>
      <c r="T403" s="104">
        <f>F403+35</f>
        <v>3860.68</v>
      </c>
      <c r="U403" s="325">
        <f t="shared" ref="U403" si="1005">+T403*$X$1</f>
        <v>3860.68</v>
      </c>
      <c r="V403" s="104">
        <f>F403+30</f>
        <v>3855.68</v>
      </c>
      <c r="W403" s="325">
        <f t="shared" ref="W403" si="1006">+V403*$X$1</f>
        <v>3855.68</v>
      </c>
      <c r="X403" s="170"/>
      <c r="Y403" s="140"/>
      <c r="Z403" s="140"/>
      <c r="AA403" s="143"/>
      <c r="AB403" s="454">
        <v>3001</v>
      </c>
    </row>
    <row r="404" spans="1:35" ht="12.6" customHeight="1" x14ac:dyDescent="0.2">
      <c r="A404" s="108"/>
      <c r="B404" s="912" t="s">
        <v>837</v>
      </c>
      <c r="C404" s="913"/>
      <c r="D404" s="913"/>
      <c r="E404" s="913"/>
      <c r="F404" s="303">
        <v>3710</v>
      </c>
      <c r="G404" s="303">
        <f t="shared" ref="G404" si="1007">+F404*$X$1</f>
        <v>3710</v>
      </c>
      <c r="H404" s="295"/>
      <c r="I404" s="368"/>
      <c r="J404" s="590"/>
      <c r="K404" s="303"/>
      <c r="L404" s="590">
        <f>F404+910</f>
        <v>4620</v>
      </c>
      <c r="M404" s="303">
        <f>+L404*$X$1</f>
        <v>4620</v>
      </c>
      <c r="N404" s="590">
        <f>F404+690</f>
        <v>4400</v>
      </c>
      <c r="O404" s="303">
        <f t="shared" ref="O404:O405" si="1008">+N404*$X$1</f>
        <v>4400</v>
      </c>
      <c r="P404" s="590">
        <f>F404+650</f>
        <v>4360</v>
      </c>
      <c r="Q404" s="303">
        <f t="shared" ref="Q404:Q405" si="1009">+P404*$X$1</f>
        <v>4360</v>
      </c>
      <c r="R404" s="590">
        <f>F404+620</f>
        <v>4330</v>
      </c>
      <c r="S404" s="303">
        <f>+R404*$X$1</f>
        <v>4330</v>
      </c>
      <c r="T404" s="590">
        <f>F404+600</f>
        <v>4310</v>
      </c>
      <c r="U404" s="303">
        <f>+T404*$X$1</f>
        <v>4310</v>
      </c>
      <c r="V404" s="590"/>
      <c r="W404" s="303"/>
      <c r="X404" s="222"/>
      <c r="Y404" s="224"/>
      <c r="Z404" s="224"/>
      <c r="AA404" s="223"/>
      <c r="AB404" s="442">
        <v>5003</v>
      </c>
      <c r="AC404" s="66"/>
    </row>
    <row r="405" spans="1:35" ht="12.6" customHeight="1" x14ac:dyDescent="0.2">
      <c r="A405" s="108"/>
      <c r="B405" s="1035" t="s">
        <v>838</v>
      </c>
      <c r="C405" s="1036"/>
      <c r="D405" s="1036"/>
      <c r="E405" s="1036"/>
      <c r="F405" s="304">
        <v>3710</v>
      </c>
      <c r="G405" s="304">
        <f t="shared" ref="G405" si="1010">+F405*$X$1</f>
        <v>3710</v>
      </c>
      <c r="H405" s="529">
        <f>F405+500</f>
        <v>4210</v>
      </c>
      <c r="I405" s="304">
        <f>+H405*$X$1</f>
        <v>4210</v>
      </c>
      <c r="J405" s="90">
        <f>F405+200</f>
        <v>3910</v>
      </c>
      <c r="K405" s="304">
        <f t="shared" ref="K405" si="1011">+J405*$X$1</f>
        <v>3910</v>
      </c>
      <c r="L405" s="529">
        <f>F405+160</f>
        <v>3870</v>
      </c>
      <c r="M405" s="304">
        <f t="shared" ref="M405" si="1012">+L405*$X$1</f>
        <v>3870</v>
      </c>
      <c r="N405" s="529">
        <f>F405+130</f>
        <v>3840</v>
      </c>
      <c r="O405" s="304">
        <f t="shared" si="1008"/>
        <v>3840</v>
      </c>
      <c r="P405" s="529">
        <f>F405+100</f>
        <v>3810</v>
      </c>
      <c r="Q405" s="304">
        <f t="shared" si="1009"/>
        <v>3810</v>
      </c>
      <c r="R405" s="529">
        <f>F405+85</f>
        <v>3795</v>
      </c>
      <c r="S405" s="304">
        <f t="shared" ref="S405" si="1013">+R405*$X$1</f>
        <v>3795</v>
      </c>
      <c r="T405" s="529">
        <f>F405+70</f>
        <v>3780</v>
      </c>
      <c r="U405" s="304">
        <f t="shared" ref="U405" si="1014">+T405*$X$1</f>
        <v>3780</v>
      </c>
      <c r="V405" s="529"/>
      <c r="W405" s="304"/>
      <c r="X405" s="480"/>
      <c r="Y405" s="478"/>
      <c r="Z405" s="478"/>
      <c r="AA405" s="479"/>
      <c r="AB405" s="442" t="s">
        <v>738</v>
      </c>
      <c r="AC405" s="66"/>
    </row>
    <row r="406" spans="1:35" ht="12.6" customHeight="1" x14ac:dyDescent="0.2">
      <c r="A406" s="18"/>
      <c r="B406" s="628" t="s">
        <v>559</v>
      </c>
      <c r="C406" s="629"/>
      <c r="D406" s="629"/>
      <c r="E406" s="629"/>
      <c r="F406" s="303">
        <v>4992</v>
      </c>
      <c r="G406" s="303">
        <f t="shared" ref="G406:G415" si="1015">+F406*$X$1</f>
        <v>4992</v>
      </c>
      <c r="H406" s="295"/>
      <c r="I406" s="368"/>
      <c r="J406" s="590"/>
      <c r="K406" s="303"/>
      <c r="L406" s="590">
        <f>F406+1200</f>
        <v>6192</v>
      </c>
      <c r="M406" s="303">
        <f t="shared" ref="M406" si="1016">+L406*$X$1</f>
        <v>6192</v>
      </c>
      <c r="N406" s="590">
        <f>F406+900</f>
        <v>5892</v>
      </c>
      <c r="O406" s="303">
        <f t="shared" ref="O406" si="1017">+N406*$X$1</f>
        <v>5892</v>
      </c>
      <c r="P406" s="590">
        <f>F406+810</f>
        <v>5802</v>
      </c>
      <c r="Q406" s="303">
        <f t="shared" ref="Q406" si="1018">+P406*$X$1</f>
        <v>5802</v>
      </c>
      <c r="R406" s="590">
        <f>F406+780</f>
        <v>5772</v>
      </c>
      <c r="S406" s="303">
        <f>+R406*$X$1</f>
        <v>5772</v>
      </c>
      <c r="T406" s="590">
        <f>F406+750</f>
        <v>5742</v>
      </c>
      <c r="U406" s="303">
        <f>+T406*$X$1</f>
        <v>5742</v>
      </c>
      <c r="V406" s="590"/>
      <c r="W406" s="303"/>
      <c r="X406" s="1149"/>
      <c r="Y406" s="1150"/>
      <c r="Z406" s="1150"/>
      <c r="AA406" s="1151"/>
      <c r="AB406" s="201">
        <v>5008</v>
      </c>
      <c r="AC406" s="39"/>
      <c r="AD406" s="39"/>
      <c r="AE406" s="39"/>
      <c r="AF406" s="39"/>
      <c r="AG406" s="39"/>
      <c r="AH406" s="39"/>
      <c r="AI406" s="39"/>
    </row>
    <row r="407" spans="1:35" ht="12.6" customHeight="1" x14ac:dyDescent="0.2">
      <c r="A407" s="18"/>
      <c r="B407" s="682" t="s">
        <v>560</v>
      </c>
      <c r="C407" s="683"/>
      <c r="D407" s="683"/>
      <c r="E407" s="684"/>
      <c r="F407" s="304">
        <v>6786</v>
      </c>
      <c r="G407" s="304">
        <f t="shared" si="1015"/>
        <v>6786</v>
      </c>
      <c r="H407" s="294"/>
      <c r="I407" s="369"/>
      <c r="J407" s="529"/>
      <c r="K407" s="304"/>
      <c r="L407" s="529">
        <f>F407+1200</f>
        <v>7986</v>
      </c>
      <c r="M407" s="304">
        <f t="shared" ref="M407:M410" si="1019">+L407*$X$1</f>
        <v>7986</v>
      </c>
      <c r="N407" s="529">
        <f>F407+900</f>
        <v>7686</v>
      </c>
      <c r="O407" s="304">
        <f t="shared" ref="O407:O410" si="1020">+N407*$X$1</f>
        <v>7686</v>
      </c>
      <c r="P407" s="529">
        <f>F407+810</f>
        <v>7596</v>
      </c>
      <c r="Q407" s="304">
        <f t="shared" ref="Q407:Q411" si="1021">+P407*$X$1</f>
        <v>7596</v>
      </c>
      <c r="R407" s="529">
        <f>F407+780</f>
        <v>7566</v>
      </c>
      <c r="S407" s="304">
        <f>+R407*$X$1</f>
        <v>7566</v>
      </c>
      <c r="T407" s="529">
        <f>F407+750</f>
        <v>7536</v>
      </c>
      <c r="U407" s="304">
        <f>+T407*$X$1</f>
        <v>7536</v>
      </c>
      <c r="V407" s="529"/>
      <c r="W407" s="304"/>
      <c r="X407" s="1149"/>
      <c r="Y407" s="1150"/>
      <c r="Z407" s="1150"/>
      <c r="AA407" s="1151"/>
      <c r="AB407" s="454">
        <v>5010</v>
      </c>
      <c r="AC407" s="39"/>
      <c r="AD407" s="39"/>
      <c r="AE407" s="39"/>
      <c r="AF407" s="39"/>
      <c r="AG407" s="39"/>
      <c r="AH407" s="39"/>
      <c r="AI407" s="39"/>
    </row>
    <row r="408" spans="1:35" ht="12.6" customHeight="1" x14ac:dyDescent="0.2">
      <c r="A408" s="18"/>
      <c r="B408" s="622" t="s">
        <v>561</v>
      </c>
      <c r="C408" s="623"/>
      <c r="D408" s="623"/>
      <c r="E408" s="624"/>
      <c r="F408" s="303">
        <v>3783</v>
      </c>
      <c r="G408" s="303">
        <f t="shared" ref="G408" si="1022">+F408*$X$1</f>
        <v>3783</v>
      </c>
      <c r="H408" s="295"/>
      <c r="I408" s="368"/>
      <c r="J408" s="590"/>
      <c r="K408" s="303"/>
      <c r="L408" s="590">
        <f>F408+1200</f>
        <v>4983</v>
      </c>
      <c r="M408" s="303">
        <f t="shared" si="1019"/>
        <v>4983</v>
      </c>
      <c r="N408" s="590">
        <f>F408+900</f>
        <v>4683</v>
      </c>
      <c r="O408" s="303">
        <f t="shared" si="1020"/>
        <v>4683</v>
      </c>
      <c r="P408" s="590">
        <f>F408+810</f>
        <v>4593</v>
      </c>
      <c r="Q408" s="303">
        <f t="shared" si="1021"/>
        <v>4593</v>
      </c>
      <c r="R408" s="590">
        <f>F408+780</f>
        <v>4563</v>
      </c>
      <c r="S408" s="303">
        <f>+R408*$X$1</f>
        <v>4563</v>
      </c>
      <c r="T408" s="590">
        <f>F408+750</f>
        <v>4533</v>
      </c>
      <c r="U408" s="303">
        <f>+T408*$X$1</f>
        <v>4533</v>
      </c>
      <c r="V408" s="590"/>
      <c r="W408" s="303"/>
      <c r="X408" s="1149"/>
      <c r="Y408" s="1150"/>
      <c r="Z408" s="1150"/>
      <c r="AA408" s="1151"/>
      <c r="AB408" s="454"/>
      <c r="AC408" s="39"/>
      <c r="AD408" s="39"/>
      <c r="AE408" s="39"/>
      <c r="AF408" s="39"/>
      <c r="AG408" s="39"/>
      <c r="AH408" s="39"/>
      <c r="AI408" s="39"/>
    </row>
    <row r="409" spans="1:35" ht="12.6" customHeight="1" x14ac:dyDescent="0.2">
      <c r="A409" s="18"/>
      <c r="B409" s="682" t="s">
        <v>562</v>
      </c>
      <c r="C409" s="683"/>
      <c r="D409" s="683"/>
      <c r="E409" s="684"/>
      <c r="F409" s="304">
        <v>5616</v>
      </c>
      <c r="G409" s="304">
        <f t="shared" ref="G409:G412" si="1023">+F409*$X$1</f>
        <v>5616</v>
      </c>
      <c r="H409" s="294"/>
      <c r="I409" s="369"/>
      <c r="J409" s="529"/>
      <c r="K409" s="304"/>
      <c r="L409" s="529">
        <f>F409+1200</f>
        <v>6816</v>
      </c>
      <c r="M409" s="304">
        <f t="shared" si="1019"/>
        <v>6816</v>
      </c>
      <c r="N409" s="529">
        <f>F409+900</f>
        <v>6516</v>
      </c>
      <c r="O409" s="304">
        <f t="shared" si="1020"/>
        <v>6516</v>
      </c>
      <c r="P409" s="529">
        <f>F409+810</f>
        <v>6426</v>
      </c>
      <c r="Q409" s="304">
        <f t="shared" si="1021"/>
        <v>6426</v>
      </c>
      <c r="R409" s="529">
        <f>F409+780</f>
        <v>6396</v>
      </c>
      <c r="S409" s="304">
        <f>+R409*$X$1</f>
        <v>6396</v>
      </c>
      <c r="T409" s="529">
        <f>F409+750</f>
        <v>6366</v>
      </c>
      <c r="U409" s="304">
        <f>+T409*$X$1</f>
        <v>6366</v>
      </c>
      <c r="V409" s="529"/>
      <c r="W409" s="304"/>
      <c r="X409" s="1149"/>
      <c r="Y409" s="1150"/>
      <c r="Z409" s="1150"/>
      <c r="AA409" s="1151"/>
      <c r="AB409" s="454"/>
      <c r="AC409" s="39"/>
      <c r="AD409" s="39"/>
      <c r="AE409" s="39"/>
      <c r="AF409" s="39"/>
      <c r="AG409" s="39"/>
      <c r="AH409" s="39"/>
      <c r="AI409" s="39"/>
    </row>
    <row r="410" spans="1:35" ht="12.6" customHeight="1" x14ac:dyDescent="0.2">
      <c r="A410" s="18"/>
      <c r="B410" s="706" t="s">
        <v>887</v>
      </c>
      <c r="C410" s="906"/>
      <c r="D410" s="906"/>
      <c r="E410" s="906"/>
      <c r="F410" s="303">
        <v>1940</v>
      </c>
      <c r="G410" s="303">
        <f t="shared" si="1023"/>
        <v>1940</v>
      </c>
      <c r="H410" s="295"/>
      <c r="I410" s="368"/>
      <c r="J410" s="590">
        <f>F410+200</f>
        <v>2140</v>
      </c>
      <c r="K410" s="303">
        <f t="shared" ref="K410" si="1024">+J410*$X$1</f>
        <v>2140</v>
      </c>
      <c r="L410" s="590">
        <f>F410+110</f>
        <v>2050</v>
      </c>
      <c r="M410" s="303">
        <f t="shared" si="1019"/>
        <v>2050</v>
      </c>
      <c r="N410" s="590">
        <f>F410+70</f>
        <v>2010</v>
      </c>
      <c r="O410" s="303">
        <f t="shared" si="1020"/>
        <v>2010</v>
      </c>
      <c r="P410" s="590">
        <f>F410+60</f>
        <v>2000</v>
      </c>
      <c r="Q410" s="303">
        <f t="shared" si="1021"/>
        <v>2000</v>
      </c>
      <c r="R410" s="590">
        <f>F410+52</f>
        <v>1992</v>
      </c>
      <c r="S410" s="303">
        <f t="shared" ref="S410" si="1025">+R410*$X$1</f>
        <v>1992</v>
      </c>
      <c r="T410" s="105">
        <f>F410+45</f>
        <v>1985</v>
      </c>
      <c r="U410" s="268">
        <f t="shared" ref="U410" si="1026">+T410*$X$1</f>
        <v>1985</v>
      </c>
      <c r="V410" s="105">
        <f>F410+40</f>
        <v>1980</v>
      </c>
      <c r="W410" s="268">
        <f t="shared" ref="W410" si="1027">+V410*$X$1</f>
        <v>1980</v>
      </c>
      <c r="X410" s="1132"/>
      <c r="Y410" s="1133"/>
      <c r="Z410" s="1133"/>
      <c r="AA410" s="1134"/>
      <c r="AB410" s="454">
        <v>11604</v>
      </c>
    </row>
    <row r="411" spans="1:35" ht="12.6" customHeight="1" x14ac:dyDescent="0.2">
      <c r="A411" s="18"/>
      <c r="B411" s="706" t="s">
        <v>558</v>
      </c>
      <c r="C411" s="906"/>
      <c r="D411" s="906"/>
      <c r="E411" s="906"/>
      <c r="F411" s="304">
        <v>1940</v>
      </c>
      <c r="G411" s="304">
        <f t="shared" si="1015"/>
        <v>1940</v>
      </c>
      <c r="H411" s="294"/>
      <c r="I411" s="369"/>
      <c r="J411" s="529">
        <f>F411+300</f>
        <v>2240</v>
      </c>
      <c r="K411" s="304">
        <f t="shared" ref="K411" si="1028">+J411*$X$1</f>
        <v>2240</v>
      </c>
      <c r="L411" s="529">
        <f>F411+240</f>
        <v>2180</v>
      </c>
      <c r="M411" s="304">
        <f>+L411*$X$1</f>
        <v>2180</v>
      </c>
      <c r="N411" s="529">
        <f>F411+204</f>
        <v>2144</v>
      </c>
      <c r="O411" s="304">
        <f>+N411*$X$1</f>
        <v>2144</v>
      </c>
      <c r="P411" s="529">
        <f>F411+170</f>
        <v>2110</v>
      </c>
      <c r="Q411" s="304">
        <f t="shared" si="1021"/>
        <v>2110</v>
      </c>
      <c r="R411" s="529">
        <f>F411+145</f>
        <v>2085</v>
      </c>
      <c r="S411" s="304">
        <f>+R411*$X$1</f>
        <v>2085</v>
      </c>
      <c r="T411" s="529">
        <f>F411+120</f>
        <v>2060</v>
      </c>
      <c r="U411" s="304">
        <f t="shared" ref="U411" si="1029">+T411*$X$1</f>
        <v>2060</v>
      </c>
      <c r="V411" s="529">
        <f>F411+110</f>
        <v>2050</v>
      </c>
      <c r="W411" s="304">
        <f>+V411*$X$1</f>
        <v>2050</v>
      </c>
      <c r="X411" s="1132"/>
      <c r="Y411" s="1133"/>
      <c r="Z411" s="1133"/>
      <c r="AA411" s="1134"/>
      <c r="AB411" s="454">
        <v>11605</v>
      </c>
    </row>
    <row r="412" spans="1:35" ht="12.6" customHeight="1" x14ac:dyDescent="0.2">
      <c r="A412" s="18"/>
      <c r="B412" s="1167" t="s">
        <v>885</v>
      </c>
      <c r="C412" s="1168"/>
      <c r="D412" s="1168"/>
      <c r="E412" s="1168"/>
      <c r="F412" s="303">
        <v>650</v>
      </c>
      <c r="G412" s="303">
        <f t="shared" si="1023"/>
        <v>650</v>
      </c>
      <c r="H412" s="295"/>
      <c r="I412" s="295"/>
      <c r="J412" s="590"/>
      <c r="K412" s="303"/>
      <c r="L412" s="590"/>
      <c r="M412" s="303"/>
      <c r="N412" s="590"/>
      <c r="O412" s="303"/>
      <c r="P412" s="590"/>
      <c r="Q412" s="303"/>
      <c r="R412" s="590"/>
      <c r="S412" s="303"/>
      <c r="T412" s="105"/>
      <c r="U412" s="268"/>
      <c r="V412" s="105"/>
      <c r="W412" s="268"/>
      <c r="X412" s="1132"/>
      <c r="Y412" s="1133"/>
      <c r="Z412" s="1133"/>
      <c r="AA412" s="1134"/>
      <c r="AB412" s="457"/>
    </row>
    <row r="413" spans="1:35" ht="12.6" customHeight="1" x14ac:dyDescent="0.2">
      <c r="A413" s="18"/>
      <c r="B413" s="674" t="s">
        <v>261</v>
      </c>
      <c r="C413" s="734"/>
      <c r="D413" s="734"/>
      <c r="E413" s="734"/>
      <c r="F413" s="304">
        <v>1070</v>
      </c>
      <c r="G413" s="304">
        <f t="shared" si="1015"/>
        <v>1070</v>
      </c>
      <c r="H413" s="294"/>
      <c r="I413" s="294"/>
      <c r="J413" s="529">
        <f>F413+150</f>
        <v>1220</v>
      </c>
      <c r="K413" s="304">
        <f t="shared" ref="K413" si="1030">+J413*$X$1</f>
        <v>1220</v>
      </c>
      <c r="L413" s="529">
        <f>F413+100</f>
        <v>1170</v>
      </c>
      <c r="M413" s="304">
        <f t="shared" ref="M413" si="1031">+L413*$X$1</f>
        <v>1170</v>
      </c>
      <c r="N413" s="529">
        <f>F413+70</f>
        <v>1140</v>
      </c>
      <c r="O413" s="304">
        <f t="shared" ref="O413" si="1032">+N413*$X$1</f>
        <v>1140</v>
      </c>
      <c r="P413" s="529">
        <f>F413+55</f>
        <v>1125</v>
      </c>
      <c r="Q413" s="304">
        <f t="shared" ref="Q413" si="1033">+P413*$X$1</f>
        <v>1125</v>
      </c>
      <c r="R413" s="529">
        <f>F413+47</f>
        <v>1117</v>
      </c>
      <c r="S413" s="304">
        <f t="shared" ref="S413" si="1034">+R413*$X$1</f>
        <v>1117</v>
      </c>
      <c r="T413" s="104">
        <f>F413+40</f>
        <v>1110</v>
      </c>
      <c r="U413" s="325">
        <f t="shared" ref="U413" si="1035">+T413*$X$1</f>
        <v>1110</v>
      </c>
      <c r="V413" s="104">
        <f>F413+35</f>
        <v>1105</v>
      </c>
      <c r="W413" s="325">
        <f t="shared" ref="W413" si="1036">+V413*$X$1</f>
        <v>1105</v>
      </c>
      <c r="X413" s="159"/>
      <c r="Y413" s="136"/>
      <c r="Z413" s="136"/>
      <c r="AA413" s="136"/>
      <c r="AB413" s="458"/>
    </row>
    <row r="414" spans="1:35" ht="12.6" customHeight="1" x14ac:dyDescent="0.2">
      <c r="A414" s="108"/>
      <c r="B414" s="704" t="s">
        <v>262</v>
      </c>
      <c r="C414" s="1052"/>
      <c r="D414" s="1052"/>
      <c r="E414" s="1052"/>
      <c r="F414" s="361">
        <v>40</v>
      </c>
      <c r="G414" s="361">
        <f t="shared" si="1015"/>
        <v>40</v>
      </c>
      <c r="H414" s="591"/>
      <c r="I414" s="591"/>
      <c r="J414" s="591"/>
      <c r="K414" s="591"/>
      <c r="L414" s="591"/>
      <c r="M414" s="591"/>
      <c r="N414" s="591"/>
      <c r="O414" s="361"/>
      <c r="P414" s="591"/>
      <c r="Q414" s="361"/>
      <c r="R414" s="591"/>
      <c r="S414" s="361"/>
      <c r="T414" s="591"/>
      <c r="U414" s="361"/>
      <c r="V414" s="591"/>
      <c r="W414" s="361"/>
      <c r="X414" s="159"/>
      <c r="Y414" s="136"/>
      <c r="Z414" s="136"/>
      <c r="AA414" s="136"/>
      <c r="AB414" s="201">
        <v>11612</v>
      </c>
    </row>
    <row r="415" spans="1:35" ht="12.6" customHeight="1" x14ac:dyDescent="0.2">
      <c r="A415" s="18"/>
      <c r="B415" s="682" t="s">
        <v>879</v>
      </c>
      <c r="C415" s="683"/>
      <c r="D415" s="683"/>
      <c r="E415" s="684"/>
      <c r="F415" s="413">
        <f>1.84*X2</f>
        <v>1814.24</v>
      </c>
      <c r="G415" s="304">
        <f t="shared" si="1015"/>
        <v>1814.24</v>
      </c>
      <c r="H415" s="529">
        <f t="shared" ref="H415:H422" si="1037">F415+310</f>
        <v>2124.2399999999998</v>
      </c>
      <c r="I415" s="304">
        <f t="shared" ref="I415" si="1038">+H415*$X$1</f>
        <v>2124.2399999999998</v>
      </c>
      <c r="J415" s="529">
        <f t="shared" ref="J415:J422" si="1039">F415+120</f>
        <v>1934.24</v>
      </c>
      <c r="K415" s="304">
        <f t="shared" ref="K415" si="1040">+J415*$X$1</f>
        <v>1934.24</v>
      </c>
      <c r="L415" s="529">
        <f t="shared" ref="L415:L422" si="1041">F415+90</f>
        <v>1904.24</v>
      </c>
      <c r="M415" s="304">
        <f t="shared" ref="M415" si="1042">+L415*$X$1</f>
        <v>1904.24</v>
      </c>
      <c r="N415" s="529">
        <f t="shared" ref="N415:N422" si="1043">F415+55</f>
        <v>1869.24</v>
      </c>
      <c r="O415" s="304">
        <f t="shared" ref="O415" si="1044">+N415*$X$1</f>
        <v>1869.24</v>
      </c>
      <c r="P415" s="529">
        <f t="shared" ref="P415:P422" si="1045">F415+49</f>
        <v>1863.24</v>
      </c>
      <c r="Q415" s="304">
        <f t="shared" ref="Q415" si="1046">+P415*$X$1</f>
        <v>1863.24</v>
      </c>
      <c r="R415" s="529">
        <f t="shared" ref="R415:R422" si="1047">F415+42</f>
        <v>1856.24</v>
      </c>
      <c r="S415" s="304">
        <f t="shared" ref="S415" si="1048">+R415*$X$1</f>
        <v>1856.24</v>
      </c>
      <c r="T415" s="529">
        <f t="shared" ref="T415" si="1049">F415+36</f>
        <v>1850.24</v>
      </c>
      <c r="U415" s="304">
        <f t="shared" ref="U415" si="1050">+T415*$X$1</f>
        <v>1850.24</v>
      </c>
      <c r="V415" s="529">
        <f t="shared" ref="V415" si="1051">F415+32</f>
        <v>1846.24</v>
      </c>
      <c r="W415" s="304">
        <f t="shared" ref="W415" si="1052">+V415*$X$1</f>
        <v>1846.24</v>
      </c>
      <c r="X415" s="626"/>
      <c r="Y415" s="753"/>
      <c r="Z415" s="753"/>
      <c r="AA415" s="627"/>
      <c r="AB415" s="201" t="s">
        <v>880</v>
      </c>
    </row>
    <row r="416" spans="1:35" ht="12.6" customHeight="1" x14ac:dyDescent="0.2">
      <c r="A416" s="18"/>
      <c r="B416" s="622" t="s">
        <v>878</v>
      </c>
      <c r="C416" s="623"/>
      <c r="D416" s="623"/>
      <c r="E416" s="624"/>
      <c r="F416" s="412">
        <f>1.78*X2</f>
        <v>1755.08</v>
      </c>
      <c r="G416" s="303">
        <f t="shared" ref="G416" si="1053">+F416*$X$1</f>
        <v>1755.08</v>
      </c>
      <c r="H416" s="590">
        <f t="shared" si="1037"/>
        <v>2065.08</v>
      </c>
      <c r="I416" s="303">
        <f t="shared" ref="I416:I422" si="1054">+H416*$X$1</f>
        <v>2065.08</v>
      </c>
      <c r="J416" s="590">
        <f t="shared" si="1039"/>
        <v>1875.08</v>
      </c>
      <c r="K416" s="303">
        <f t="shared" ref="K416:K422" si="1055">+J416*$X$1</f>
        <v>1875.08</v>
      </c>
      <c r="L416" s="590">
        <f t="shared" si="1041"/>
        <v>1845.08</v>
      </c>
      <c r="M416" s="303">
        <f t="shared" ref="M416:M422" si="1056">+L416*$X$1</f>
        <v>1845.08</v>
      </c>
      <c r="N416" s="590">
        <f t="shared" si="1043"/>
        <v>1810.08</v>
      </c>
      <c r="O416" s="303">
        <f t="shared" ref="O416:O422" si="1057">+N416*$X$1</f>
        <v>1810.08</v>
      </c>
      <c r="P416" s="590">
        <f t="shared" si="1045"/>
        <v>1804.08</v>
      </c>
      <c r="Q416" s="303">
        <f t="shared" ref="Q416:Q422" si="1058">+P416*$X$1</f>
        <v>1804.08</v>
      </c>
      <c r="R416" s="590">
        <f t="shared" si="1047"/>
        <v>1797.08</v>
      </c>
      <c r="S416" s="303">
        <f t="shared" ref="S416:S422" si="1059">+R416*$X$1</f>
        <v>1797.08</v>
      </c>
      <c r="T416" s="590">
        <f t="shared" ref="T416:T422" si="1060">F416+36</f>
        <v>1791.08</v>
      </c>
      <c r="U416" s="303">
        <f t="shared" ref="U416:U422" si="1061">+T416*$X$1</f>
        <v>1791.08</v>
      </c>
      <c r="V416" s="590">
        <f t="shared" ref="V416:V422" si="1062">F416+32</f>
        <v>1787.08</v>
      </c>
      <c r="W416" s="303">
        <f t="shared" ref="W416:W422" si="1063">+V416*$X$1</f>
        <v>1787.08</v>
      </c>
      <c r="X416" s="626"/>
      <c r="Y416" s="753"/>
      <c r="Z416" s="753"/>
      <c r="AA416" s="627"/>
      <c r="AB416" s="201" t="s">
        <v>543</v>
      </c>
    </row>
    <row r="417" spans="1:33" ht="12.6" customHeight="1" x14ac:dyDescent="0.2">
      <c r="A417" s="108"/>
      <c r="B417" s="665" t="s">
        <v>695</v>
      </c>
      <c r="C417" s="948"/>
      <c r="D417" s="948"/>
      <c r="E417" s="948"/>
      <c r="F417" s="413">
        <f>3.98*X2</f>
        <v>3924.28</v>
      </c>
      <c r="G417" s="304">
        <f>+F417*$X$1</f>
        <v>3924.28</v>
      </c>
      <c r="H417" s="529">
        <f t="shared" si="1037"/>
        <v>4234.2800000000007</v>
      </c>
      <c r="I417" s="304">
        <f t="shared" si="1054"/>
        <v>4234.2800000000007</v>
      </c>
      <c r="J417" s="529">
        <f t="shared" si="1039"/>
        <v>4044.28</v>
      </c>
      <c r="K417" s="304">
        <f t="shared" si="1055"/>
        <v>4044.28</v>
      </c>
      <c r="L417" s="529">
        <f t="shared" si="1041"/>
        <v>4014.28</v>
      </c>
      <c r="M417" s="304">
        <f t="shared" si="1056"/>
        <v>4014.28</v>
      </c>
      <c r="N417" s="529">
        <f t="shared" si="1043"/>
        <v>3979.28</v>
      </c>
      <c r="O417" s="304">
        <f t="shared" si="1057"/>
        <v>3979.28</v>
      </c>
      <c r="P417" s="529">
        <f t="shared" si="1045"/>
        <v>3973.28</v>
      </c>
      <c r="Q417" s="304">
        <f t="shared" si="1058"/>
        <v>3973.28</v>
      </c>
      <c r="R417" s="529">
        <f t="shared" si="1047"/>
        <v>3966.28</v>
      </c>
      <c r="S417" s="304">
        <f t="shared" si="1059"/>
        <v>3966.28</v>
      </c>
      <c r="T417" s="529">
        <f t="shared" si="1060"/>
        <v>3960.28</v>
      </c>
      <c r="U417" s="304">
        <f t="shared" si="1061"/>
        <v>3960.28</v>
      </c>
      <c r="V417" s="529">
        <f t="shared" si="1062"/>
        <v>3956.28</v>
      </c>
      <c r="W417" s="304">
        <f t="shared" si="1063"/>
        <v>3956.28</v>
      </c>
      <c r="X417" s="626"/>
      <c r="Y417" s="626"/>
      <c r="Z417" s="626"/>
      <c r="AA417" s="626"/>
      <c r="AB417" s="442" t="s">
        <v>694</v>
      </c>
      <c r="AC417" s="66"/>
    </row>
    <row r="418" spans="1:33" ht="12.6" customHeight="1" x14ac:dyDescent="0.2">
      <c r="A418" s="108"/>
      <c r="B418" s="912" t="s">
        <v>685</v>
      </c>
      <c r="C418" s="913"/>
      <c r="D418" s="913"/>
      <c r="E418" s="913"/>
      <c r="F418" s="412">
        <f>4.836*X2</f>
        <v>4768.2960000000003</v>
      </c>
      <c r="G418" s="303">
        <f t="shared" ref="G418:G421" si="1064">+F418*$X$1</f>
        <v>4768.2960000000003</v>
      </c>
      <c r="H418" s="590">
        <f t="shared" si="1037"/>
        <v>5078.2960000000003</v>
      </c>
      <c r="I418" s="303">
        <f t="shared" si="1054"/>
        <v>5078.2960000000003</v>
      </c>
      <c r="J418" s="590">
        <f t="shared" si="1039"/>
        <v>4888.2960000000003</v>
      </c>
      <c r="K418" s="303">
        <f t="shared" si="1055"/>
        <v>4888.2960000000003</v>
      </c>
      <c r="L418" s="590">
        <f t="shared" si="1041"/>
        <v>4858.2960000000003</v>
      </c>
      <c r="M418" s="303">
        <f t="shared" si="1056"/>
        <v>4858.2960000000003</v>
      </c>
      <c r="N418" s="590">
        <f t="shared" si="1043"/>
        <v>4823.2960000000003</v>
      </c>
      <c r="O418" s="303">
        <f t="shared" si="1057"/>
        <v>4823.2960000000003</v>
      </c>
      <c r="P418" s="590">
        <f t="shared" si="1045"/>
        <v>4817.2960000000003</v>
      </c>
      <c r="Q418" s="303">
        <f t="shared" si="1058"/>
        <v>4817.2960000000003</v>
      </c>
      <c r="R418" s="590">
        <f t="shared" si="1047"/>
        <v>4810.2960000000003</v>
      </c>
      <c r="S418" s="303">
        <f t="shared" si="1059"/>
        <v>4810.2960000000003</v>
      </c>
      <c r="T418" s="590">
        <f t="shared" si="1060"/>
        <v>4804.2960000000003</v>
      </c>
      <c r="U418" s="303">
        <f t="shared" si="1061"/>
        <v>4804.2960000000003</v>
      </c>
      <c r="V418" s="590">
        <f t="shared" si="1062"/>
        <v>4800.2960000000003</v>
      </c>
      <c r="W418" s="303">
        <f t="shared" si="1063"/>
        <v>4800.2960000000003</v>
      </c>
      <c r="X418" s="626"/>
      <c r="Y418" s="626"/>
      <c r="Z418" s="626"/>
      <c r="AA418" s="626"/>
      <c r="AB418" s="442" t="s">
        <v>684</v>
      </c>
      <c r="AC418" s="66"/>
    </row>
    <row r="419" spans="1:33" ht="12.6" customHeight="1" x14ac:dyDescent="0.2">
      <c r="A419" s="108"/>
      <c r="B419" s="665" t="s">
        <v>861</v>
      </c>
      <c r="C419" s="948"/>
      <c r="D419" s="948"/>
      <c r="E419" s="948"/>
      <c r="F419" s="413">
        <f>4.81*X2</f>
        <v>4742.66</v>
      </c>
      <c r="G419" s="304">
        <f t="shared" ref="G419" si="1065">+F419*$X$1</f>
        <v>4742.66</v>
      </c>
      <c r="H419" s="529">
        <f t="shared" si="1037"/>
        <v>5052.66</v>
      </c>
      <c r="I419" s="304">
        <f t="shared" si="1054"/>
        <v>5052.66</v>
      </c>
      <c r="J419" s="529">
        <f t="shared" si="1039"/>
        <v>4862.66</v>
      </c>
      <c r="K419" s="304">
        <f t="shared" si="1055"/>
        <v>4862.66</v>
      </c>
      <c r="L419" s="529">
        <f t="shared" si="1041"/>
        <v>4832.66</v>
      </c>
      <c r="M419" s="304">
        <f t="shared" si="1056"/>
        <v>4832.66</v>
      </c>
      <c r="N419" s="529">
        <f t="shared" si="1043"/>
        <v>4797.66</v>
      </c>
      <c r="O419" s="304">
        <f t="shared" si="1057"/>
        <v>4797.66</v>
      </c>
      <c r="P419" s="529">
        <f t="shared" si="1045"/>
        <v>4791.66</v>
      </c>
      <c r="Q419" s="304">
        <f t="shared" si="1058"/>
        <v>4791.66</v>
      </c>
      <c r="R419" s="529">
        <f t="shared" si="1047"/>
        <v>4784.66</v>
      </c>
      <c r="S419" s="304">
        <f t="shared" si="1059"/>
        <v>4784.66</v>
      </c>
      <c r="T419" s="529">
        <f t="shared" si="1060"/>
        <v>4778.66</v>
      </c>
      <c r="U419" s="304">
        <f t="shared" si="1061"/>
        <v>4778.66</v>
      </c>
      <c r="V419" s="529">
        <f t="shared" si="1062"/>
        <v>4774.66</v>
      </c>
      <c r="W419" s="304">
        <f t="shared" si="1063"/>
        <v>4774.66</v>
      </c>
      <c r="X419" s="626"/>
      <c r="Y419" s="626"/>
      <c r="Z419" s="626"/>
      <c r="AA419" s="626"/>
      <c r="AB419" s="442" t="s">
        <v>862</v>
      </c>
      <c r="AC419" s="66"/>
    </row>
    <row r="420" spans="1:33" ht="12.6" customHeight="1" x14ac:dyDescent="0.2">
      <c r="A420" s="108"/>
      <c r="B420" s="912" t="s">
        <v>688</v>
      </c>
      <c r="C420" s="913"/>
      <c r="D420" s="913"/>
      <c r="E420" s="913"/>
      <c r="F420" s="412">
        <f>4.056*X2</f>
        <v>3999.2159999999999</v>
      </c>
      <c r="G420" s="303">
        <f t="shared" si="1064"/>
        <v>3999.2159999999999</v>
      </c>
      <c r="H420" s="590">
        <f t="shared" si="1037"/>
        <v>4309.2160000000003</v>
      </c>
      <c r="I420" s="303">
        <f t="shared" si="1054"/>
        <v>4309.2160000000003</v>
      </c>
      <c r="J420" s="590">
        <f t="shared" si="1039"/>
        <v>4119.2160000000003</v>
      </c>
      <c r="K420" s="303">
        <f t="shared" si="1055"/>
        <v>4119.2160000000003</v>
      </c>
      <c r="L420" s="590">
        <f t="shared" si="1041"/>
        <v>4089.2159999999999</v>
      </c>
      <c r="M420" s="303">
        <f t="shared" si="1056"/>
        <v>4089.2159999999999</v>
      </c>
      <c r="N420" s="590">
        <f t="shared" si="1043"/>
        <v>4054.2159999999999</v>
      </c>
      <c r="O420" s="303">
        <f t="shared" si="1057"/>
        <v>4054.2159999999999</v>
      </c>
      <c r="P420" s="590">
        <f t="shared" si="1045"/>
        <v>4048.2159999999999</v>
      </c>
      <c r="Q420" s="303">
        <f t="shared" si="1058"/>
        <v>4048.2159999999999</v>
      </c>
      <c r="R420" s="590">
        <f t="shared" si="1047"/>
        <v>4041.2159999999999</v>
      </c>
      <c r="S420" s="303">
        <f t="shared" si="1059"/>
        <v>4041.2159999999999</v>
      </c>
      <c r="T420" s="590">
        <f t="shared" si="1060"/>
        <v>4035.2159999999999</v>
      </c>
      <c r="U420" s="303">
        <f t="shared" si="1061"/>
        <v>4035.2159999999999</v>
      </c>
      <c r="V420" s="590">
        <f t="shared" si="1062"/>
        <v>4031.2159999999999</v>
      </c>
      <c r="W420" s="303">
        <f t="shared" si="1063"/>
        <v>4031.2159999999999</v>
      </c>
      <c r="X420" s="626"/>
      <c r="Y420" s="626"/>
      <c r="Z420" s="626"/>
      <c r="AA420" s="626"/>
      <c r="AB420" s="442" t="s">
        <v>686</v>
      </c>
      <c r="AC420" s="66"/>
    </row>
    <row r="421" spans="1:33" ht="12.6" customHeight="1" x14ac:dyDescent="0.2">
      <c r="A421" s="108"/>
      <c r="B421" s="665" t="s">
        <v>689</v>
      </c>
      <c r="C421" s="948"/>
      <c r="D421" s="948"/>
      <c r="E421" s="948"/>
      <c r="F421" s="413">
        <f>4.056*X2</f>
        <v>3999.2159999999999</v>
      </c>
      <c r="G421" s="304">
        <f t="shared" si="1064"/>
        <v>3999.2159999999999</v>
      </c>
      <c r="H421" s="529">
        <f t="shared" si="1037"/>
        <v>4309.2160000000003</v>
      </c>
      <c r="I421" s="304">
        <f t="shared" si="1054"/>
        <v>4309.2160000000003</v>
      </c>
      <c r="J421" s="529">
        <f t="shared" si="1039"/>
        <v>4119.2160000000003</v>
      </c>
      <c r="K421" s="304">
        <f t="shared" si="1055"/>
        <v>4119.2160000000003</v>
      </c>
      <c r="L421" s="529">
        <f t="shared" si="1041"/>
        <v>4089.2159999999999</v>
      </c>
      <c r="M421" s="304">
        <f t="shared" si="1056"/>
        <v>4089.2159999999999</v>
      </c>
      <c r="N421" s="529">
        <f t="shared" si="1043"/>
        <v>4054.2159999999999</v>
      </c>
      <c r="O421" s="304">
        <f t="shared" si="1057"/>
        <v>4054.2159999999999</v>
      </c>
      <c r="P421" s="529">
        <f t="shared" si="1045"/>
        <v>4048.2159999999999</v>
      </c>
      <c r="Q421" s="304">
        <f t="shared" si="1058"/>
        <v>4048.2159999999999</v>
      </c>
      <c r="R421" s="529">
        <f t="shared" si="1047"/>
        <v>4041.2159999999999</v>
      </c>
      <c r="S421" s="304">
        <f t="shared" si="1059"/>
        <v>4041.2159999999999</v>
      </c>
      <c r="T421" s="529">
        <f t="shared" si="1060"/>
        <v>4035.2159999999999</v>
      </c>
      <c r="U421" s="304">
        <f t="shared" si="1061"/>
        <v>4035.2159999999999</v>
      </c>
      <c r="V421" s="529">
        <f t="shared" si="1062"/>
        <v>4031.2159999999999</v>
      </c>
      <c r="W421" s="304">
        <f t="shared" si="1063"/>
        <v>4031.2159999999999</v>
      </c>
      <c r="X421" s="626"/>
      <c r="Y421" s="626"/>
      <c r="Z421" s="626"/>
      <c r="AA421" s="626"/>
      <c r="AB421" s="442" t="s">
        <v>687</v>
      </c>
      <c r="AC421" s="66"/>
    </row>
    <row r="422" spans="1:33" ht="12.6" customHeight="1" x14ac:dyDescent="0.2">
      <c r="A422" s="108"/>
      <c r="B422" s="912" t="s">
        <v>690</v>
      </c>
      <c r="C422" s="913"/>
      <c r="D422" s="913"/>
      <c r="E422" s="913"/>
      <c r="F422" s="412">
        <f>4.036*X2</f>
        <v>3979.4959999999996</v>
      </c>
      <c r="G422" s="303">
        <f t="shared" ref="G422" si="1066">+F422*$X$1</f>
        <v>3979.4959999999996</v>
      </c>
      <c r="H422" s="590">
        <f t="shared" si="1037"/>
        <v>4289.4959999999992</v>
      </c>
      <c r="I422" s="303">
        <f t="shared" si="1054"/>
        <v>4289.4959999999992</v>
      </c>
      <c r="J422" s="590">
        <f t="shared" si="1039"/>
        <v>4099.4959999999992</v>
      </c>
      <c r="K422" s="303">
        <f t="shared" si="1055"/>
        <v>4099.4959999999992</v>
      </c>
      <c r="L422" s="590">
        <f t="shared" si="1041"/>
        <v>4069.4959999999996</v>
      </c>
      <c r="M422" s="303">
        <f t="shared" si="1056"/>
        <v>4069.4959999999996</v>
      </c>
      <c r="N422" s="590">
        <f t="shared" si="1043"/>
        <v>4034.4959999999996</v>
      </c>
      <c r="O422" s="303">
        <f t="shared" si="1057"/>
        <v>4034.4959999999996</v>
      </c>
      <c r="P422" s="590">
        <f t="shared" si="1045"/>
        <v>4028.4959999999996</v>
      </c>
      <c r="Q422" s="303">
        <f t="shared" si="1058"/>
        <v>4028.4959999999996</v>
      </c>
      <c r="R422" s="590">
        <f t="shared" si="1047"/>
        <v>4021.4959999999996</v>
      </c>
      <c r="S422" s="303">
        <f t="shared" si="1059"/>
        <v>4021.4959999999996</v>
      </c>
      <c r="T422" s="590">
        <f t="shared" si="1060"/>
        <v>4015.4959999999996</v>
      </c>
      <c r="U422" s="303">
        <f t="shared" si="1061"/>
        <v>4015.4959999999996</v>
      </c>
      <c r="V422" s="590">
        <f t="shared" si="1062"/>
        <v>4011.4959999999996</v>
      </c>
      <c r="W422" s="303">
        <f t="shared" si="1063"/>
        <v>4011.4959999999996</v>
      </c>
      <c r="X422" s="626"/>
      <c r="Y422" s="626"/>
      <c r="Z422" s="626"/>
      <c r="AA422" s="626"/>
      <c r="AB422" s="442" t="s">
        <v>691</v>
      </c>
      <c r="AC422" s="66"/>
    </row>
    <row r="423" spans="1:33" ht="12.6" customHeight="1" x14ac:dyDescent="0.2">
      <c r="A423" s="18"/>
      <c r="B423" s="682" t="s">
        <v>359</v>
      </c>
      <c r="C423" s="683"/>
      <c r="D423" s="683"/>
      <c r="E423" s="684"/>
      <c r="F423" s="304">
        <v>1100</v>
      </c>
      <c r="G423" s="304">
        <f t="shared" ref="G423:G433" si="1067">+F423*$X$1</f>
        <v>1100</v>
      </c>
      <c r="H423" s="273"/>
      <c r="I423" s="1135" t="s">
        <v>528</v>
      </c>
      <c r="J423" s="1136"/>
      <c r="K423" s="1136"/>
      <c r="L423" s="1136"/>
      <c r="M423" s="1137"/>
      <c r="N423" s="524">
        <v>1600</v>
      </c>
      <c r="O423" s="304">
        <f>+N423*$X$1</f>
        <v>1600</v>
      </c>
      <c r="P423" s="109">
        <v>1570</v>
      </c>
      <c r="Q423" s="304">
        <f t="shared" ref="Q423" si="1068">+P423*$X$1</f>
        <v>1570</v>
      </c>
      <c r="R423" s="524">
        <v>1400</v>
      </c>
      <c r="S423" s="304">
        <f>+R423*$X$1</f>
        <v>1400</v>
      </c>
      <c r="T423" s="524">
        <v>1310</v>
      </c>
      <c r="U423" s="304">
        <f>+T423*$X$1</f>
        <v>1310</v>
      </c>
      <c r="V423" s="524">
        <v>1265</v>
      </c>
      <c r="W423" s="304">
        <f t="shared" ref="W423" si="1069">+V423*$X$1</f>
        <v>1265</v>
      </c>
      <c r="X423" s="140"/>
      <c r="Y423" s="140"/>
      <c r="Z423" s="140"/>
      <c r="AA423" s="143"/>
      <c r="AB423" s="29"/>
    </row>
    <row r="424" spans="1:33" ht="12.6" customHeight="1" x14ac:dyDescent="0.2">
      <c r="A424" s="18"/>
      <c r="B424" s="622" t="s">
        <v>360</v>
      </c>
      <c r="C424" s="623"/>
      <c r="D424" s="623"/>
      <c r="E424" s="624"/>
      <c r="F424" s="303">
        <v>1100</v>
      </c>
      <c r="G424" s="303">
        <f t="shared" si="1067"/>
        <v>1100</v>
      </c>
      <c r="H424" s="273"/>
      <c r="I424" s="1138"/>
      <c r="J424" s="1139"/>
      <c r="K424" s="1139"/>
      <c r="L424" s="1139"/>
      <c r="M424" s="1140"/>
      <c r="N424" s="337">
        <v>1600</v>
      </c>
      <c r="O424" s="303">
        <f>+N424*$X$1</f>
        <v>1600</v>
      </c>
      <c r="P424" s="103">
        <v>1570</v>
      </c>
      <c r="Q424" s="303">
        <f t="shared" ref="Q424:Q427" si="1070">+P424*$X$1</f>
        <v>1570</v>
      </c>
      <c r="R424" s="337">
        <v>1400</v>
      </c>
      <c r="S424" s="303">
        <f>+R424*$X$1</f>
        <v>1400</v>
      </c>
      <c r="T424" s="337">
        <v>1310</v>
      </c>
      <c r="U424" s="303">
        <f>+T424*$X$1</f>
        <v>1310</v>
      </c>
      <c r="V424" s="337">
        <v>1265</v>
      </c>
      <c r="W424" s="303">
        <f t="shared" ref="W424:W427" si="1071">+V424*$X$1</f>
        <v>1265</v>
      </c>
      <c r="X424" s="140"/>
      <c r="Y424" s="140"/>
      <c r="Z424" s="140"/>
      <c r="AA424" s="143"/>
      <c r="AB424" s="201"/>
    </row>
    <row r="425" spans="1:33" ht="12.6" customHeight="1" x14ac:dyDescent="0.2">
      <c r="A425" s="18"/>
      <c r="B425" s="682" t="s">
        <v>361</v>
      </c>
      <c r="C425" s="683"/>
      <c r="D425" s="683"/>
      <c r="E425" s="684"/>
      <c r="F425" s="304">
        <v>1100</v>
      </c>
      <c r="G425" s="304">
        <f t="shared" si="1067"/>
        <v>1100</v>
      </c>
      <c r="H425" s="17"/>
      <c r="I425" s="1141"/>
      <c r="J425" s="1142"/>
      <c r="K425" s="1142"/>
      <c r="L425" s="1142"/>
      <c r="M425" s="1143"/>
      <c r="N425" s="524">
        <v>1600</v>
      </c>
      <c r="O425" s="304">
        <f>+N425*$X$1</f>
        <v>1600</v>
      </c>
      <c r="P425" s="109">
        <v>1570</v>
      </c>
      <c r="Q425" s="304">
        <f t="shared" si="1070"/>
        <v>1570</v>
      </c>
      <c r="R425" s="524">
        <v>1400</v>
      </c>
      <c r="S425" s="304">
        <f>+R425*$X$1</f>
        <v>1400</v>
      </c>
      <c r="T425" s="524">
        <v>1310</v>
      </c>
      <c r="U425" s="304">
        <f>+T425*$X$1</f>
        <v>1310</v>
      </c>
      <c r="V425" s="524">
        <v>1265</v>
      </c>
      <c r="W425" s="304">
        <f t="shared" si="1071"/>
        <v>1265</v>
      </c>
      <c r="X425" s="140"/>
      <c r="Y425" s="140"/>
      <c r="Z425" s="140"/>
      <c r="AA425" s="143"/>
      <c r="AB425" s="201"/>
      <c r="AG425" s="237"/>
    </row>
    <row r="426" spans="1:33" ht="12.6" customHeight="1" x14ac:dyDescent="0.2">
      <c r="A426" s="18"/>
      <c r="B426" s="946" t="s">
        <v>263</v>
      </c>
      <c r="C426" s="947"/>
      <c r="D426" s="947"/>
      <c r="E426" s="947"/>
      <c r="F426" s="412">
        <f>3.11*X2</f>
        <v>3066.46</v>
      </c>
      <c r="G426" s="303">
        <f t="shared" si="1067"/>
        <v>3066.46</v>
      </c>
      <c r="H426" s="295"/>
      <c r="I426" s="295"/>
      <c r="J426" s="590">
        <f>F426+150</f>
        <v>3216.46</v>
      </c>
      <c r="K426" s="303">
        <f t="shared" ref="K426:K427" si="1072">+J426*$X$1</f>
        <v>3216.46</v>
      </c>
      <c r="L426" s="590">
        <f>F426+90</f>
        <v>3156.46</v>
      </c>
      <c r="M426" s="303">
        <f t="shared" ref="M426:M427" si="1073">+L426*$X$1</f>
        <v>3156.46</v>
      </c>
      <c r="N426" s="590">
        <f>F426+55</f>
        <v>3121.46</v>
      </c>
      <c r="O426" s="303">
        <f t="shared" ref="O426:O427" si="1074">+N426*$X$1</f>
        <v>3121.46</v>
      </c>
      <c r="P426" s="590">
        <f>F426+50</f>
        <v>3116.46</v>
      </c>
      <c r="Q426" s="303">
        <f t="shared" si="1070"/>
        <v>3116.46</v>
      </c>
      <c r="R426" s="590">
        <f>F426+42</f>
        <v>3108.46</v>
      </c>
      <c r="S426" s="303">
        <f t="shared" ref="S426:S427" si="1075">+R426*$X$1</f>
        <v>3108.46</v>
      </c>
      <c r="T426" s="105">
        <f>F426+35</f>
        <v>3101.46</v>
      </c>
      <c r="U426" s="268">
        <f t="shared" ref="U426:U427" si="1076">+T426*$X$1</f>
        <v>3101.46</v>
      </c>
      <c r="V426" s="105">
        <f>F426+30</f>
        <v>3096.46</v>
      </c>
      <c r="W426" s="268">
        <f t="shared" si="1071"/>
        <v>3096.46</v>
      </c>
      <c r="X426" s="642"/>
      <c r="Y426" s="642"/>
      <c r="Z426" s="642"/>
      <c r="AA426" s="643"/>
      <c r="AB426" s="201" t="s">
        <v>264</v>
      </c>
    </row>
    <row r="427" spans="1:33" ht="12.6" customHeight="1" x14ac:dyDescent="0.2">
      <c r="A427" s="18"/>
      <c r="B427" s="674" t="s">
        <v>418</v>
      </c>
      <c r="C427" s="675"/>
      <c r="D427" s="675"/>
      <c r="E427" s="675"/>
      <c r="F427" s="413">
        <f>1.46*X2</f>
        <v>1439.56</v>
      </c>
      <c r="G427" s="304">
        <f t="shared" si="1067"/>
        <v>1439.56</v>
      </c>
      <c r="H427" s="294"/>
      <c r="I427" s="294"/>
      <c r="J427" s="529">
        <f>F427+150</f>
        <v>1589.56</v>
      </c>
      <c r="K427" s="304">
        <f t="shared" si="1072"/>
        <v>1589.56</v>
      </c>
      <c r="L427" s="529">
        <f>F427+90</f>
        <v>1529.56</v>
      </c>
      <c r="M427" s="304">
        <f t="shared" si="1073"/>
        <v>1529.56</v>
      </c>
      <c r="N427" s="529">
        <f>F427+55</f>
        <v>1494.56</v>
      </c>
      <c r="O427" s="304">
        <f t="shared" si="1074"/>
        <v>1494.56</v>
      </c>
      <c r="P427" s="529">
        <f>F427+50</f>
        <v>1489.56</v>
      </c>
      <c r="Q427" s="304">
        <f t="shared" si="1070"/>
        <v>1489.56</v>
      </c>
      <c r="R427" s="529">
        <f>F427+42</f>
        <v>1481.56</v>
      </c>
      <c r="S427" s="304">
        <f t="shared" si="1075"/>
        <v>1481.56</v>
      </c>
      <c r="T427" s="104">
        <f>F427+35</f>
        <v>1474.56</v>
      </c>
      <c r="U427" s="325">
        <f t="shared" si="1076"/>
        <v>1474.56</v>
      </c>
      <c r="V427" s="104">
        <f>F427+30</f>
        <v>1469.56</v>
      </c>
      <c r="W427" s="325">
        <f t="shared" si="1071"/>
        <v>1469.56</v>
      </c>
      <c r="X427" s="642"/>
      <c r="Y427" s="642"/>
      <c r="Z427" s="642"/>
      <c r="AA427" s="643"/>
      <c r="AB427" s="201" t="s">
        <v>456</v>
      </c>
    </row>
    <row r="428" spans="1:33" s="66" customFormat="1" ht="12.6" customHeight="1" x14ac:dyDescent="0.25">
      <c r="A428" s="98"/>
      <c r="B428" s="714" t="s">
        <v>357</v>
      </c>
      <c r="C428" s="1144"/>
      <c r="D428" s="1144"/>
      <c r="E428" s="1144"/>
      <c r="F428" s="303">
        <v>596</v>
      </c>
      <c r="G428" s="303">
        <f t="shared" si="1067"/>
        <v>596</v>
      </c>
      <c r="H428" s="293"/>
      <c r="I428" s="1135" t="s">
        <v>524</v>
      </c>
      <c r="J428" s="1154"/>
      <c r="K428" s="1154"/>
      <c r="L428" s="1155"/>
      <c r="M428" s="1156"/>
      <c r="N428" s="337">
        <v>1160</v>
      </c>
      <c r="O428" s="303">
        <f t="shared" ref="O428:O437" si="1077">+N428*$X$1</f>
        <v>1160</v>
      </c>
      <c r="P428" s="315">
        <v>1151</v>
      </c>
      <c r="Q428" s="303">
        <f t="shared" ref="Q428:Q437" si="1078">+P428*$X$1</f>
        <v>1151</v>
      </c>
      <c r="R428" s="337">
        <v>1070</v>
      </c>
      <c r="S428" s="303">
        <f t="shared" ref="S428:S437" si="1079">+R428*$X$1</f>
        <v>1070</v>
      </c>
      <c r="T428" s="337">
        <v>977</v>
      </c>
      <c r="U428" s="303">
        <f t="shared" ref="U428:U437" si="1080">+T428*$X$1</f>
        <v>977</v>
      </c>
      <c r="V428" s="337">
        <v>924</v>
      </c>
      <c r="W428" s="303">
        <f t="shared" ref="W428:W437" si="1081">+V428*$X$1</f>
        <v>924</v>
      </c>
      <c r="X428" s="157"/>
      <c r="Y428" s="157"/>
      <c r="Z428" s="157"/>
      <c r="AA428" s="158"/>
      <c r="AB428" s="459" t="s">
        <v>265</v>
      </c>
    </row>
    <row r="429" spans="1:33" s="66" customFormat="1" ht="12.6" customHeight="1" x14ac:dyDescent="0.25">
      <c r="A429" s="98"/>
      <c r="B429" s="674" t="s">
        <v>358</v>
      </c>
      <c r="C429" s="675"/>
      <c r="D429" s="675"/>
      <c r="E429" s="675"/>
      <c r="F429" s="304">
        <v>596</v>
      </c>
      <c r="G429" s="304">
        <f t="shared" si="1067"/>
        <v>596</v>
      </c>
      <c r="H429" s="299"/>
      <c r="I429" s="1157"/>
      <c r="J429" s="1158"/>
      <c r="K429" s="1158"/>
      <c r="L429" s="1159"/>
      <c r="M429" s="1160"/>
      <c r="N429" s="529">
        <v>1461</v>
      </c>
      <c r="O429" s="304">
        <f t="shared" si="1077"/>
        <v>1461</v>
      </c>
      <c r="P429" s="314">
        <v>1449</v>
      </c>
      <c r="Q429" s="304">
        <f t="shared" si="1078"/>
        <v>1449</v>
      </c>
      <c r="R429" s="529">
        <v>1376</v>
      </c>
      <c r="S429" s="304">
        <f t="shared" si="1079"/>
        <v>1376</v>
      </c>
      <c r="T429" s="529">
        <v>1330</v>
      </c>
      <c r="U429" s="304">
        <f t="shared" si="1080"/>
        <v>1330</v>
      </c>
      <c r="V429" s="529">
        <v>1259</v>
      </c>
      <c r="W429" s="304">
        <f t="shared" si="1081"/>
        <v>1259</v>
      </c>
      <c r="X429" s="179"/>
      <c r="Y429" s="140"/>
      <c r="Z429" s="140"/>
      <c r="AA429" s="143"/>
      <c r="AB429" s="460"/>
    </row>
    <row r="430" spans="1:33" s="66" customFormat="1" ht="12.6" customHeight="1" x14ac:dyDescent="0.25">
      <c r="A430" s="98"/>
      <c r="B430" s="628" t="s">
        <v>373</v>
      </c>
      <c r="C430" s="629"/>
      <c r="D430" s="629"/>
      <c r="E430" s="629"/>
      <c r="F430" s="303">
        <v>596</v>
      </c>
      <c r="G430" s="303">
        <f t="shared" si="1067"/>
        <v>596</v>
      </c>
      <c r="H430" s="291"/>
      <c r="I430" s="1157"/>
      <c r="J430" s="1158"/>
      <c r="K430" s="1158"/>
      <c r="L430" s="1159"/>
      <c r="M430" s="1160"/>
      <c r="N430" s="545">
        <v>1160</v>
      </c>
      <c r="O430" s="303">
        <f t="shared" ref="O430:O431" si="1082">+N430*$X$1</f>
        <v>1160</v>
      </c>
      <c r="P430" s="315">
        <v>1151</v>
      </c>
      <c r="Q430" s="303">
        <f t="shared" ref="Q430:Q431" si="1083">+P430*$X$1</f>
        <v>1151</v>
      </c>
      <c r="R430" s="545">
        <v>1070</v>
      </c>
      <c r="S430" s="303">
        <f t="shared" ref="S430:S431" si="1084">+R430*$X$1</f>
        <v>1070</v>
      </c>
      <c r="T430" s="545">
        <v>977</v>
      </c>
      <c r="U430" s="303">
        <f t="shared" ref="U430:U431" si="1085">+T430*$X$1</f>
        <v>977</v>
      </c>
      <c r="V430" s="545">
        <v>924</v>
      </c>
      <c r="W430" s="303">
        <f t="shared" ref="W430:W431" si="1086">+V430*$X$1</f>
        <v>924</v>
      </c>
      <c r="X430" s="140"/>
      <c r="Y430" s="140"/>
      <c r="Z430" s="140"/>
      <c r="AA430" s="143"/>
      <c r="AB430" s="459" t="s">
        <v>266</v>
      </c>
    </row>
    <row r="431" spans="1:33" s="66" customFormat="1" ht="12" customHeight="1" x14ac:dyDescent="0.25">
      <c r="A431" s="98"/>
      <c r="B431" s="674" t="s">
        <v>374</v>
      </c>
      <c r="C431" s="675"/>
      <c r="D431" s="675"/>
      <c r="E431" s="675"/>
      <c r="F431" s="304">
        <v>596</v>
      </c>
      <c r="G431" s="304">
        <f t="shared" si="1067"/>
        <v>596</v>
      </c>
      <c r="H431" s="299"/>
      <c r="I431" s="1157"/>
      <c r="J431" s="1158"/>
      <c r="K431" s="1158"/>
      <c r="L431" s="1159"/>
      <c r="M431" s="1160"/>
      <c r="N431" s="529">
        <v>1461</v>
      </c>
      <c r="O431" s="304">
        <f t="shared" si="1082"/>
        <v>1461</v>
      </c>
      <c r="P431" s="314">
        <v>1449</v>
      </c>
      <c r="Q431" s="304">
        <f t="shared" si="1083"/>
        <v>1449</v>
      </c>
      <c r="R431" s="529">
        <v>1376</v>
      </c>
      <c r="S431" s="304">
        <f t="shared" si="1084"/>
        <v>1376</v>
      </c>
      <c r="T431" s="529">
        <v>1330</v>
      </c>
      <c r="U431" s="304">
        <f t="shared" si="1085"/>
        <v>1330</v>
      </c>
      <c r="V431" s="529">
        <v>1259</v>
      </c>
      <c r="W431" s="304">
        <f t="shared" si="1086"/>
        <v>1259</v>
      </c>
      <c r="X431" s="157"/>
      <c r="Y431" s="157"/>
      <c r="Z431" s="140"/>
      <c r="AA431" s="143"/>
      <c r="AB431" s="460"/>
    </row>
    <row r="432" spans="1:33" s="66" customFormat="1" ht="12.6" customHeight="1" x14ac:dyDescent="0.25">
      <c r="A432" s="98"/>
      <c r="B432" s="628" t="s">
        <v>267</v>
      </c>
      <c r="C432" s="629"/>
      <c r="D432" s="629"/>
      <c r="E432" s="629"/>
      <c r="F432" s="303">
        <v>596</v>
      </c>
      <c r="G432" s="303">
        <f t="shared" si="1067"/>
        <v>596</v>
      </c>
      <c r="H432" s="291"/>
      <c r="I432" s="1161"/>
      <c r="J432" s="1162"/>
      <c r="K432" s="1162"/>
      <c r="L432" s="1159"/>
      <c r="M432" s="1160"/>
      <c r="N432" s="545">
        <v>1320</v>
      </c>
      <c r="O432" s="303">
        <f t="shared" ref="O432" si="1087">+N432*$X$1</f>
        <v>1320</v>
      </c>
      <c r="P432" s="548">
        <v>1305</v>
      </c>
      <c r="Q432" s="303">
        <f t="shared" ref="Q432" si="1088">+P432*$X$1</f>
        <v>1305</v>
      </c>
      <c r="R432" s="429">
        <v>1172</v>
      </c>
      <c r="S432" s="303">
        <f t="shared" ref="S432" si="1089">+R432*$X$1</f>
        <v>1172</v>
      </c>
      <c r="T432" s="429">
        <v>1090</v>
      </c>
      <c r="U432" s="303">
        <f t="shared" ref="U432" si="1090">+T432*$X$1</f>
        <v>1090</v>
      </c>
      <c r="V432" s="429">
        <v>1025</v>
      </c>
      <c r="W432" s="303">
        <f t="shared" ref="W432" si="1091">+V432*$X$1</f>
        <v>1025</v>
      </c>
      <c r="X432" s="140"/>
      <c r="Y432" s="140"/>
      <c r="Z432" s="140"/>
      <c r="AA432" s="143"/>
      <c r="AB432" s="459" t="s">
        <v>268</v>
      </c>
      <c r="AE432" s="252"/>
    </row>
    <row r="433" spans="1:28" s="66" customFormat="1" ht="12.6" customHeight="1" x14ac:dyDescent="0.25">
      <c r="A433" s="98"/>
      <c r="B433" s="674" t="s">
        <v>269</v>
      </c>
      <c r="C433" s="675"/>
      <c r="D433" s="675"/>
      <c r="E433" s="675"/>
      <c r="F433" s="304">
        <v>596</v>
      </c>
      <c r="G433" s="304">
        <f t="shared" si="1067"/>
        <v>596</v>
      </c>
      <c r="H433" s="299"/>
      <c r="I433" s="1163"/>
      <c r="J433" s="1164"/>
      <c r="K433" s="1164"/>
      <c r="L433" s="1164"/>
      <c r="M433" s="1165"/>
      <c r="N433" s="529">
        <v>1598</v>
      </c>
      <c r="O433" s="304">
        <f t="shared" si="1077"/>
        <v>1598</v>
      </c>
      <c r="P433" s="314">
        <v>1586</v>
      </c>
      <c r="Q433" s="304">
        <f t="shared" si="1078"/>
        <v>1586</v>
      </c>
      <c r="R433" s="529">
        <v>1510</v>
      </c>
      <c r="S433" s="304">
        <f t="shared" si="1079"/>
        <v>1510</v>
      </c>
      <c r="T433" s="529">
        <v>1473</v>
      </c>
      <c r="U433" s="304">
        <f t="shared" si="1080"/>
        <v>1473</v>
      </c>
      <c r="V433" s="529">
        <v>1403</v>
      </c>
      <c r="W433" s="304">
        <f t="shared" si="1081"/>
        <v>1403</v>
      </c>
      <c r="X433" s="140"/>
      <c r="Y433" s="140"/>
      <c r="Z433" s="140"/>
      <c r="AA433" s="143"/>
      <c r="AB433" s="459" t="s">
        <v>270</v>
      </c>
    </row>
    <row r="434" spans="1:28" ht="12.6" customHeight="1" x14ac:dyDescent="0.2">
      <c r="A434" s="18"/>
      <c r="B434" s="622" t="s">
        <v>271</v>
      </c>
      <c r="C434" s="623"/>
      <c r="D434" s="623"/>
      <c r="E434" s="624"/>
      <c r="F434" s="412">
        <f>2.97*X2</f>
        <v>2928.42</v>
      </c>
      <c r="G434" s="303">
        <f t="shared" ref="G434:G435" si="1092">+F434*$X$1</f>
        <v>2928.42</v>
      </c>
      <c r="H434" s="590">
        <f t="shared" ref="H434:H439" si="1093">F434+310</f>
        <v>3238.42</v>
      </c>
      <c r="I434" s="303">
        <f t="shared" ref="I434:I438" si="1094">+H434*$X$1</f>
        <v>3238.42</v>
      </c>
      <c r="J434" s="590">
        <f t="shared" ref="J434:J439" si="1095">F434+120</f>
        <v>3048.42</v>
      </c>
      <c r="K434" s="303">
        <f t="shared" ref="K434:K438" si="1096">+J434*$X$1</f>
        <v>3048.42</v>
      </c>
      <c r="L434" s="590">
        <f>F434+90</f>
        <v>3018.42</v>
      </c>
      <c r="M434" s="303">
        <f t="shared" ref="M434:M437" si="1097">+L434*$X$1</f>
        <v>3018.42</v>
      </c>
      <c r="N434" s="590">
        <f>F434+55</f>
        <v>2983.42</v>
      </c>
      <c r="O434" s="303">
        <f t="shared" si="1077"/>
        <v>2983.42</v>
      </c>
      <c r="P434" s="590">
        <f>F434+49</f>
        <v>2977.42</v>
      </c>
      <c r="Q434" s="303">
        <f t="shared" si="1078"/>
        <v>2977.42</v>
      </c>
      <c r="R434" s="590">
        <f>F434+42</f>
        <v>2970.42</v>
      </c>
      <c r="S434" s="303">
        <f t="shared" si="1079"/>
        <v>2970.42</v>
      </c>
      <c r="T434" s="590">
        <f t="shared" ref="T434:T437" si="1098">F434+36</f>
        <v>2964.42</v>
      </c>
      <c r="U434" s="303">
        <f t="shared" si="1080"/>
        <v>2964.42</v>
      </c>
      <c r="V434" s="590">
        <f t="shared" ref="V434:V437" si="1099">F434+32</f>
        <v>2960.42</v>
      </c>
      <c r="W434" s="303">
        <f t="shared" si="1081"/>
        <v>2960.42</v>
      </c>
      <c r="X434" s="626"/>
      <c r="Y434" s="626"/>
      <c r="Z434" s="626"/>
      <c r="AA434" s="627"/>
      <c r="AB434" s="201" t="s">
        <v>272</v>
      </c>
    </row>
    <row r="435" spans="1:28" ht="12.6" customHeight="1" x14ac:dyDescent="0.2">
      <c r="A435" s="18"/>
      <c r="B435" s="682" t="s">
        <v>273</v>
      </c>
      <c r="C435" s="683"/>
      <c r="D435" s="683"/>
      <c r="E435" s="684"/>
      <c r="F435" s="413">
        <f>2.25*X2</f>
        <v>2218.5</v>
      </c>
      <c r="G435" s="304">
        <f t="shared" si="1092"/>
        <v>2218.5</v>
      </c>
      <c r="H435" s="529">
        <f t="shared" si="1093"/>
        <v>2528.5</v>
      </c>
      <c r="I435" s="304">
        <f t="shared" si="1094"/>
        <v>2528.5</v>
      </c>
      <c r="J435" s="529">
        <f t="shared" si="1095"/>
        <v>2338.5</v>
      </c>
      <c r="K435" s="304">
        <f t="shared" si="1096"/>
        <v>2338.5</v>
      </c>
      <c r="L435" s="529">
        <f>F435+90</f>
        <v>2308.5</v>
      </c>
      <c r="M435" s="304">
        <f t="shared" si="1097"/>
        <v>2308.5</v>
      </c>
      <c r="N435" s="529">
        <f>F435+55</f>
        <v>2273.5</v>
      </c>
      <c r="O435" s="304">
        <f t="shared" si="1077"/>
        <v>2273.5</v>
      </c>
      <c r="P435" s="529">
        <f>F435+49</f>
        <v>2267.5</v>
      </c>
      <c r="Q435" s="304">
        <f t="shared" si="1078"/>
        <v>2267.5</v>
      </c>
      <c r="R435" s="529"/>
      <c r="S435" s="304"/>
      <c r="T435" s="529"/>
      <c r="U435" s="304"/>
      <c r="V435" s="529"/>
      <c r="W435" s="304"/>
      <c r="X435" s="626"/>
      <c r="Y435" s="626"/>
      <c r="Z435" s="626"/>
      <c r="AA435" s="627"/>
      <c r="AB435" s="201" t="s">
        <v>449</v>
      </c>
    </row>
    <row r="436" spans="1:28" ht="12.6" customHeight="1" x14ac:dyDescent="0.2">
      <c r="A436" s="18"/>
      <c r="B436" s="1027" t="s">
        <v>824</v>
      </c>
      <c r="C436" s="953"/>
      <c r="D436" s="953"/>
      <c r="E436" s="954"/>
      <c r="F436" s="352">
        <v>3255</v>
      </c>
      <c r="G436" s="303">
        <f t="shared" ref="G436" si="1100">+F436*$X$1</f>
        <v>3255</v>
      </c>
      <c r="H436" s="590">
        <f t="shared" si="1093"/>
        <v>3565</v>
      </c>
      <c r="I436" s="303">
        <f t="shared" si="1094"/>
        <v>3565</v>
      </c>
      <c r="J436" s="590">
        <f t="shared" si="1095"/>
        <v>3375</v>
      </c>
      <c r="K436" s="303">
        <f t="shared" si="1096"/>
        <v>3375</v>
      </c>
      <c r="L436" s="590">
        <f>F436+90</f>
        <v>3345</v>
      </c>
      <c r="M436" s="303">
        <f t="shared" si="1097"/>
        <v>3345</v>
      </c>
      <c r="N436" s="590">
        <f>F436+55</f>
        <v>3310</v>
      </c>
      <c r="O436" s="303">
        <f t="shared" si="1077"/>
        <v>3310</v>
      </c>
      <c r="P436" s="590">
        <f>F436+49</f>
        <v>3304</v>
      </c>
      <c r="Q436" s="303">
        <f t="shared" si="1078"/>
        <v>3304</v>
      </c>
      <c r="R436" s="590">
        <f>F436+42</f>
        <v>3297</v>
      </c>
      <c r="S436" s="303">
        <f t="shared" si="1079"/>
        <v>3297</v>
      </c>
      <c r="T436" s="590">
        <f t="shared" si="1098"/>
        <v>3291</v>
      </c>
      <c r="U436" s="303">
        <f t="shared" si="1080"/>
        <v>3291</v>
      </c>
      <c r="V436" s="590">
        <f t="shared" si="1099"/>
        <v>3287</v>
      </c>
      <c r="W436" s="303">
        <f t="shared" si="1081"/>
        <v>3287</v>
      </c>
      <c r="X436" s="626"/>
      <c r="Y436" s="626"/>
      <c r="Z436" s="626"/>
      <c r="AA436" s="627"/>
      <c r="AB436" s="201" t="s">
        <v>823</v>
      </c>
    </row>
    <row r="437" spans="1:28" ht="12.6" customHeight="1" x14ac:dyDescent="0.2">
      <c r="A437" s="18"/>
      <c r="B437" s="682" t="s">
        <v>402</v>
      </c>
      <c r="C437" s="683"/>
      <c r="D437" s="683"/>
      <c r="E437" s="684"/>
      <c r="F437" s="413">
        <f>1.99*X2</f>
        <v>1962.14</v>
      </c>
      <c r="G437" s="304">
        <f t="shared" ref="G437:G439" si="1101">+F437*$X$1</f>
        <v>1962.14</v>
      </c>
      <c r="H437" s="529">
        <f t="shared" si="1093"/>
        <v>2272.1400000000003</v>
      </c>
      <c r="I437" s="304">
        <f t="shared" si="1094"/>
        <v>2272.1400000000003</v>
      </c>
      <c r="J437" s="529">
        <f t="shared" si="1095"/>
        <v>2082.1400000000003</v>
      </c>
      <c r="K437" s="304">
        <f t="shared" si="1096"/>
        <v>2082.1400000000003</v>
      </c>
      <c r="L437" s="529">
        <f>F437+90</f>
        <v>2052.1400000000003</v>
      </c>
      <c r="M437" s="304">
        <f t="shared" si="1097"/>
        <v>2052.1400000000003</v>
      </c>
      <c r="N437" s="529">
        <f>F437+55</f>
        <v>2017.14</v>
      </c>
      <c r="O437" s="304">
        <f t="shared" si="1077"/>
        <v>2017.14</v>
      </c>
      <c r="P437" s="529">
        <f>F437+49</f>
        <v>2011.14</v>
      </c>
      <c r="Q437" s="304">
        <f t="shared" si="1078"/>
        <v>2011.14</v>
      </c>
      <c r="R437" s="529">
        <f>F437+42</f>
        <v>2004.14</v>
      </c>
      <c r="S437" s="304">
        <f t="shared" si="1079"/>
        <v>2004.14</v>
      </c>
      <c r="T437" s="529">
        <f t="shared" si="1098"/>
        <v>1998.14</v>
      </c>
      <c r="U437" s="304">
        <f t="shared" si="1080"/>
        <v>1998.14</v>
      </c>
      <c r="V437" s="529">
        <f t="shared" si="1099"/>
        <v>1994.14</v>
      </c>
      <c r="W437" s="304">
        <f t="shared" si="1081"/>
        <v>1994.14</v>
      </c>
      <c r="X437" s="626"/>
      <c r="Y437" s="753"/>
      <c r="Z437" s="753"/>
      <c r="AA437" s="627"/>
      <c r="AB437" s="201" t="s">
        <v>450</v>
      </c>
    </row>
    <row r="438" spans="1:28" ht="12.6" customHeight="1" x14ac:dyDescent="0.2">
      <c r="A438" s="108"/>
      <c r="B438" s="873" t="s">
        <v>274</v>
      </c>
      <c r="C438" s="865"/>
      <c r="D438" s="865"/>
      <c r="E438" s="865"/>
      <c r="F438" s="362">
        <v>750</v>
      </c>
      <c r="G438" s="361">
        <f t="shared" si="1101"/>
        <v>750</v>
      </c>
      <c r="H438" s="591">
        <f t="shared" si="1093"/>
        <v>1060</v>
      </c>
      <c r="I438" s="361">
        <f t="shared" si="1094"/>
        <v>1060</v>
      </c>
      <c r="J438" s="591">
        <f t="shared" si="1095"/>
        <v>870</v>
      </c>
      <c r="K438" s="361">
        <f t="shared" si="1096"/>
        <v>870</v>
      </c>
      <c r="L438" s="591"/>
      <c r="M438" s="361"/>
      <c r="N438" s="591"/>
      <c r="O438" s="361"/>
      <c r="P438" s="591"/>
      <c r="Q438" s="361"/>
      <c r="R438" s="591"/>
      <c r="S438" s="361"/>
      <c r="T438" s="591"/>
      <c r="U438" s="361"/>
      <c r="V438" s="591"/>
      <c r="W438" s="361"/>
      <c r="X438" s="626"/>
      <c r="Y438" s="626"/>
      <c r="Z438" s="626"/>
      <c r="AA438" s="626"/>
      <c r="AB438" s="443" t="s">
        <v>275</v>
      </c>
    </row>
    <row r="439" spans="1:28" ht="12.6" customHeight="1" x14ac:dyDescent="0.2">
      <c r="A439" s="18"/>
      <c r="B439" s="1027" t="s">
        <v>858</v>
      </c>
      <c r="C439" s="953"/>
      <c r="D439" s="953"/>
      <c r="E439" s="954"/>
      <c r="F439" s="413">
        <f>3.65*X2</f>
        <v>3598.9</v>
      </c>
      <c r="G439" s="304">
        <f t="shared" si="1101"/>
        <v>3598.9</v>
      </c>
      <c r="H439" s="529">
        <f t="shared" si="1093"/>
        <v>3908.9</v>
      </c>
      <c r="I439" s="304">
        <f t="shared" ref="I439" si="1102">+H439*$X$1</f>
        <v>3908.9</v>
      </c>
      <c r="J439" s="529">
        <f t="shared" si="1095"/>
        <v>3718.9</v>
      </c>
      <c r="K439" s="304">
        <f t="shared" ref="K439" si="1103">+J439*$X$1</f>
        <v>3718.9</v>
      </c>
      <c r="L439" s="529">
        <f>F439+90</f>
        <v>3688.9</v>
      </c>
      <c r="M439" s="304">
        <f t="shared" ref="M439" si="1104">+L439*$X$1</f>
        <v>3688.9</v>
      </c>
      <c r="N439" s="529">
        <f>F439+55</f>
        <v>3653.9</v>
      </c>
      <c r="O439" s="304">
        <f t="shared" ref="O439" si="1105">+N439*$X$1</f>
        <v>3653.9</v>
      </c>
      <c r="P439" s="529">
        <f>F439+49</f>
        <v>3647.9</v>
      </c>
      <c r="Q439" s="304">
        <f t="shared" ref="Q439" si="1106">+P439*$X$1</f>
        <v>3647.9</v>
      </c>
      <c r="R439" s="529">
        <f>F439+42</f>
        <v>3640.9</v>
      </c>
      <c r="S439" s="304">
        <f t="shared" ref="S439" si="1107">+R439*$X$1</f>
        <v>3640.9</v>
      </c>
      <c r="T439" s="529">
        <f t="shared" ref="T439" si="1108">F439+36</f>
        <v>3634.9</v>
      </c>
      <c r="U439" s="304">
        <f t="shared" ref="U439" si="1109">+T439*$X$1</f>
        <v>3634.9</v>
      </c>
      <c r="V439" s="529">
        <f t="shared" ref="V439" si="1110">F439+32</f>
        <v>3630.9</v>
      </c>
      <c r="W439" s="304">
        <f t="shared" ref="W439" si="1111">+V439*$X$1</f>
        <v>3630.9</v>
      </c>
      <c r="X439" s="626"/>
      <c r="Y439" s="626"/>
      <c r="Z439" s="626"/>
      <c r="AA439" s="627"/>
      <c r="AB439" s="201" t="s">
        <v>859</v>
      </c>
    </row>
    <row r="440" spans="1:28" ht="12.6" customHeight="1" x14ac:dyDescent="0.2">
      <c r="A440" s="18"/>
      <c r="B440" s="714" t="s">
        <v>276</v>
      </c>
      <c r="C440" s="715"/>
      <c r="D440" s="715"/>
      <c r="E440" s="715"/>
      <c r="F440" s="326">
        <v>3637</v>
      </c>
      <c r="G440" s="303">
        <f t="shared" ref="G440:G446" si="1112">+F440*$X$1</f>
        <v>3637</v>
      </c>
      <c r="H440" s="295"/>
      <c r="I440" s="368"/>
      <c r="J440" s="590">
        <f>F440+66</f>
        <v>3703</v>
      </c>
      <c r="K440" s="303"/>
      <c r="L440" s="590">
        <f t="shared" ref="L440:L445" si="1113">F440+300</f>
        <v>3937</v>
      </c>
      <c r="M440" s="303">
        <f t="shared" ref="M440:M451" si="1114">+L440*$X$1</f>
        <v>3937</v>
      </c>
      <c r="N440" s="590">
        <f>F440+270</f>
        <v>3907</v>
      </c>
      <c r="O440" s="303">
        <f t="shared" ref="O440" si="1115">+N440*$X$1</f>
        <v>3907</v>
      </c>
      <c r="P440" s="590">
        <f t="shared" ref="P440:P445" si="1116">F440+250</f>
        <v>3887</v>
      </c>
      <c r="Q440" s="303">
        <f t="shared" ref="Q440:Q445" si="1117">+P440*$X$1</f>
        <v>3887</v>
      </c>
      <c r="R440" s="590">
        <f>F440+230</f>
        <v>3867</v>
      </c>
      <c r="S440" s="303">
        <f t="shared" ref="S440" si="1118">+R440*$X$1</f>
        <v>3867</v>
      </c>
      <c r="T440" s="590">
        <f t="shared" ref="T440:T445" si="1119">F440+200</f>
        <v>3837</v>
      </c>
      <c r="U440" s="303">
        <f t="shared" ref="U440:U445" si="1120">+T440*$X$1</f>
        <v>3837</v>
      </c>
      <c r="V440" s="590">
        <f t="shared" ref="V440:V445" si="1121">F440+185</f>
        <v>3822</v>
      </c>
      <c r="W440" s="303">
        <f t="shared" ref="W440:W445" si="1122">+V440*$X$1</f>
        <v>3822</v>
      </c>
      <c r="X440" s="154"/>
      <c r="Y440" s="136"/>
      <c r="Z440" s="136"/>
      <c r="AA440" s="136"/>
      <c r="AB440" s="201" t="s">
        <v>277</v>
      </c>
    </row>
    <row r="441" spans="1:28" ht="12.6" customHeight="1" x14ac:dyDescent="0.2">
      <c r="A441" s="18"/>
      <c r="B441" s="674" t="s">
        <v>278</v>
      </c>
      <c r="C441" s="675"/>
      <c r="D441" s="675"/>
      <c r="E441" s="675"/>
      <c r="F441" s="304">
        <v>5071</v>
      </c>
      <c r="G441" s="304">
        <f t="shared" si="1112"/>
        <v>5071</v>
      </c>
      <c r="H441" s="294"/>
      <c r="I441" s="369"/>
      <c r="J441" s="529">
        <f>F441+66</f>
        <v>5137</v>
      </c>
      <c r="K441" s="304"/>
      <c r="L441" s="529">
        <f t="shared" si="1113"/>
        <v>5371</v>
      </c>
      <c r="M441" s="304">
        <f t="shared" si="1114"/>
        <v>5371</v>
      </c>
      <c r="N441" s="529">
        <f t="shared" ref="N441:N444" si="1123">F441+270</f>
        <v>5341</v>
      </c>
      <c r="O441" s="304">
        <f t="shared" ref="O441:O444" si="1124">+N441*$X$1</f>
        <v>5341</v>
      </c>
      <c r="P441" s="529">
        <f t="shared" si="1116"/>
        <v>5321</v>
      </c>
      <c r="Q441" s="304">
        <f t="shared" si="1117"/>
        <v>5321</v>
      </c>
      <c r="R441" s="529">
        <f t="shared" ref="R441:R445" si="1125">F441+230</f>
        <v>5301</v>
      </c>
      <c r="S441" s="304">
        <f t="shared" ref="S441:S445" si="1126">+R441*$X$1</f>
        <v>5301</v>
      </c>
      <c r="T441" s="529">
        <f t="shared" si="1119"/>
        <v>5271</v>
      </c>
      <c r="U441" s="304">
        <f t="shared" si="1120"/>
        <v>5271</v>
      </c>
      <c r="V441" s="529">
        <f t="shared" si="1121"/>
        <v>5256</v>
      </c>
      <c r="W441" s="304">
        <f t="shared" si="1122"/>
        <v>5256</v>
      </c>
      <c r="X441" s="154"/>
      <c r="Y441" s="136"/>
      <c r="Z441" s="136"/>
      <c r="AA441" s="136"/>
      <c r="AB441" s="458"/>
    </row>
    <row r="442" spans="1:28" ht="12.6" customHeight="1" x14ac:dyDescent="0.2">
      <c r="A442" s="18"/>
      <c r="B442" s="628" t="s">
        <v>279</v>
      </c>
      <c r="C442" s="629"/>
      <c r="D442" s="629"/>
      <c r="E442" s="629"/>
      <c r="F442" s="303">
        <v>3956</v>
      </c>
      <c r="G442" s="303">
        <f t="shared" si="1112"/>
        <v>3956</v>
      </c>
      <c r="H442" s="295"/>
      <c r="I442" s="368"/>
      <c r="J442" s="590">
        <f>F442+80</f>
        <v>4036</v>
      </c>
      <c r="K442" s="303"/>
      <c r="L442" s="590">
        <f t="shared" si="1113"/>
        <v>4256</v>
      </c>
      <c r="M442" s="303">
        <f t="shared" si="1114"/>
        <v>4256</v>
      </c>
      <c r="N442" s="590">
        <f t="shared" si="1123"/>
        <v>4226</v>
      </c>
      <c r="O442" s="303">
        <f t="shared" si="1124"/>
        <v>4226</v>
      </c>
      <c r="P442" s="590">
        <f t="shared" si="1116"/>
        <v>4206</v>
      </c>
      <c r="Q442" s="303">
        <f t="shared" si="1117"/>
        <v>4206</v>
      </c>
      <c r="R442" s="590">
        <f t="shared" si="1125"/>
        <v>4186</v>
      </c>
      <c r="S442" s="303">
        <f t="shared" si="1126"/>
        <v>4186</v>
      </c>
      <c r="T442" s="590">
        <f t="shared" si="1119"/>
        <v>4156</v>
      </c>
      <c r="U442" s="303">
        <f t="shared" si="1120"/>
        <v>4156</v>
      </c>
      <c r="V442" s="590">
        <f t="shared" si="1121"/>
        <v>4141</v>
      </c>
      <c r="W442" s="303">
        <f t="shared" si="1122"/>
        <v>4141</v>
      </c>
      <c r="X442" s="154"/>
      <c r="Y442" s="136"/>
      <c r="Z442" s="136"/>
      <c r="AA442" s="136"/>
      <c r="AB442" s="201" t="s">
        <v>280</v>
      </c>
    </row>
    <row r="443" spans="1:28" ht="12.6" customHeight="1" x14ac:dyDescent="0.2">
      <c r="A443" s="18"/>
      <c r="B443" s="674" t="s">
        <v>281</v>
      </c>
      <c r="C443" s="675"/>
      <c r="D443" s="675"/>
      <c r="E443" s="675"/>
      <c r="F443" s="304">
        <v>5580</v>
      </c>
      <c r="G443" s="304">
        <f t="shared" si="1112"/>
        <v>5580</v>
      </c>
      <c r="H443" s="294"/>
      <c r="I443" s="369"/>
      <c r="J443" s="529">
        <f>F443+80</f>
        <v>5660</v>
      </c>
      <c r="K443" s="304"/>
      <c r="L443" s="529">
        <f t="shared" si="1113"/>
        <v>5880</v>
      </c>
      <c r="M443" s="304">
        <f t="shared" si="1114"/>
        <v>5880</v>
      </c>
      <c r="N443" s="529">
        <f t="shared" si="1123"/>
        <v>5850</v>
      </c>
      <c r="O443" s="304">
        <f t="shared" si="1124"/>
        <v>5850</v>
      </c>
      <c r="P443" s="529">
        <f t="shared" si="1116"/>
        <v>5830</v>
      </c>
      <c r="Q443" s="304">
        <f t="shared" si="1117"/>
        <v>5830</v>
      </c>
      <c r="R443" s="529">
        <f t="shared" si="1125"/>
        <v>5810</v>
      </c>
      <c r="S443" s="304">
        <f t="shared" si="1126"/>
        <v>5810</v>
      </c>
      <c r="T443" s="529">
        <f t="shared" si="1119"/>
        <v>5780</v>
      </c>
      <c r="U443" s="304">
        <f t="shared" si="1120"/>
        <v>5780</v>
      </c>
      <c r="V443" s="529">
        <f t="shared" si="1121"/>
        <v>5765</v>
      </c>
      <c r="W443" s="304">
        <f t="shared" si="1122"/>
        <v>5765</v>
      </c>
      <c r="X443" s="154"/>
      <c r="Y443" s="136"/>
      <c r="Z443" s="136"/>
      <c r="AA443" s="136"/>
      <c r="AB443" s="458"/>
    </row>
    <row r="444" spans="1:28" ht="12.6" customHeight="1" x14ac:dyDescent="0.2">
      <c r="A444" s="18"/>
      <c r="B444" s="628" t="s">
        <v>671</v>
      </c>
      <c r="C444" s="629"/>
      <c r="D444" s="629"/>
      <c r="E444" s="629"/>
      <c r="F444" s="303">
        <v>5170</v>
      </c>
      <c r="G444" s="303">
        <f t="shared" si="1112"/>
        <v>5170</v>
      </c>
      <c r="H444" s="295"/>
      <c r="I444" s="368"/>
      <c r="J444" s="590">
        <f>F444+66</f>
        <v>5236</v>
      </c>
      <c r="K444" s="303"/>
      <c r="L444" s="590">
        <f t="shared" si="1113"/>
        <v>5470</v>
      </c>
      <c r="M444" s="303">
        <f t="shared" si="1114"/>
        <v>5470</v>
      </c>
      <c r="N444" s="590">
        <f t="shared" si="1123"/>
        <v>5440</v>
      </c>
      <c r="O444" s="303">
        <f t="shared" si="1124"/>
        <v>5440</v>
      </c>
      <c r="P444" s="590">
        <f t="shared" si="1116"/>
        <v>5420</v>
      </c>
      <c r="Q444" s="303">
        <f t="shared" si="1117"/>
        <v>5420</v>
      </c>
      <c r="R444" s="590">
        <f t="shared" si="1125"/>
        <v>5400</v>
      </c>
      <c r="S444" s="303">
        <f t="shared" si="1126"/>
        <v>5400</v>
      </c>
      <c r="T444" s="590">
        <f t="shared" si="1119"/>
        <v>5370</v>
      </c>
      <c r="U444" s="303">
        <f t="shared" si="1120"/>
        <v>5370</v>
      </c>
      <c r="V444" s="590">
        <f t="shared" si="1121"/>
        <v>5355</v>
      </c>
      <c r="W444" s="303">
        <f t="shared" si="1122"/>
        <v>5355</v>
      </c>
      <c r="X444" s="154"/>
      <c r="Y444" s="136"/>
      <c r="Z444" s="136"/>
      <c r="AA444" s="136"/>
      <c r="AB444" s="201" t="s">
        <v>282</v>
      </c>
    </row>
    <row r="445" spans="1:28" ht="12.6" customHeight="1" x14ac:dyDescent="0.2">
      <c r="A445" s="18"/>
      <c r="B445" s="674" t="s">
        <v>672</v>
      </c>
      <c r="C445" s="675"/>
      <c r="D445" s="675"/>
      <c r="E445" s="675"/>
      <c r="F445" s="304">
        <v>5696</v>
      </c>
      <c r="G445" s="304">
        <f t="shared" si="1112"/>
        <v>5696</v>
      </c>
      <c r="H445" s="294"/>
      <c r="I445" s="369"/>
      <c r="J445" s="529">
        <f>F445+80</f>
        <v>5776</v>
      </c>
      <c r="K445" s="304"/>
      <c r="L445" s="529">
        <f t="shared" si="1113"/>
        <v>5996</v>
      </c>
      <c r="M445" s="304">
        <f t="shared" si="1114"/>
        <v>5996</v>
      </c>
      <c r="N445" s="529">
        <f>F445+270</f>
        <v>5966</v>
      </c>
      <c r="O445" s="304">
        <f t="shared" ref="O445" si="1127">+N445*$X$1</f>
        <v>5966</v>
      </c>
      <c r="P445" s="529">
        <f t="shared" si="1116"/>
        <v>5946</v>
      </c>
      <c r="Q445" s="304">
        <f t="shared" si="1117"/>
        <v>5946</v>
      </c>
      <c r="R445" s="529">
        <f t="shared" si="1125"/>
        <v>5926</v>
      </c>
      <c r="S445" s="304">
        <f t="shared" si="1126"/>
        <v>5926</v>
      </c>
      <c r="T445" s="529">
        <f t="shared" si="1119"/>
        <v>5896</v>
      </c>
      <c r="U445" s="304">
        <f t="shared" si="1120"/>
        <v>5896</v>
      </c>
      <c r="V445" s="529">
        <f t="shared" si="1121"/>
        <v>5881</v>
      </c>
      <c r="W445" s="304">
        <f t="shared" si="1122"/>
        <v>5881</v>
      </c>
      <c r="X445" s="154"/>
      <c r="Y445" s="136"/>
      <c r="Z445" s="136"/>
      <c r="AA445" s="136"/>
      <c r="AB445" s="201" t="s">
        <v>283</v>
      </c>
    </row>
    <row r="446" spans="1:28" ht="12.6" customHeight="1" x14ac:dyDescent="0.25">
      <c r="A446" s="18"/>
      <c r="B446" s="628" t="s">
        <v>345</v>
      </c>
      <c r="C446" s="629"/>
      <c r="D446" s="629"/>
      <c r="E446" s="629"/>
      <c r="F446" s="352">
        <v>6910</v>
      </c>
      <c r="G446" s="303">
        <f t="shared" si="1112"/>
        <v>6910</v>
      </c>
      <c r="H446" s="577">
        <f t="shared" ref="H446:H451" si="1128">F446+400</f>
        <v>7310</v>
      </c>
      <c r="I446" s="303">
        <f t="shared" ref="I446:I453" si="1129">+H446*$X$1</f>
        <v>7310</v>
      </c>
      <c r="J446" s="590">
        <f t="shared" ref="J446:J451" si="1130">F446+320</f>
        <v>7230</v>
      </c>
      <c r="K446" s="303">
        <f t="shared" ref="K446:K453" si="1131">+J446*$X$1</f>
        <v>7230</v>
      </c>
      <c r="L446" s="590">
        <f t="shared" ref="L446:L451" si="1132">F446+280</f>
        <v>7190</v>
      </c>
      <c r="M446" s="303">
        <f t="shared" si="1114"/>
        <v>7190</v>
      </c>
      <c r="N446" s="590">
        <f t="shared" ref="N446:N451" si="1133">F446+250</f>
        <v>7160</v>
      </c>
      <c r="O446" s="303">
        <f t="shared" ref="O446:O453" si="1134">+N446*$X$1</f>
        <v>7160</v>
      </c>
      <c r="P446" s="590">
        <f t="shared" ref="P446:P451" si="1135">F446+230</f>
        <v>7140</v>
      </c>
      <c r="Q446" s="303">
        <f t="shared" ref="Q446:Q453" si="1136">+P446*$X$1</f>
        <v>7140</v>
      </c>
      <c r="R446" s="590">
        <f t="shared" ref="R446:R451" si="1137">F446+210</f>
        <v>7120</v>
      </c>
      <c r="S446" s="303">
        <f t="shared" ref="S446:S453" si="1138">+R446*$X$1</f>
        <v>7120</v>
      </c>
      <c r="T446" s="590">
        <f t="shared" ref="T446:T451" si="1139">F446+190</f>
        <v>7100</v>
      </c>
      <c r="U446" s="303">
        <f t="shared" ref="U446:U453" si="1140">+T446*$X$1</f>
        <v>7100</v>
      </c>
      <c r="V446" s="590">
        <f t="shared" ref="V446:V451" si="1141">F446+175</f>
        <v>7085</v>
      </c>
      <c r="W446" s="303">
        <f t="shared" ref="W446:W453" si="1142">+V446*$X$1</f>
        <v>7085</v>
      </c>
      <c r="X446" s="754"/>
      <c r="Y446" s="1129"/>
      <c r="Z446" s="1129"/>
      <c r="AA446" s="1129"/>
      <c r="AB446" s="201" t="s">
        <v>284</v>
      </c>
    </row>
    <row r="447" spans="1:28" ht="12.6" customHeight="1" x14ac:dyDescent="0.25">
      <c r="A447" s="18"/>
      <c r="B447" s="1124" t="s">
        <v>532</v>
      </c>
      <c r="C447" s="683"/>
      <c r="D447" s="683"/>
      <c r="E447" s="684"/>
      <c r="F447" s="351">
        <v>3220</v>
      </c>
      <c r="G447" s="304">
        <f t="shared" ref="G447" si="1143">+F447*$X$1</f>
        <v>3220</v>
      </c>
      <c r="H447" s="529">
        <f t="shared" si="1128"/>
        <v>3620</v>
      </c>
      <c r="I447" s="304">
        <f t="shared" si="1129"/>
        <v>3620</v>
      </c>
      <c r="J447" s="529">
        <f t="shared" si="1130"/>
        <v>3540</v>
      </c>
      <c r="K447" s="304">
        <f t="shared" si="1131"/>
        <v>3540</v>
      </c>
      <c r="L447" s="529">
        <f t="shared" si="1132"/>
        <v>3500</v>
      </c>
      <c r="M447" s="304">
        <f t="shared" si="1114"/>
        <v>3500</v>
      </c>
      <c r="N447" s="529">
        <f t="shared" si="1133"/>
        <v>3470</v>
      </c>
      <c r="O447" s="304">
        <f t="shared" si="1134"/>
        <v>3470</v>
      </c>
      <c r="P447" s="529">
        <f t="shared" si="1135"/>
        <v>3450</v>
      </c>
      <c r="Q447" s="304">
        <f t="shared" si="1136"/>
        <v>3450</v>
      </c>
      <c r="R447" s="529">
        <f t="shared" si="1137"/>
        <v>3430</v>
      </c>
      <c r="S447" s="304">
        <f t="shared" si="1138"/>
        <v>3430</v>
      </c>
      <c r="T447" s="529">
        <f t="shared" si="1139"/>
        <v>3410</v>
      </c>
      <c r="U447" s="304">
        <f t="shared" si="1140"/>
        <v>3410</v>
      </c>
      <c r="V447" s="529">
        <f t="shared" si="1141"/>
        <v>3395</v>
      </c>
      <c r="W447" s="304">
        <f t="shared" si="1142"/>
        <v>3395</v>
      </c>
      <c r="X447" s="754"/>
      <c r="Y447" s="1129"/>
      <c r="Z447" s="1129"/>
      <c r="AA447" s="1129"/>
      <c r="AB447" s="201" t="s">
        <v>464</v>
      </c>
    </row>
    <row r="448" spans="1:28" ht="12.6" customHeight="1" x14ac:dyDescent="0.2">
      <c r="A448" s="18"/>
      <c r="B448" s="628" t="s">
        <v>399</v>
      </c>
      <c r="C448" s="629"/>
      <c r="D448" s="629"/>
      <c r="E448" s="629"/>
      <c r="F448" s="352">
        <v>4062</v>
      </c>
      <c r="G448" s="303">
        <f>+F448*$X$1</f>
        <v>4062</v>
      </c>
      <c r="H448" s="577">
        <f t="shared" si="1128"/>
        <v>4462</v>
      </c>
      <c r="I448" s="303">
        <f t="shared" si="1129"/>
        <v>4462</v>
      </c>
      <c r="J448" s="590">
        <f t="shared" si="1130"/>
        <v>4382</v>
      </c>
      <c r="K448" s="303">
        <f t="shared" si="1131"/>
        <v>4382</v>
      </c>
      <c r="L448" s="590">
        <f t="shared" si="1132"/>
        <v>4342</v>
      </c>
      <c r="M448" s="303">
        <f t="shared" si="1114"/>
        <v>4342</v>
      </c>
      <c r="N448" s="590">
        <f t="shared" si="1133"/>
        <v>4312</v>
      </c>
      <c r="O448" s="303">
        <f t="shared" si="1134"/>
        <v>4312</v>
      </c>
      <c r="P448" s="590">
        <f t="shared" si="1135"/>
        <v>4292</v>
      </c>
      <c r="Q448" s="303">
        <f t="shared" si="1136"/>
        <v>4292</v>
      </c>
      <c r="R448" s="590">
        <f t="shared" si="1137"/>
        <v>4272</v>
      </c>
      <c r="S448" s="303">
        <f t="shared" si="1138"/>
        <v>4272</v>
      </c>
      <c r="T448" s="590">
        <f t="shared" si="1139"/>
        <v>4252</v>
      </c>
      <c r="U448" s="303">
        <f t="shared" si="1140"/>
        <v>4252</v>
      </c>
      <c r="V448" s="590">
        <f t="shared" si="1141"/>
        <v>4237</v>
      </c>
      <c r="W448" s="303">
        <f t="shared" si="1142"/>
        <v>4237</v>
      </c>
      <c r="X448" s="1125"/>
      <c r="Y448" s="1126"/>
      <c r="Z448" s="1126"/>
      <c r="AA448" s="1127"/>
      <c r="AB448" s="201" t="s">
        <v>285</v>
      </c>
    </row>
    <row r="449" spans="1:29" ht="12.6" customHeight="1" x14ac:dyDescent="0.25">
      <c r="A449" s="18"/>
      <c r="B449" s="708" t="s">
        <v>884</v>
      </c>
      <c r="C449" s="1152"/>
      <c r="D449" s="1152"/>
      <c r="E449" s="1152"/>
      <c r="F449" s="351">
        <v>4062</v>
      </c>
      <c r="G449" s="304">
        <f t="shared" ref="G449:G451" si="1144">+F449*$X$1</f>
        <v>4062</v>
      </c>
      <c r="H449" s="529">
        <f t="shared" si="1128"/>
        <v>4462</v>
      </c>
      <c r="I449" s="304">
        <f t="shared" si="1129"/>
        <v>4462</v>
      </c>
      <c r="J449" s="529">
        <f t="shared" si="1130"/>
        <v>4382</v>
      </c>
      <c r="K449" s="304">
        <f t="shared" si="1131"/>
        <v>4382</v>
      </c>
      <c r="L449" s="529">
        <f t="shared" si="1132"/>
        <v>4342</v>
      </c>
      <c r="M449" s="304">
        <f t="shared" si="1114"/>
        <v>4342</v>
      </c>
      <c r="N449" s="529">
        <f t="shared" si="1133"/>
        <v>4312</v>
      </c>
      <c r="O449" s="304">
        <f t="shared" si="1134"/>
        <v>4312</v>
      </c>
      <c r="P449" s="529">
        <f t="shared" si="1135"/>
        <v>4292</v>
      </c>
      <c r="Q449" s="304">
        <f t="shared" si="1136"/>
        <v>4292</v>
      </c>
      <c r="R449" s="529">
        <f t="shared" si="1137"/>
        <v>4272</v>
      </c>
      <c r="S449" s="304">
        <f t="shared" si="1138"/>
        <v>4272</v>
      </c>
      <c r="T449" s="529">
        <f t="shared" si="1139"/>
        <v>4252</v>
      </c>
      <c r="U449" s="304">
        <f t="shared" si="1140"/>
        <v>4252</v>
      </c>
      <c r="V449" s="529">
        <f t="shared" si="1141"/>
        <v>4237</v>
      </c>
      <c r="W449" s="304">
        <f t="shared" si="1142"/>
        <v>4237</v>
      </c>
      <c r="X449" s="754"/>
      <c r="Y449" s="1129"/>
      <c r="Z449" s="1129"/>
      <c r="AA449" s="1129"/>
      <c r="AB449" s="201" t="s">
        <v>286</v>
      </c>
    </row>
    <row r="450" spans="1:29" ht="12.6" customHeight="1" x14ac:dyDescent="0.25">
      <c r="A450" s="18"/>
      <c r="B450" s="1128" t="s">
        <v>567</v>
      </c>
      <c r="C450" s="623"/>
      <c r="D450" s="623"/>
      <c r="E450" s="624"/>
      <c r="F450" s="516">
        <v>3220</v>
      </c>
      <c r="G450" s="303">
        <f>+F450*$X$1</f>
        <v>3220</v>
      </c>
      <c r="H450" s="577">
        <f t="shared" si="1128"/>
        <v>3620</v>
      </c>
      <c r="I450" s="303">
        <f t="shared" si="1129"/>
        <v>3620</v>
      </c>
      <c r="J450" s="590">
        <f t="shared" si="1130"/>
        <v>3540</v>
      </c>
      <c r="K450" s="303">
        <f t="shared" si="1131"/>
        <v>3540</v>
      </c>
      <c r="L450" s="590">
        <f t="shared" si="1132"/>
        <v>3500</v>
      </c>
      <c r="M450" s="303">
        <f t="shared" si="1114"/>
        <v>3500</v>
      </c>
      <c r="N450" s="590">
        <f t="shared" si="1133"/>
        <v>3470</v>
      </c>
      <c r="O450" s="303">
        <f t="shared" si="1134"/>
        <v>3470</v>
      </c>
      <c r="P450" s="590">
        <f t="shared" si="1135"/>
        <v>3450</v>
      </c>
      <c r="Q450" s="303">
        <f t="shared" si="1136"/>
        <v>3450</v>
      </c>
      <c r="R450" s="590">
        <f t="shared" si="1137"/>
        <v>3430</v>
      </c>
      <c r="S450" s="303">
        <f t="shared" si="1138"/>
        <v>3430</v>
      </c>
      <c r="T450" s="590">
        <f t="shared" si="1139"/>
        <v>3410</v>
      </c>
      <c r="U450" s="303">
        <f t="shared" si="1140"/>
        <v>3410</v>
      </c>
      <c r="V450" s="590">
        <f t="shared" si="1141"/>
        <v>3395</v>
      </c>
      <c r="W450" s="303">
        <f t="shared" si="1142"/>
        <v>3395</v>
      </c>
      <c r="X450" s="754"/>
      <c r="Y450" s="1129"/>
      <c r="Z450" s="1129"/>
      <c r="AA450" s="1129"/>
      <c r="AB450" s="29"/>
    </row>
    <row r="451" spans="1:29" ht="12.6" customHeight="1" x14ac:dyDescent="0.25">
      <c r="A451" s="18"/>
      <c r="B451" s="674" t="s">
        <v>344</v>
      </c>
      <c r="C451" s="675"/>
      <c r="D451" s="675"/>
      <c r="E451" s="675"/>
      <c r="F451" s="351">
        <v>6423</v>
      </c>
      <c r="G451" s="304">
        <f t="shared" si="1144"/>
        <v>6423</v>
      </c>
      <c r="H451" s="529">
        <f t="shared" si="1128"/>
        <v>6823</v>
      </c>
      <c r="I451" s="304">
        <f t="shared" si="1129"/>
        <v>6823</v>
      </c>
      <c r="J451" s="529">
        <f t="shared" si="1130"/>
        <v>6743</v>
      </c>
      <c r="K451" s="304">
        <f t="shared" si="1131"/>
        <v>6743</v>
      </c>
      <c r="L451" s="529">
        <f t="shared" si="1132"/>
        <v>6703</v>
      </c>
      <c r="M451" s="304">
        <f t="shared" si="1114"/>
        <v>6703</v>
      </c>
      <c r="N451" s="529">
        <f t="shared" si="1133"/>
        <v>6673</v>
      </c>
      <c r="O451" s="304">
        <f t="shared" si="1134"/>
        <v>6673</v>
      </c>
      <c r="P451" s="529">
        <f t="shared" si="1135"/>
        <v>6653</v>
      </c>
      <c r="Q451" s="304">
        <f t="shared" si="1136"/>
        <v>6653</v>
      </c>
      <c r="R451" s="529">
        <f t="shared" si="1137"/>
        <v>6633</v>
      </c>
      <c r="S451" s="304">
        <f t="shared" si="1138"/>
        <v>6633</v>
      </c>
      <c r="T451" s="529">
        <f t="shared" si="1139"/>
        <v>6613</v>
      </c>
      <c r="U451" s="304">
        <f t="shared" si="1140"/>
        <v>6613</v>
      </c>
      <c r="V451" s="529">
        <f t="shared" si="1141"/>
        <v>6598</v>
      </c>
      <c r="W451" s="304">
        <f t="shared" si="1142"/>
        <v>6598</v>
      </c>
      <c r="X451" s="754"/>
      <c r="Y451" s="1129"/>
      <c r="Z451" s="1129"/>
      <c r="AA451" s="1129"/>
      <c r="AB451" s="201" t="s">
        <v>287</v>
      </c>
    </row>
    <row r="452" spans="1:29" ht="12.6" customHeight="1" x14ac:dyDescent="0.2">
      <c r="A452" s="18"/>
      <c r="B452" s="628" t="s">
        <v>804</v>
      </c>
      <c r="C452" s="1131"/>
      <c r="D452" s="1131"/>
      <c r="E452" s="1131"/>
      <c r="F452" s="303">
        <v>11450</v>
      </c>
      <c r="G452" s="303">
        <f>+F452*$X$1</f>
        <v>11450</v>
      </c>
      <c r="H452" s="429">
        <f>F452+500</f>
        <v>11950</v>
      </c>
      <c r="I452" s="303">
        <f t="shared" si="1129"/>
        <v>11950</v>
      </c>
      <c r="J452" s="590">
        <f>F452+350</f>
        <v>11800</v>
      </c>
      <c r="K452" s="303">
        <f t="shared" si="1131"/>
        <v>11800</v>
      </c>
      <c r="L452" s="590">
        <f>F452+300</f>
        <v>11750</v>
      </c>
      <c r="M452" s="303">
        <f t="shared" ref="M452" si="1145">+L452*$X$1</f>
        <v>11750</v>
      </c>
      <c r="N452" s="590">
        <f>F452+270</f>
        <v>11720</v>
      </c>
      <c r="O452" s="303">
        <f t="shared" ref="O452" si="1146">+N452*$X$1</f>
        <v>11720</v>
      </c>
      <c r="P452" s="590">
        <f>F452+250</f>
        <v>11700</v>
      </c>
      <c r="Q452" s="303">
        <f t="shared" ref="Q452" si="1147">+P452*$X$1</f>
        <v>11700</v>
      </c>
      <c r="R452" s="590">
        <f t="shared" ref="R452" si="1148">F452+230</f>
        <v>11680</v>
      </c>
      <c r="S452" s="303">
        <f t="shared" ref="S452" si="1149">+R452*$X$1</f>
        <v>11680</v>
      </c>
      <c r="T452" s="590">
        <f>F452+200</f>
        <v>11650</v>
      </c>
      <c r="U452" s="303">
        <f t="shared" ref="U452" si="1150">+T452*$X$1</f>
        <v>11650</v>
      </c>
      <c r="V452" s="590">
        <f>F452+185</f>
        <v>11635</v>
      </c>
      <c r="W452" s="303">
        <f t="shared" si="1142"/>
        <v>11635</v>
      </c>
      <c r="X452" s="155"/>
      <c r="Y452" s="140"/>
      <c r="Z452" s="140"/>
      <c r="AA452" s="143"/>
      <c r="AB452" s="201" t="s">
        <v>288</v>
      </c>
    </row>
    <row r="453" spans="1:29" ht="12.6" customHeight="1" x14ac:dyDescent="0.2">
      <c r="A453" s="18"/>
      <c r="B453" s="674" t="s">
        <v>805</v>
      </c>
      <c r="C453" s="1130"/>
      <c r="D453" s="1130"/>
      <c r="E453" s="1130"/>
      <c r="F453" s="304">
        <v>11500</v>
      </c>
      <c r="G453" s="304">
        <f t="shared" ref="G453" si="1151">+F453*$X$1</f>
        <v>11500</v>
      </c>
      <c r="H453" s="102">
        <f>F453+500</f>
        <v>12000</v>
      </c>
      <c r="I453" s="304">
        <f t="shared" si="1129"/>
        <v>12000</v>
      </c>
      <c r="J453" s="529">
        <f>F453+350</f>
        <v>11850</v>
      </c>
      <c r="K453" s="304">
        <f t="shared" si="1131"/>
        <v>11850</v>
      </c>
      <c r="L453" s="529">
        <f>F453+300</f>
        <v>11800</v>
      </c>
      <c r="M453" s="304">
        <f t="shared" ref="M453" si="1152">+L453*$X$1</f>
        <v>11800</v>
      </c>
      <c r="N453" s="529">
        <f>F453+270</f>
        <v>11770</v>
      </c>
      <c r="O453" s="304">
        <f t="shared" si="1134"/>
        <v>11770</v>
      </c>
      <c r="P453" s="529">
        <f>F453+250</f>
        <v>11750</v>
      </c>
      <c r="Q453" s="304">
        <f t="shared" si="1136"/>
        <v>11750</v>
      </c>
      <c r="R453" s="529">
        <f t="shared" ref="R453" si="1153">F453+230</f>
        <v>11730</v>
      </c>
      <c r="S453" s="304">
        <f t="shared" si="1138"/>
        <v>11730</v>
      </c>
      <c r="T453" s="529">
        <f>F453+200</f>
        <v>11700</v>
      </c>
      <c r="U453" s="304">
        <f t="shared" si="1140"/>
        <v>11700</v>
      </c>
      <c r="V453" s="529">
        <f>F453+185</f>
        <v>11685</v>
      </c>
      <c r="W453" s="304">
        <f t="shared" si="1142"/>
        <v>11685</v>
      </c>
      <c r="X453" s="155"/>
      <c r="Y453" s="140"/>
      <c r="Z453" s="140"/>
      <c r="AA453" s="143"/>
      <c r="AB453" s="201" t="s">
        <v>289</v>
      </c>
    </row>
    <row r="454" spans="1:29" ht="12.6" customHeight="1" x14ac:dyDescent="0.2">
      <c r="A454" s="18"/>
      <c r="B454" s="714" t="s">
        <v>381</v>
      </c>
      <c r="C454" s="715"/>
      <c r="D454" s="715"/>
      <c r="E454" s="715"/>
      <c r="F454" s="326"/>
      <c r="G454" s="326"/>
      <c r="H454" s="588"/>
      <c r="I454" s="589"/>
      <c r="J454" s="590"/>
      <c r="K454" s="303"/>
      <c r="L454" s="590"/>
      <c r="M454" s="303"/>
      <c r="N454" s="590"/>
      <c r="O454" s="303"/>
      <c r="P454" s="590"/>
      <c r="Q454" s="303"/>
      <c r="R454" s="590"/>
      <c r="S454" s="303"/>
      <c r="T454" s="590"/>
      <c r="U454" s="303"/>
      <c r="V454" s="105"/>
      <c r="W454" s="326"/>
      <c r="X454" s="155"/>
      <c r="Y454" s="140"/>
      <c r="Z454" s="140"/>
      <c r="AA454" s="143"/>
      <c r="AB454" s="201" t="s">
        <v>290</v>
      </c>
    </row>
    <row r="455" spans="1:29" ht="12.6" customHeight="1" x14ac:dyDescent="0.2">
      <c r="A455" s="18"/>
      <c r="B455" s="674" t="s">
        <v>291</v>
      </c>
      <c r="C455" s="675"/>
      <c r="D455" s="675"/>
      <c r="E455" s="675"/>
      <c r="F455" s="304">
        <v>7920</v>
      </c>
      <c r="G455" s="304">
        <f>+F455*$X$1</f>
        <v>7920</v>
      </c>
      <c r="H455" s="102">
        <f>F455+500</f>
        <v>8420</v>
      </c>
      <c r="I455" s="304">
        <f t="shared" ref="I455:I456" si="1154">+H455*$X$1</f>
        <v>8420</v>
      </c>
      <c r="J455" s="529">
        <f>F455+350</f>
        <v>8270</v>
      </c>
      <c r="K455" s="304">
        <f>+J455*$X$1</f>
        <v>8270</v>
      </c>
      <c r="L455" s="529">
        <f>F455+300</f>
        <v>8220</v>
      </c>
      <c r="M455" s="304">
        <f t="shared" ref="M455:M456" si="1155">+L455*$X$1</f>
        <v>8220</v>
      </c>
      <c r="N455" s="529">
        <f>F455+270</f>
        <v>8190</v>
      </c>
      <c r="O455" s="304">
        <f t="shared" ref="O455:O456" si="1156">+N455*$X$1</f>
        <v>8190</v>
      </c>
      <c r="P455" s="529">
        <f>F455+250</f>
        <v>8170</v>
      </c>
      <c r="Q455" s="304">
        <f t="shared" ref="Q455:Q456" si="1157">+P455*$X$1</f>
        <v>8170</v>
      </c>
      <c r="R455" s="529">
        <f t="shared" ref="R455:R456" si="1158">F455+230</f>
        <v>8150</v>
      </c>
      <c r="S455" s="304">
        <f t="shared" ref="S455:S456" si="1159">+R455*$X$1</f>
        <v>8150</v>
      </c>
      <c r="T455" s="529">
        <f>F455+200</f>
        <v>8120</v>
      </c>
      <c r="U455" s="304">
        <f t="shared" ref="U455:U456" si="1160">+T455*$X$1</f>
        <v>8120</v>
      </c>
      <c r="V455" s="529">
        <f>F455+185</f>
        <v>8105</v>
      </c>
      <c r="W455" s="304">
        <f t="shared" ref="W455:W456" si="1161">+V455*$X$1</f>
        <v>8105</v>
      </c>
      <c r="X455" s="155"/>
      <c r="Y455" s="140"/>
      <c r="Z455" s="140"/>
      <c r="AA455" s="143"/>
      <c r="AB455" s="201" t="s">
        <v>292</v>
      </c>
    </row>
    <row r="456" spans="1:29" ht="12.6" customHeight="1" x14ac:dyDescent="0.2">
      <c r="A456" s="18"/>
      <c r="B456" s="628" t="s">
        <v>293</v>
      </c>
      <c r="C456" s="629"/>
      <c r="D456" s="629"/>
      <c r="E456" s="629"/>
      <c r="F456" s="303">
        <v>8798</v>
      </c>
      <c r="G456" s="303">
        <f>+F456*$X$1</f>
        <v>8798</v>
      </c>
      <c r="H456" s="429">
        <f>F456+500</f>
        <v>9298</v>
      </c>
      <c r="I456" s="303">
        <f t="shared" si="1154"/>
        <v>9298</v>
      </c>
      <c r="J456" s="590">
        <f>F456+350</f>
        <v>9148</v>
      </c>
      <c r="K456" s="303">
        <f>+J456*$X$1</f>
        <v>9148</v>
      </c>
      <c r="L456" s="590">
        <f>F456+300</f>
        <v>9098</v>
      </c>
      <c r="M456" s="303">
        <f t="shared" si="1155"/>
        <v>9098</v>
      </c>
      <c r="N456" s="590">
        <f>F456+270</f>
        <v>9068</v>
      </c>
      <c r="O456" s="303">
        <f t="shared" si="1156"/>
        <v>9068</v>
      </c>
      <c r="P456" s="590">
        <f>F456+250</f>
        <v>9048</v>
      </c>
      <c r="Q456" s="303">
        <f t="shared" si="1157"/>
        <v>9048</v>
      </c>
      <c r="R456" s="590">
        <f t="shared" si="1158"/>
        <v>9028</v>
      </c>
      <c r="S456" s="303">
        <f t="shared" si="1159"/>
        <v>9028</v>
      </c>
      <c r="T456" s="590">
        <f>F456+200</f>
        <v>8998</v>
      </c>
      <c r="U456" s="303">
        <f t="shared" si="1160"/>
        <v>8998</v>
      </c>
      <c r="V456" s="590">
        <f>F456+185</f>
        <v>8983</v>
      </c>
      <c r="W456" s="303">
        <f t="shared" si="1161"/>
        <v>8983</v>
      </c>
      <c r="X456" s="155"/>
      <c r="Y456" s="140"/>
      <c r="Z456" s="140"/>
      <c r="AA456" s="143"/>
      <c r="AB456" s="201" t="s">
        <v>294</v>
      </c>
    </row>
    <row r="457" spans="1:29" ht="12.6" customHeight="1" x14ac:dyDescent="0.2">
      <c r="A457" s="18"/>
      <c r="B457" s="674" t="s">
        <v>596</v>
      </c>
      <c r="C457" s="675"/>
      <c r="D457" s="675"/>
      <c r="E457" s="675"/>
      <c r="F457" s="413">
        <v>3300</v>
      </c>
      <c r="G457" s="304">
        <f t="shared" ref="G457" si="1162">+F457*$X$1</f>
        <v>3300</v>
      </c>
      <c r="H457" s="529">
        <f>F457+400</f>
        <v>3700</v>
      </c>
      <c r="I457" s="304">
        <f t="shared" ref="I457:I458" si="1163">+H457*$X$1</f>
        <v>3700</v>
      </c>
      <c r="J457" s="529">
        <f>F457+150</f>
        <v>3450</v>
      </c>
      <c r="K457" s="304">
        <f t="shared" ref="K457" si="1164">+J457*$X$1</f>
        <v>3450</v>
      </c>
      <c r="L457" s="529">
        <f>F457+100</f>
        <v>3400</v>
      </c>
      <c r="M457" s="304">
        <f t="shared" ref="M457" si="1165">+L457*$X$1</f>
        <v>3400</v>
      </c>
      <c r="N457" s="529">
        <f>F457+80</f>
        <v>3380</v>
      </c>
      <c r="O457" s="304">
        <f>+N457*$X$1</f>
        <v>3380</v>
      </c>
      <c r="P457" s="529">
        <f>F457+70</f>
        <v>3370</v>
      </c>
      <c r="Q457" s="304">
        <f t="shared" ref="Q457:Q459" si="1166">+P457*$X$1</f>
        <v>3370</v>
      </c>
      <c r="R457" s="529">
        <f>F457+66</f>
        <v>3366</v>
      </c>
      <c r="S457" s="304">
        <f t="shared" ref="S457:S459" si="1167">+R457*$X$1</f>
        <v>3366</v>
      </c>
      <c r="T457" s="529">
        <f>F457+61</f>
        <v>3361</v>
      </c>
      <c r="U457" s="304">
        <f t="shared" ref="U457:U459" si="1168">+T457*$X$1</f>
        <v>3361</v>
      </c>
      <c r="V457" s="529">
        <f>F457+57</f>
        <v>3357</v>
      </c>
      <c r="W457" s="304">
        <f t="shared" ref="W457:W459" si="1169">+V457*$X$1</f>
        <v>3357</v>
      </c>
      <c r="X457" s="1125"/>
      <c r="Y457" s="1126"/>
      <c r="Z457" s="1126"/>
      <c r="AA457" s="1127"/>
      <c r="AB457" s="201" t="s">
        <v>295</v>
      </c>
    </row>
    <row r="458" spans="1:29" ht="12.6" customHeight="1" x14ac:dyDescent="0.2">
      <c r="A458" s="18"/>
      <c r="B458" s="628" t="s">
        <v>678</v>
      </c>
      <c r="C458" s="629"/>
      <c r="D458" s="629"/>
      <c r="E458" s="629"/>
      <c r="F458" s="412">
        <v>3300</v>
      </c>
      <c r="G458" s="303">
        <f t="shared" ref="G458" si="1170">+F458*$X$1</f>
        <v>3300</v>
      </c>
      <c r="H458" s="577">
        <f>F458+400</f>
        <v>3700</v>
      </c>
      <c r="I458" s="303">
        <f t="shared" si="1163"/>
        <v>3700</v>
      </c>
      <c r="J458" s="577">
        <f>F458+320</f>
        <v>3620</v>
      </c>
      <c r="K458" s="303">
        <f>+J458*$X$1</f>
        <v>3620</v>
      </c>
      <c r="L458" s="577">
        <f>F458+280</f>
        <v>3580</v>
      </c>
      <c r="M458" s="303">
        <f>+L458*$X$1</f>
        <v>3580</v>
      </c>
      <c r="N458" s="577">
        <f>F458+250</f>
        <v>3550</v>
      </c>
      <c r="O458" s="303">
        <f t="shared" ref="O458" si="1171">+N458*$X$1</f>
        <v>3550</v>
      </c>
      <c r="P458" s="577">
        <f>F458+230</f>
        <v>3530</v>
      </c>
      <c r="Q458" s="303">
        <f t="shared" ref="Q458" si="1172">+P458*$X$1</f>
        <v>3530</v>
      </c>
      <c r="R458" s="577">
        <f>F458+210</f>
        <v>3510</v>
      </c>
      <c r="S458" s="303">
        <f t="shared" ref="S458" si="1173">+R458*$X$1</f>
        <v>3510</v>
      </c>
      <c r="T458" s="577">
        <f>F458+190</f>
        <v>3490</v>
      </c>
      <c r="U458" s="303">
        <f t="shared" ref="U458" si="1174">+T458*$X$1</f>
        <v>3490</v>
      </c>
      <c r="V458" s="577">
        <f>F458+175</f>
        <v>3475</v>
      </c>
      <c r="W458" s="303">
        <f t="shared" ref="W458" si="1175">+V458*$X$1</f>
        <v>3475</v>
      </c>
      <c r="X458" s="1125"/>
      <c r="Y458" s="1126"/>
      <c r="Z458" s="1126"/>
      <c r="AA458" s="1127"/>
      <c r="AB458" s="201" t="s">
        <v>679</v>
      </c>
    </row>
    <row r="459" spans="1:29" ht="12.6" customHeight="1" x14ac:dyDescent="0.2">
      <c r="A459" s="18"/>
      <c r="B459" s="674" t="s">
        <v>413</v>
      </c>
      <c r="C459" s="866"/>
      <c r="D459" s="866"/>
      <c r="E459" s="866"/>
      <c r="F459" s="413">
        <f>3.116*X2</f>
        <v>3072.3760000000002</v>
      </c>
      <c r="G459" s="304">
        <f t="shared" ref="G459" si="1176">+F459*$X$1</f>
        <v>3072.3760000000002</v>
      </c>
      <c r="H459" s="529">
        <f>F459+400</f>
        <v>3472.3760000000002</v>
      </c>
      <c r="I459" s="304">
        <f t="shared" ref="I459" si="1177">+H459*$X$1</f>
        <v>3472.3760000000002</v>
      </c>
      <c r="J459" s="529">
        <f>F459+320</f>
        <v>3392.3760000000002</v>
      </c>
      <c r="K459" s="304">
        <f>+J459*$X$1</f>
        <v>3392.3760000000002</v>
      </c>
      <c r="L459" s="529">
        <f>F459+280</f>
        <v>3352.3760000000002</v>
      </c>
      <c r="M459" s="304">
        <f>+L459*$X$1</f>
        <v>3352.3760000000002</v>
      </c>
      <c r="N459" s="529">
        <f>F459+250</f>
        <v>3322.3760000000002</v>
      </c>
      <c r="O459" s="304">
        <f t="shared" ref="O459" si="1178">+N459*$X$1</f>
        <v>3322.3760000000002</v>
      </c>
      <c r="P459" s="529">
        <f>F459+230</f>
        <v>3302.3760000000002</v>
      </c>
      <c r="Q459" s="304">
        <f t="shared" si="1166"/>
        <v>3302.3760000000002</v>
      </c>
      <c r="R459" s="529">
        <f>F459+210</f>
        <v>3282.3760000000002</v>
      </c>
      <c r="S459" s="304">
        <f t="shared" si="1167"/>
        <v>3282.3760000000002</v>
      </c>
      <c r="T459" s="529">
        <f>F459+190</f>
        <v>3262.3760000000002</v>
      </c>
      <c r="U459" s="304">
        <f t="shared" si="1168"/>
        <v>3262.3760000000002</v>
      </c>
      <c r="V459" s="529">
        <f>F459+175</f>
        <v>3247.3760000000002</v>
      </c>
      <c r="W459" s="304">
        <f t="shared" si="1169"/>
        <v>3247.3760000000002</v>
      </c>
      <c r="X459" s="1125"/>
      <c r="Y459" s="1126"/>
      <c r="Z459" s="1126"/>
      <c r="AA459" s="1127"/>
      <c r="AB459" s="201" t="s">
        <v>489</v>
      </c>
    </row>
    <row r="460" spans="1:29" ht="12.6" customHeight="1" x14ac:dyDescent="0.2">
      <c r="A460" s="18"/>
      <c r="B460" s="628" t="s">
        <v>731</v>
      </c>
      <c r="C460" s="884"/>
      <c r="D460" s="884"/>
      <c r="E460" s="884"/>
      <c r="F460" s="412">
        <f>7.73*X2</f>
        <v>7621.7800000000007</v>
      </c>
      <c r="G460" s="303">
        <f t="shared" ref="G460" si="1179">+F460*$X$1</f>
        <v>7621.7800000000007</v>
      </c>
      <c r="H460" s="577">
        <f>F460+400</f>
        <v>8021.7800000000007</v>
      </c>
      <c r="I460" s="303">
        <f t="shared" ref="I460" si="1180">+H460*$X$1</f>
        <v>8021.7800000000007</v>
      </c>
      <c r="J460" s="577">
        <f>F460+320</f>
        <v>7941.7800000000007</v>
      </c>
      <c r="K460" s="303">
        <f>+J460*$X$1</f>
        <v>7941.7800000000007</v>
      </c>
      <c r="L460" s="577">
        <f>F460+280</f>
        <v>7901.7800000000007</v>
      </c>
      <c r="M460" s="303">
        <f>+L460*$X$1</f>
        <v>7901.7800000000007</v>
      </c>
      <c r="N460" s="577">
        <f>F460+250</f>
        <v>7871.7800000000007</v>
      </c>
      <c r="O460" s="303">
        <f t="shared" ref="O460" si="1181">+N460*$X$1</f>
        <v>7871.7800000000007</v>
      </c>
      <c r="P460" s="577">
        <f>F460+230</f>
        <v>7851.7800000000007</v>
      </c>
      <c r="Q460" s="303">
        <f t="shared" ref="Q460" si="1182">+P460*$X$1</f>
        <v>7851.7800000000007</v>
      </c>
      <c r="R460" s="577">
        <f>F460+210</f>
        <v>7831.7800000000007</v>
      </c>
      <c r="S460" s="303">
        <f t="shared" ref="S460" si="1183">+R460*$X$1</f>
        <v>7831.7800000000007</v>
      </c>
      <c r="T460" s="577">
        <f>F460+190</f>
        <v>7811.7800000000007</v>
      </c>
      <c r="U460" s="303">
        <f t="shared" ref="U460" si="1184">+T460*$X$1</f>
        <v>7811.7800000000007</v>
      </c>
      <c r="V460" s="577">
        <f>F460+175</f>
        <v>7796.7800000000007</v>
      </c>
      <c r="W460" s="303">
        <f t="shared" ref="W460" si="1185">+V460*$X$1</f>
        <v>7796.7800000000007</v>
      </c>
      <c r="X460" s="1125"/>
      <c r="Y460" s="1126"/>
      <c r="Z460" s="1126"/>
      <c r="AA460" s="1127"/>
      <c r="AB460" s="201" t="s">
        <v>732</v>
      </c>
    </row>
    <row r="461" spans="1:29" ht="12.6" customHeight="1" x14ac:dyDescent="0.2">
      <c r="A461" s="108"/>
      <c r="B461" s="238"/>
      <c r="C461" s="63"/>
      <c r="D461" s="63"/>
      <c r="E461" s="63"/>
      <c r="F461" s="134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239"/>
      <c r="Y461" s="240"/>
      <c r="Z461" s="240"/>
      <c r="AA461" s="239"/>
      <c r="AB461" s="40"/>
      <c r="AC461" s="66"/>
    </row>
    <row r="462" spans="1:29" ht="12.6" customHeight="1" x14ac:dyDescent="0.2">
      <c r="A462" s="108"/>
      <c r="B462" s="238"/>
      <c r="C462" s="63"/>
      <c r="D462" s="63"/>
      <c r="E462" s="63"/>
      <c r="F462" s="134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239"/>
      <c r="Y462" s="240"/>
      <c r="Z462" s="240"/>
      <c r="AA462" s="239"/>
      <c r="AB462" s="40"/>
      <c r="AC462" s="66"/>
    </row>
    <row r="463" spans="1:29" ht="12.6" customHeight="1" x14ac:dyDescent="0.2">
      <c r="A463" s="108"/>
      <c r="B463" s="238"/>
      <c r="C463" s="63"/>
      <c r="D463" s="63"/>
      <c r="E463" s="63"/>
      <c r="F463" s="134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239"/>
      <c r="Y463" s="240"/>
      <c r="Z463" s="240"/>
      <c r="AA463" s="239"/>
      <c r="AB463" s="40"/>
      <c r="AC463" s="66"/>
    </row>
    <row r="464" spans="1:29" ht="12.6" customHeight="1" x14ac:dyDescent="0.2">
      <c r="A464" s="108"/>
      <c r="B464" s="238"/>
      <c r="C464" s="63"/>
      <c r="D464" s="63"/>
      <c r="E464" s="63"/>
      <c r="F464" s="134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239"/>
      <c r="Y464" s="240"/>
      <c r="Z464" s="240"/>
      <c r="AA464" s="239"/>
      <c r="AB464" s="40"/>
      <c r="AC464" s="66"/>
    </row>
    <row r="465" spans="1:34" ht="12.6" customHeight="1" x14ac:dyDescent="0.2">
      <c r="A465" s="108"/>
      <c r="B465" s="238"/>
      <c r="C465" s="63"/>
      <c r="D465" s="63"/>
      <c r="E465" s="63"/>
      <c r="F465" s="134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239"/>
      <c r="Y465" s="240"/>
      <c r="Z465" s="240"/>
      <c r="AA465" s="239"/>
      <c r="AB465" s="40"/>
      <c r="AC465" s="66"/>
    </row>
    <row r="466" spans="1:34" ht="12.6" customHeight="1" x14ac:dyDescent="0.2">
      <c r="A466" s="108"/>
      <c r="B466" s="238"/>
      <c r="C466" s="63"/>
      <c r="D466" s="63"/>
      <c r="E466" s="63"/>
      <c r="F466" s="134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239"/>
      <c r="Y466" s="240"/>
      <c r="Z466" s="240"/>
      <c r="AA466" s="239"/>
      <c r="AB466" s="40"/>
      <c r="AC466" s="66"/>
    </row>
    <row r="467" spans="1:34" ht="12.6" customHeight="1" x14ac:dyDescent="0.2">
      <c r="A467" s="108"/>
      <c r="B467" s="238"/>
      <c r="C467" s="63"/>
      <c r="D467" s="63"/>
      <c r="E467" s="63"/>
      <c r="F467" s="134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239"/>
      <c r="Y467" s="240"/>
      <c r="Z467" s="240"/>
      <c r="AA467" s="239"/>
      <c r="AB467" s="40"/>
      <c r="AC467" s="66"/>
    </row>
    <row r="468" spans="1:34" ht="12.6" customHeight="1" x14ac:dyDescent="0.2">
      <c r="A468" s="108"/>
      <c r="B468" s="238"/>
      <c r="C468" s="63"/>
      <c r="D468" s="63"/>
      <c r="E468" s="63"/>
      <c r="F468" s="134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239"/>
      <c r="Y468" s="240"/>
      <c r="Z468" s="240"/>
      <c r="AA468" s="239"/>
      <c r="AB468" s="40"/>
      <c r="AC468" s="66"/>
    </row>
    <row r="469" spans="1:34" ht="12.6" customHeight="1" x14ac:dyDescent="0.2">
      <c r="A469" s="108"/>
      <c r="B469" s="238"/>
      <c r="C469" s="63"/>
      <c r="D469" s="63"/>
      <c r="E469" s="63"/>
      <c r="F469" s="134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239"/>
      <c r="Y469" s="240"/>
      <c r="Z469" s="240"/>
      <c r="AA469" s="239"/>
      <c r="AB469" s="40"/>
      <c r="AC469" s="66"/>
    </row>
    <row r="470" spans="1:34" ht="12.6" customHeight="1" x14ac:dyDescent="0.2">
      <c r="A470" s="108"/>
      <c r="B470" s="238"/>
      <c r="C470" s="63"/>
      <c r="D470" s="63"/>
      <c r="E470" s="63"/>
      <c r="F470" s="134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239"/>
      <c r="Y470" s="240"/>
      <c r="Z470" s="240"/>
      <c r="AA470" s="239"/>
      <c r="AB470" s="40"/>
      <c r="AC470" s="66"/>
    </row>
    <row r="471" spans="1:34" ht="12.6" customHeight="1" x14ac:dyDescent="0.2">
      <c r="A471" s="108"/>
      <c r="B471" s="238"/>
      <c r="C471" s="63"/>
      <c r="D471" s="63"/>
      <c r="E471" s="63"/>
      <c r="F471" s="134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239"/>
      <c r="Y471" s="240"/>
      <c r="Z471" s="240"/>
      <c r="AA471" s="239"/>
      <c r="AB471" s="40"/>
      <c r="AC471" s="66"/>
    </row>
    <row r="472" spans="1:34" ht="12.6" customHeight="1" x14ac:dyDescent="0.2">
      <c r="A472" s="108"/>
      <c r="B472" s="238"/>
      <c r="C472" s="63"/>
      <c r="D472" s="63"/>
      <c r="E472" s="63"/>
      <c r="F472" s="134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239"/>
      <c r="Y472" s="240"/>
      <c r="Z472" s="240"/>
      <c r="AA472" s="239"/>
      <c r="AB472" s="40"/>
      <c r="AC472" s="66"/>
    </row>
    <row r="473" spans="1:34" ht="12.6" customHeight="1" x14ac:dyDescent="0.2">
      <c r="A473" s="108"/>
      <c r="B473" s="238"/>
      <c r="C473" s="63"/>
      <c r="D473" s="63"/>
      <c r="E473" s="63"/>
      <c r="F473" s="134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239"/>
      <c r="Y473" s="240"/>
      <c r="Z473" s="240"/>
      <c r="AA473" s="239"/>
      <c r="AB473" s="40"/>
      <c r="AC473" s="66"/>
    </row>
    <row r="474" spans="1:34" ht="12.6" customHeight="1" x14ac:dyDescent="0.2">
      <c r="A474" s="108"/>
      <c r="B474" s="238"/>
      <c r="C474" s="63"/>
      <c r="D474" s="63"/>
      <c r="E474" s="63"/>
      <c r="F474" s="134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239"/>
      <c r="Y474" s="240"/>
      <c r="Z474" s="240"/>
      <c r="AA474" s="239"/>
      <c r="AB474" s="40"/>
      <c r="AC474" s="66"/>
    </row>
    <row r="475" spans="1:34" ht="12.6" customHeight="1" x14ac:dyDescent="0.2">
      <c r="A475" s="108"/>
      <c r="B475" s="238"/>
      <c r="C475" s="63"/>
      <c r="D475" s="63"/>
      <c r="E475" s="63"/>
      <c r="F475" s="134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239"/>
      <c r="Y475" s="240"/>
      <c r="Z475" s="240"/>
      <c r="AA475" s="239"/>
      <c r="AB475" s="40"/>
      <c r="AC475" s="66"/>
    </row>
    <row r="476" spans="1:34" ht="12.6" customHeight="1" x14ac:dyDescent="0.2">
      <c r="A476" s="108"/>
      <c r="B476" s="238"/>
      <c r="C476" s="63"/>
      <c r="D476" s="63"/>
      <c r="E476" s="63"/>
      <c r="F476" s="134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239"/>
      <c r="Y476" s="240"/>
      <c r="Z476" s="240"/>
      <c r="AA476" s="239"/>
      <c r="AB476" s="40"/>
      <c r="AC476" s="66"/>
    </row>
    <row r="477" spans="1:34" ht="12.6" customHeight="1" x14ac:dyDescent="0.2">
      <c r="A477" s="108"/>
      <c r="B477" s="238"/>
      <c r="C477" s="63"/>
      <c r="D477" s="63"/>
      <c r="E477" s="63"/>
      <c r="F477" s="134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239"/>
      <c r="Y477" s="240"/>
      <c r="Z477" s="240"/>
      <c r="AA477" s="239"/>
      <c r="AB477" s="40"/>
      <c r="AC477" s="66"/>
    </row>
    <row r="478" spans="1:34" ht="14.25" customHeight="1" x14ac:dyDescent="0.2">
      <c r="B478" s="1053" t="s">
        <v>522</v>
      </c>
      <c r="C478" s="1054"/>
      <c r="D478" s="1054"/>
      <c r="E478" s="1054"/>
      <c r="F478" s="1054"/>
      <c r="G478" s="1054"/>
      <c r="H478" s="1054"/>
      <c r="I478" s="1054"/>
      <c r="J478" s="1054"/>
      <c r="K478" s="1054"/>
      <c r="L478" s="1054"/>
      <c r="M478" s="1054"/>
      <c r="N478" s="1054"/>
      <c r="O478" s="1054"/>
      <c r="P478" s="1054"/>
      <c r="Q478" s="1054"/>
      <c r="R478" s="1054"/>
      <c r="S478" s="1054"/>
      <c r="T478" s="1054"/>
      <c r="U478" s="1054"/>
      <c r="V478" s="1054"/>
      <c r="W478" s="1054"/>
      <c r="AB478" s="4"/>
      <c r="AF478" s="631"/>
      <c r="AG478" s="632"/>
      <c r="AH478" s="632"/>
    </row>
    <row r="479" spans="1:34" ht="13.5" customHeight="1" x14ac:dyDescent="0.2">
      <c r="B479" s="920" t="s">
        <v>11</v>
      </c>
      <c r="C479" s="920" t="s">
        <v>12</v>
      </c>
      <c r="D479" s="921"/>
      <c r="E479" s="921"/>
      <c r="F479" s="806" t="s">
        <v>296</v>
      </c>
      <c r="G479" s="806" t="s">
        <v>13</v>
      </c>
      <c r="H479" s="660" t="s">
        <v>856</v>
      </c>
      <c r="I479" s="660"/>
      <c r="J479" s="661"/>
      <c r="K479" s="661"/>
      <c r="L479" s="661"/>
      <c r="M479" s="661"/>
      <c r="N479" s="661"/>
      <c r="O479" s="661"/>
      <c r="P479" s="661"/>
      <c r="Q479" s="661"/>
      <c r="R479" s="661"/>
      <c r="S479" s="661"/>
      <c r="T479" s="661"/>
      <c r="U479" s="661"/>
      <c r="V479" s="661"/>
      <c r="W479" s="661"/>
      <c r="X479" s="635" t="s">
        <v>14</v>
      </c>
      <c r="Y479" s="636"/>
      <c r="Z479" s="636"/>
      <c r="AA479" s="637"/>
      <c r="AB479" s="633" t="s">
        <v>15</v>
      </c>
      <c r="AF479" s="631" t="s">
        <v>3</v>
      </c>
      <c r="AG479" s="632"/>
      <c r="AH479" s="632"/>
    </row>
    <row r="480" spans="1:34" ht="11.25" customHeight="1" x14ac:dyDescent="0.2">
      <c r="B480" s="921"/>
      <c r="C480" s="921"/>
      <c r="D480" s="921"/>
      <c r="E480" s="921"/>
      <c r="F480" s="807"/>
      <c r="G480" s="807"/>
      <c r="H480" s="561"/>
      <c r="I480" s="560" t="s">
        <v>591</v>
      </c>
      <c r="J480" s="561"/>
      <c r="K480" s="560" t="s">
        <v>297</v>
      </c>
      <c r="L480" s="561"/>
      <c r="M480" s="560" t="s">
        <v>298</v>
      </c>
      <c r="N480" s="561"/>
      <c r="O480" s="560" t="s">
        <v>593</v>
      </c>
      <c r="P480" s="561"/>
      <c r="Q480" s="560" t="s">
        <v>17</v>
      </c>
      <c r="R480" s="561"/>
      <c r="S480" s="560" t="s">
        <v>18</v>
      </c>
      <c r="T480" s="561"/>
      <c r="U480" s="560" t="s">
        <v>19</v>
      </c>
      <c r="V480" s="561"/>
      <c r="W480" s="560" t="s">
        <v>594</v>
      </c>
      <c r="X480" s="638"/>
      <c r="Y480" s="639"/>
      <c r="Z480" s="639"/>
      <c r="AA480" s="640"/>
      <c r="AB480" s="634"/>
    </row>
    <row r="481" spans="1:28" ht="12" customHeight="1" x14ac:dyDescent="0.2">
      <c r="A481" s="4"/>
      <c r="B481" s="861" t="s">
        <v>796</v>
      </c>
      <c r="C481" s="668"/>
      <c r="D481" s="668"/>
      <c r="E481" s="668"/>
      <c r="F481" s="417">
        <f>9.5*X2</f>
        <v>9367</v>
      </c>
      <c r="G481" s="340">
        <f t="shared" ref="G481" si="1186">+F481*$X$1</f>
        <v>9367</v>
      </c>
      <c r="H481" s="104">
        <f>F481+4000</f>
        <v>13367</v>
      </c>
      <c r="I481" s="340">
        <f t="shared" ref="I481" si="1187">+H481*$X$1</f>
        <v>13367</v>
      </c>
      <c r="J481" s="104">
        <f>F481+1000</f>
        <v>10367</v>
      </c>
      <c r="K481" s="340">
        <f t="shared" ref="K481" si="1188">+J481*$X$1</f>
        <v>10367</v>
      </c>
      <c r="L481" s="104">
        <f>F481+900</f>
        <v>10267</v>
      </c>
      <c r="M481" s="340">
        <f t="shared" ref="M481" si="1189">+L481*$X$1</f>
        <v>10267</v>
      </c>
      <c r="N481" s="104">
        <f>F481+850</f>
        <v>10217</v>
      </c>
      <c r="O481" s="340">
        <f t="shared" ref="O481" si="1190">+N481*$X$1</f>
        <v>10217</v>
      </c>
      <c r="P481" s="104">
        <f>F481+800</f>
        <v>10167</v>
      </c>
      <c r="Q481" s="340">
        <f t="shared" ref="Q481" si="1191">+P481*$X$1</f>
        <v>10167</v>
      </c>
      <c r="R481" s="104">
        <f>F481+770</f>
        <v>10137</v>
      </c>
      <c r="S481" s="340">
        <f t="shared" ref="S481" si="1192">+R481*$X$1</f>
        <v>10137</v>
      </c>
      <c r="T481" s="104">
        <f>F481+730</f>
        <v>10097</v>
      </c>
      <c r="U481" s="340">
        <f t="shared" ref="U481" si="1193">+T481*$X$1</f>
        <v>10097</v>
      </c>
      <c r="V481" s="104">
        <f>F481+690</f>
        <v>10057</v>
      </c>
      <c r="W481" s="340">
        <f t="shared" ref="W481" si="1194">+V481*$X$1</f>
        <v>10057</v>
      </c>
      <c r="X481" s="145"/>
      <c r="Y481" s="140"/>
      <c r="Z481" s="146"/>
      <c r="AA481" s="147"/>
      <c r="AB481" s="456" t="s">
        <v>800</v>
      </c>
    </row>
    <row r="482" spans="1:28" ht="12" customHeight="1" x14ac:dyDescent="0.2">
      <c r="A482" s="4"/>
      <c r="B482" s="861" t="s">
        <v>795</v>
      </c>
      <c r="C482" s="668"/>
      <c r="D482" s="668"/>
      <c r="E482" s="668"/>
      <c r="F482" s="418">
        <f>9.5*X2</f>
        <v>9367</v>
      </c>
      <c r="G482" s="326">
        <f t="shared" ref="G482" si="1195">+F482*$X$1</f>
        <v>9367</v>
      </c>
      <c r="H482" s="105">
        <f>F482+3000</f>
        <v>12367</v>
      </c>
      <c r="I482" s="326">
        <f t="shared" ref="I482" si="1196">+H482*$X$1</f>
        <v>12367</v>
      </c>
      <c r="J482" s="105">
        <f>F482+700</f>
        <v>10067</v>
      </c>
      <c r="K482" s="326">
        <f t="shared" ref="K482" si="1197">+J482*$X$1</f>
        <v>10067</v>
      </c>
      <c r="L482" s="105">
        <f>F482+550</f>
        <v>9917</v>
      </c>
      <c r="M482" s="326">
        <f t="shared" ref="M482" si="1198">+L482*$X$1</f>
        <v>9917</v>
      </c>
      <c r="N482" s="105">
        <f>F482+500</f>
        <v>9867</v>
      </c>
      <c r="O482" s="326">
        <f t="shared" ref="O482" si="1199">+N482*$X$1</f>
        <v>9867</v>
      </c>
      <c r="P482" s="105">
        <f>F482+460</f>
        <v>9827</v>
      </c>
      <c r="Q482" s="326">
        <f t="shared" ref="Q482" si="1200">+P482*$X$1</f>
        <v>9827</v>
      </c>
      <c r="R482" s="105">
        <f>F482+440</f>
        <v>9807</v>
      </c>
      <c r="S482" s="326">
        <f t="shared" ref="S482" si="1201">+R482*$X$1</f>
        <v>9807</v>
      </c>
      <c r="T482" s="105">
        <f>F482+400</f>
        <v>9767</v>
      </c>
      <c r="U482" s="326">
        <f t="shared" ref="U482" si="1202">+T482*$X$1</f>
        <v>9767</v>
      </c>
      <c r="V482" s="105">
        <f>F482+370</f>
        <v>9737</v>
      </c>
      <c r="W482" s="326">
        <f t="shared" ref="W482" si="1203">+V482*$X$1</f>
        <v>9737</v>
      </c>
      <c r="X482" s="145"/>
      <c r="Y482" s="140"/>
      <c r="Z482" s="146"/>
      <c r="AA482" s="147"/>
      <c r="AB482" s="442">
        <v>873</v>
      </c>
    </row>
    <row r="483" spans="1:28" ht="12" customHeight="1" x14ac:dyDescent="0.2">
      <c r="A483" s="4"/>
      <c r="B483" s="861" t="s">
        <v>749</v>
      </c>
      <c r="C483" s="668"/>
      <c r="D483" s="668"/>
      <c r="E483" s="668"/>
      <c r="F483" s="417">
        <f>18.8*X2</f>
        <v>18536.8</v>
      </c>
      <c r="G483" s="340">
        <f t="shared" ref="G483" si="1204">+F483*$X$1</f>
        <v>18536.8</v>
      </c>
      <c r="H483" s="104">
        <f>F483+3000</f>
        <v>21536.799999999999</v>
      </c>
      <c r="I483" s="340">
        <f t="shared" ref="I483" si="1205">+H483*$X$1</f>
        <v>21536.799999999999</v>
      </c>
      <c r="J483" s="104">
        <f>F483+700</f>
        <v>19236.8</v>
      </c>
      <c r="K483" s="340">
        <f t="shared" ref="K483" si="1206">+J483*$X$1</f>
        <v>19236.8</v>
      </c>
      <c r="L483" s="104">
        <f>F483+550</f>
        <v>19086.8</v>
      </c>
      <c r="M483" s="340">
        <f t="shared" ref="M483" si="1207">+L483*$X$1</f>
        <v>19086.8</v>
      </c>
      <c r="N483" s="104">
        <f>F483+500</f>
        <v>19036.8</v>
      </c>
      <c r="O483" s="340">
        <f t="shared" ref="O483" si="1208">+N483*$X$1</f>
        <v>19036.8</v>
      </c>
      <c r="P483" s="104">
        <f>F483+460</f>
        <v>18996.8</v>
      </c>
      <c r="Q483" s="340">
        <f t="shared" ref="Q483" si="1209">+P483*$X$1</f>
        <v>18996.8</v>
      </c>
      <c r="R483" s="104">
        <f>F483+440</f>
        <v>18976.8</v>
      </c>
      <c r="S483" s="340">
        <f t="shared" ref="S483" si="1210">+R483*$X$1</f>
        <v>18976.8</v>
      </c>
      <c r="T483" s="104">
        <f>F483+400</f>
        <v>18936.8</v>
      </c>
      <c r="U483" s="340">
        <f t="shared" ref="U483" si="1211">+T483*$X$1</f>
        <v>18936.8</v>
      </c>
      <c r="V483" s="104">
        <f>F483+370</f>
        <v>18906.8</v>
      </c>
      <c r="W483" s="340">
        <f t="shared" ref="W483" si="1212">+V483*$X$1</f>
        <v>18906.8</v>
      </c>
      <c r="X483" s="145"/>
      <c r="Y483" s="140"/>
      <c r="Z483" s="146"/>
      <c r="AA483" s="147"/>
      <c r="AB483" s="442">
        <v>874</v>
      </c>
    </row>
    <row r="484" spans="1:28" ht="12.6" customHeight="1" x14ac:dyDescent="0.2">
      <c r="A484" s="4"/>
      <c r="B484" s="881" t="s">
        <v>715</v>
      </c>
      <c r="C484" s="715"/>
      <c r="D484" s="715"/>
      <c r="E484" s="715"/>
      <c r="F484" s="418">
        <f>12*X2</f>
        <v>11832</v>
      </c>
      <c r="G484" s="326">
        <f t="shared" ref="G484:G485" si="1213">+F484*$X$1</f>
        <v>11832</v>
      </c>
      <c r="H484" s="105">
        <f>F484+4000</f>
        <v>15832</v>
      </c>
      <c r="I484" s="326">
        <f t="shared" ref="I484:I486" si="1214">+H484*$X$1</f>
        <v>15832</v>
      </c>
      <c r="J484" s="105">
        <f>F484+1000</f>
        <v>12832</v>
      </c>
      <c r="K484" s="326">
        <f t="shared" ref="K484:K486" si="1215">+J484*$X$1</f>
        <v>12832</v>
      </c>
      <c r="L484" s="105">
        <f>F484+900</f>
        <v>12732</v>
      </c>
      <c r="M484" s="326">
        <f t="shared" ref="M484:M486" si="1216">+L484*$X$1</f>
        <v>12732</v>
      </c>
      <c r="N484" s="105">
        <f>F484+850</f>
        <v>12682</v>
      </c>
      <c r="O484" s="326">
        <f t="shared" ref="O484:O486" si="1217">+N484*$X$1</f>
        <v>12682</v>
      </c>
      <c r="P484" s="105">
        <f>F484+800</f>
        <v>12632</v>
      </c>
      <c r="Q484" s="326">
        <f t="shared" ref="Q484:Q486" si="1218">+P484*$X$1</f>
        <v>12632</v>
      </c>
      <c r="R484" s="105">
        <f>F484+770</f>
        <v>12602</v>
      </c>
      <c r="S484" s="326">
        <f t="shared" ref="S484:S486" si="1219">+R484*$X$1</f>
        <v>12602</v>
      </c>
      <c r="T484" s="105">
        <f>F484+730</f>
        <v>12562</v>
      </c>
      <c r="U484" s="326">
        <f t="shared" ref="U484:U486" si="1220">+T484*$X$1</f>
        <v>12562</v>
      </c>
      <c r="V484" s="105">
        <f>F484+690</f>
        <v>12522</v>
      </c>
      <c r="W484" s="326">
        <f t="shared" ref="W484:W486" si="1221">+V484*$X$1</f>
        <v>12522</v>
      </c>
      <c r="X484" s="145"/>
      <c r="Y484" s="140"/>
      <c r="Z484" s="146"/>
      <c r="AA484" s="147"/>
      <c r="AB484" s="442" t="s">
        <v>725</v>
      </c>
    </row>
    <row r="485" spans="1:28" ht="12" customHeight="1" x14ac:dyDescent="0.2">
      <c r="A485" s="4"/>
      <c r="B485" s="730" t="s">
        <v>716</v>
      </c>
      <c r="C485" s="675"/>
      <c r="D485" s="675"/>
      <c r="E485" s="675"/>
      <c r="F485" s="417">
        <f>12*X2</f>
        <v>11832</v>
      </c>
      <c r="G485" s="340">
        <f t="shared" si="1213"/>
        <v>11832</v>
      </c>
      <c r="H485" s="104">
        <f>F485+3000</f>
        <v>14832</v>
      </c>
      <c r="I485" s="340">
        <f t="shared" si="1214"/>
        <v>14832</v>
      </c>
      <c r="J485" s="104">
        <f>F485+700</f>
        <v>12532</v>
      </c>
      <c r="K485" s="340">
        <f t="shared" si="1215"/>
        <v>12532</v>
      </c>
      <c r="L485" s="104">
        <f>F485+550</f>
        <v>12382</v>
      </c>
      <c r="M485" s="340">
        <f t="shared" si="1216"/>
        <v>12382</v>
      </c>
      <c r="N485" s="104">
        <f>F485+500</f>
        <v>12332</v>
      </c>
      <c r="O485" s="340">
        <f t="shared" si="1217"/>
        <v>12332</v>
      </c>
      <c r="P485" s="104">
        <f>F485+460</f>
        <v>12292</v>
      </c>
      <c r="Q485" s="340">
        <f t="shared" si="1218"/>
        <v>12292</v>
      </c>
      <c r="R485" s="104">
        <f>F485+440</f>
        <v>12272</v>
      </c>
      <c r="S485" s="340">
        <f t="shared" si="1219"/>
        <v>12272</v>
      </c>
      <c r="T485" s="104">
        <f>F485+400</f>
        <v>12232</v>
      </c>
      <c r="U485" s="340">
        <f t="shared" si="1220"/>
        <v>12232</v>
      </c>
      <c r="V485" s="104">
        <f>F485+370</f>
        <v>12202</v>
      </c>
      <c r="W485" s="340">
        <f t="shared" si="1221"/>
        <v>12202</v>
      </c>
      <c r="X485" s="145"/>
      <c r="Y485" s="140"/>
      <c r="Z485" s="146"/>
      <c r="AA485" s="147"/>
      <c r="AB485" s="442">
        <v>875</v>
      </c>
    </row>
    <row r="486" spans="1:28" ht="12.6" customHeight="1" x14ac:dyDescent="0.2">
      <c r="A486" s="4"/>
      <c r="B486" s="881" t="s">
        <v>797</v>
      </c>
      <c r="C486" s="715"/>
      <c r="D486" s="715"/>
      <c r="E486" s="715"/>
      <c r="F486" s="418">
        <f>18.1*X2</f>
        <v>17846.600000000002</v>
      </c>
      <c r="G486" s="326">
        <f t="shared" ref="G486" si="1222">+F486*$X$1</f>
        <v>17846.600000000002</v>
      </c>
      <c r="H486" s="105">
        <f>F486+3000</f>
        <v>20846.600000000002</v>
      </c>
      <c r="I486" s="326">
        <f t="shared" si="1214"/>
        <v>20846.600000000002</v>
      </c>
      <c r="J486" s="105">
        <f>F486+700</f>
        <v>18546.600000000002</v>
      </c>
      <c r="K486" s="326">
        <f t="shared" si="1215"/>
        <v>18546.600000000002</v>
      </c>
      <c r="L486" s="105">
        <f>F486+550</f>
        <v>18396.600000000002</v>
      </c>
      <c r="M486" s="326">
        <f t="shared" si="1216"/>
        <v>18396.600000000002</v>
      </c>
      <c r="N486" s="105">
        <f>F486+500</f>
        <v>18346.600000000002</v>
      </c>
      <c r="O486" s="326">
        <f t="shared" si="1217"/>
        <v>18346.600000000002</v>
      </c>
      <c r="P486" s="105">
        <f>F486+460</f>
        <v>18306.600000000002</v>
      </c>
      <c r="Q486" s="326">
        <f t="shared" si="1218"/>
        <v>18306.600000000002</v>
      </c>
      <c r="R486" s="105">
        <f>F486+440</f>
        <v>18286.600000000002</v>
      </c>
      <c r="S486" s="326">
        <f t="shared" si="1219"/>
        <v>18286.600000000002</v>
      </c>
      <c r="T486" s="105">
        <f>F486+400</f>
        <v>18246.600000000002</v>
      </c>
      <c r="U486" s="326">
        <f t="shared" si="1220"/>
        <v>18246.600000000002</v>
      </c>
      <c r="V486" s="105">
        <f>F486+370</f>
        <v>18216.600000000002</v>
      </c>
      <c r="W486" s="326">
        <f t="shared" si="1221"/>
        <v>18216.600000000002</v>
      </c>
      <c r="X486" s="145"/>
      <c r="Y486" s="140"/>
      <c r="Z486" s="146"/>
      <c r="AA486" s="147"/>
      <c r="AB486" s="442">
        <v>876</v>
      </c>
    </row>
    <row r="487" spans="1:28" ht="12.6" customHeight="1" x14ac:dyDescent="0.2">
      <c r="A487" s="4"/>
      <c r="B487" s="861" t="s">
        <v>750</v>
      </c>
      <c r="C487" s="668"/>
      <c r="D487" s="668"/>
      <c r="E487" s="668"/>
      <c r="F487" s="417">
        <f>15.37*X2</f>
        <v>15154.82</v>
      </c>
      <c r="G487" s="340">
        <f t="shared" ref="G487" si="1223">+F487*$X$1</f>
        <v>15154.82</v>
      </c>
      <c r="H487" s="104">
        <f>F487+4000</f>
        <v>19154.82</v>
      </c>
      <c r="I487" s="340">
        <f t="shared" ref="I487:I488" si="1224">+H487*$X$1</f>
        <v>19154.82</v>
      </c>
      <c r="J487" s="104">
        <f>F487+1000</f>
        <v>16154.82</v>
      </c>
      <c r="K487" s="340">
        <f t="shared" ref="K487:K488" si="1225">+J487*$X$1</f>
        <v>16154.82</v>
      </c>
      <c r="L487" s="104">
        <f>F487+900</f>
        <v>16054.82</v>
      </c>
      <c r="M487" s="340">
        <f t="shared" ref="M487:M488" si="1226">+L487*$X$1</f>
        <v>16054.82</v>
      </c>
      <c r="N487" s="104">
        <f>F487+850</f>
        <v>16004.82</v>
      </c>
      <c r="O487" s="340">
        <f t="shared" ref="O487:O488" si="1227">+N487*$X$1</f>
        <v>16004.82</v>
      </c>
      <c r="P487" s="104">
        <f>F487+800</f>
        <v>15954.82</v>
      </c>
      <c r="Q487" s="340">
        <f t="shared" ref="Q487:Q488" si="1228">+P487*$X$1</f>
        <v>15954.82</v>
      </c>
      <c r="R487" s="104">
        <f>F487+770</f>
        <v>15924.82</v>
      </c>
      <c r="S487" s="340">
        <f t="shared" ref="S487:S488" si="1229">+R487*$X$1</f>
        <v>15924.82</v>
      </c>
      <c r="T487" s="104">
        <f>F487+730</f>
        <v>15884.82</v>
      </c>
      <c r="U487" s="340">
        <f t="shared" ref="U487:U488" si="1230">+T487*$X$1</f>
        <v>15884.82</v>
      </c>
      <c r="V487" s="104">
        <f>F487+690</f>
        <v>15844.82</v>
      </c>
      <c r="W487" s="340">
        <f t="shared" ref="W487:W488" si="1231">+V487*$X$1</f>
        <v>15844.82</v>
      </c>
      <c r="X487" s="145"/>
      <c r="Y487" s="140"/>
      <c r="Z487" s="146"/>
      <c r="AA487" s="147"/>
      <c r="AB487" s="442" t="s">
        <v>664</v>
      </c>
    </row>
    <row r="488" spans="1:28" ht="12.6" customHeight="1" x14ac:dyDescent="0.2">
      <c r="A488" s="4"/>
      <c r="B488" s="861" t="s">
        <v>751</v>
      </c>
      <c r="C488" s="668"/>
      <c r="D488" s="668"/>
      <c r="E488" s="668"/>
      <c r="F488" s="418">
        <f>15.37*X2</f>
        <v>15154.82</v>
      </c>
      <c r="G488" s="326">
        <f t="shared" ref="G488" si="1232">+F488*$X$1</f>
        <v>15154.82</v>
      </c>
      <c r="H488" s="105">
        <f>F488+3000</f>
        <v>18154.82</v>
      </c>
      <c r="I488" s="326">
        <f t="shared" si="1224"/>
        <v>18154.82</v>
      </c>
      <c r="J488" s="105">
        <f>F488+700</f>
        <v>15854.82</v>
      </c>
      <c r="K488" s="326">
        <f t="shared" si="1225"/>
        <v>15854.82</v>
      </c>
      <c r="L488" s="105">
        <f>F488+550</f>
        <v>15704.82</v>
      </c>
      <c r="M488" s="326">
        <f t="shared" si="1226"/>
        <v>15704.82</v>
      </c>
      <c r="N488" s="105">
        <f>F488+500</f>
        <v>15654.82</v>
      </c>
      <c r="O488" s="326">
        <f t="shared" si="1227"/>
        <v>15654.82</v>
      </c>
      <c r="P488" s="105">
        <f>F488+460</f>
        <v>15614.82</v>
      </c>
      <c r="Q488" s="326">
        <f t="shared" si="1228"/>
        <v>15614.82</v>
      </c>
      <c r="R488" s="105">
        <f>F488+440</f>
        <v>15594.82</v>
      </c>
      <c r="S488" s="326">
        <f t="shared" si="1229"/>
        <v>15594.82</v>
      </c>
      <c r="T488" s="105">
        <f>F488+400</f>
        <v>15554.82</v>
      </c>
      <c r="U488" s="326">
        <f t="shared" si="1230"/>
        <v>15554.82</v>
      </c>
      <c r="V488" s="105">
        <f>F488+370</f>
        <v>15524.82</v>
      </c>
      <c r="W488" s="326">
        <f t="shared" si="1231"/>
        <v>15524.82</v>
      </c>
      <c r="X488" s="145"/>
      <c r="Y488" s="140"/>
      <c r="Z488" s="146"/>
      <c r="AA488" s="147"/>
      <c r="AB488" s="442">
        <v>878</v>
      </c>
    </row>
    <row r="489" spans="1:28" ht="12.6" customHeight="1" x14ac:dyDescent="0.2">
      <c r="A489" s="4"/>
      <c r="B489" s="872" t="s">
        <v>717</v>
      </c>
      <c r="C489" s="681"/>
      <c r="D489" s="681"/>
      <c r="E489" s="681"/>
      <c r="F489" s="417">
        <f>24*X2</f>
        <v>23664</v>
      </c>
      <c r="G489" s="340">
        <f t="shared" ref="G489" si="1233">+F489*$X$1</f>
        <v>23664</v>
      </c>
      <c r="H489" s="104">
        <f>F489+4000</f>
        <v>27664</v>
      </c>
      <c r="I489" s="340">
        <f t="shared" ref="I489:I490" si="1234">+H489*$X$1</f>
        <v>27664</v>
      </c>
      <c r="J489" s="104">
        <f>F489+1000</f>
        <v>24664</v>
      </c>
      <c r="K489" s="340">
        <f t="shared" ref="K489:K490" si="1235">+J489*$X$1</f>
        <v>24664</v>
      </c>
      <c r="L489" s="104">
        <f>F489+900</f>
        <v>24564</v>
      </c>
      <c r="M489" s="340">
        <f t="shared" ref="M489:M490" si="1236">+L489*$X$1</f>
        <v>24564</v>
      </c>
      <c r="N489" s="104">
        <f>F489+850</f>
        <v>24514</v>
      </c>
      <c r="O489" s="340">
        <f t="shared" ref="O489:O490" si="1237">+N489*$X$1</f>
        <v>24514</v>
      </c>
      <c r="P489" s="104">
        <f>F489+800</f>
        <v>24464</v>
      </c>
      <c r="Q489" s="340">
        <f t="shared" ref="Q489:Q490" si="1238">+P489*$X$1</f>
        <v>24464</v>
      </c>
      <c r="R489" s="104">
        <f>F489+770</f>
        <v>24434</v>
      </c>
      <c r="S489" s="340">
        <f t="shared" ref="S489:S490" si="1239">+R489*$X$1</f>
        <v>24434</v>
      </c>
      <c r="T489" s="104">
        <f>F489+730</f>
        <v>24394</v>
      </c>
      <c r="U489" s="340">
        <f t="shared" ref="U489:U490" si="1240">+T489*$X$1</f>
        <v>24394</v>
      </c>
      <c r="V489" s="104">
        <f>F489+690</f>
        <v>24354</v>
      </c>
      <c r="W489" s="340">
        <f t="shared" ref="W489:W490" si="1241">+V489*$X$1</f>
        <v>24354</v>
      </c>
      <c r="X489" s="145"/>
      <c r="Y489" s="140"/>
      <c r="Z489" s="146"/>
      <c r="AA489" s="147"/>
      <c r="AB489" s="442" t="s">
        <v>625</v>
      </c>
    </row>
    <row r="490" spans="1:28" ht="12.6" customHeight="1" x14ac:dyDescent="0.2">
      <c r="A490" s="4"/>
      <c r="B490" s="703" t="s">
        <v>718</v>
      </c>
      <c r="C490" s="884"/>
      <c r="D490" s="884"/>
      <c r="E490" s="884"/>
      <c r="F490" s="418">
        <f>24*X2</f>
        <v>23664</v>
      </c>
      <c r="G490" s="326">
        <f t="shared" ref="G490:G491" si="1242">+F490*$X$1</f>
        <v>23664</v>
      </c>
      <c r="H490" s="105">
        <f>F490+3000</f>
        <v>26664</v>
      </c>
      <c r="I490" s="326">
        <f t="shared" si="1234"/>
        <v>26664</v>
      </c>
      <c r="J490" s="105">
        <f>F490+700</f>
        <v>24364</v>
      </c>
      <c r="K490" s="326">
        <f t="shared" si="1235"/>
        <v>24364</v>
      </c>
      <c r="L490" s="105">
        <f>F490+550</f>
        <v>24214</v>
      </c>
      <c r="M490" s="326">
        <f t="shared" si="1236"/>
        <v>24214</v>
      </c>
      <c r="N490" s="105">
        <f>F490+500</f>
        <v>24164</v>
      </c>
      <c r="O490" s="326">
        <f t="shared" si="1237"/>
        <v>24164</v>
      </c>
      <c r="P490" s="105">
        <f>F490+460</f>
        <v>24124</v>
      </c>
      <c r="Q490" s="326">
        <f t="shared" si="1238"/>
        <v>24124</v>
      </c>
      <c r="R490" s="105">
        <f>F490+440</f>
        <v>24104</v>
      </c>
      <c r="S490" s="326">
        <f t="shared" si="1239"/>
        <v>24104</v>
      </c>
      <c r="T490" s="105">
        <f>F490+400</f>
        <v>24064</v>
      </c>
      <c r="U490" s="326">
        <f t="shared" si="1240"/>
        <v>24064</v>
      </c>
      <c r="V490" s="105">
        <f>F490+370</f>
        <v>24034</v>
      </c>
      <c r="W490" s="326">
        <f t="shared" si="1241"/>
        <v>24034</v>
      </c>
      <c r="X490" s="145"/>
      <c r="Y490" s="140"/>
      <c r="Z490" s="146"/>
      <c r="AA490" s="147"/>
      <c r="AB490" s="442">
        <v>880</v>
      </c>
    </row>
    <row r="491" spans="1:28" ht="12.6" customHeight="1" x14ac:dyDescent="0.2">
      <c r="A491" s="4"/>
      <c r="B491" s="872" t="s">
        <v>719</v>
      </c>
      <c r="C491" s="681"/>
      <c r="D491" s="681"/>
      <c r="E491" s="681"/>
      <c r="F491" s="417">
        <f>31.386*X2</f>
        <v>30946.595999999998</v>
      </c>
      <c r="G491" s="340">
        <f t="shared" si="1242"/>
        <v>30946.595999999998</v>
      </c>
      <c r="H491" s="104">
        <f>F491+4000</f>
        <v>34946.595999999998</v>
      </c>
      <c r="I491" s="340">
        <f t="shared" ref="I491:I494" si="1243">+H491*$X$1</f>
        <v>34946.595999999998</v>
      </c>
      <c r="J491" s="104">
        <f>F491+1000</f>
        <v>31946.595999999998</v>
      </c>
      <c r="K491" s="340">
        <f t="shared" ref="K491:K494" si="1244">+J491*$X$1</f>
        <v>31946.595999999998</v>
      </c>
      <c r="L491" s="104">
        <f>F491+900</f>
        <v>31846.595999999998</v>
      </c>
      <c r="M491" s="340">
        <f t="shared" ref="M491:M494" si="1245">+L491*$X$1</f>
        <v>31846.595999999998</v>
      </c>
      <c r="N491" s="104">
        <f>F491+850</f>
        <v>31796.595999999998</v>
      </c>
      <c r="O491" s="340">
        <f t="shared" ref="O491:O494" si="1246">+N491*$X$1</f>
        <v>31796.595999999998</v>
      </c>
      <c r="P491" s="104">
        <f>F491+800</f>
        <v>31746.595999999998</v>
      </c>
      <c r="Q491" s="340">
        <f t="shared" ref="Q491:Q494" si="1247">+P491*$X$1</f>
        <v>31746.595999999998</v>
      </c>
      <c r="R491" s="104">
        <f>F491+770</f>
        <v>31716.595999999998</v>
      </c>
      <c r="S491" s="340">
        <f t="shared" ref="S491:S494" si="1248">+R491*$X$1</f>
        <v>31716.595999999998</v>
      </c>
      <c r="T491" s="104">
        <f>F491+730</f>
        <v>31676.595999999998</v>
      </c>
      <c r="U491" s="340">
        <f t="shared" ref="U491:U494" si="1249">+T491*$X$1</f>
        <v>31676.595999999998</v>
      </c>
      <c r="V491" s="104">
        <f>F491+690</f>
        <v>31636.595999999998</v>
      </c>
      <c r="W491" s="340">
        <f t="shared" ref="W491:W494" si="1250">+V491*$X$1</f>
        <v>31636.595999999998</v>
      </c>
      <c r="X491" s="145"/>
      <c r="Y491" s="140"/>
      <c r="Z491" s="146"/>
      <c r="AA491" s="147"/>
      <c r="AB491" s="442" t="s">
        <v>626</v>
      </c>
    </row>
    <row r="492" spans="1:28" ht="12.6" customHeight="1" x14ac:dyDescent="0.2">
      <c r="A492" s="4"/>
      <c r="B492" s="703" t="s">
        <v>720</v>
      </c>
      <c r="C492" s="629"/>
      <c r="D492" s="629"/>
      <c r="E492" s="629"/>
      <c r="F492" s="418">
        <f>31.386*X2</f>
        <v>30946.595999999998</v>
      </c>
      <c r="G492" s="326">
        <f t="shared" ref="G492:G493" si="1251">+F492*$X$1</f>
        <v>30946.595999999998</v>
      </c>
      <c r="H492" s="105">
        <f>F492+3000</f>
        <v>33946.595999999998</v>
      </c>
      <c r="I492" s="326">
        <f t="shared" si="1243"/>
        <v>33946.595999999998</v>
      </c>
      <c r="J492" s="105">
        <f>F492+700</f>
        <v>31646.595999999998</v>
      </c>
      <c r="K492" s="326">
        <f t="shared" si="1244"/>
        <v>31646.595999999998</v>
      </c>
      <c r="L492" s="105">
        <f>F492+550</f>
        <v>31496.595999999998</v>
      </c>
      <c r="M492" s="326">
        <f t="shared" si="1245"/>
        <v>31496.595999999998</v>
      </c>
      <c r="N492" s="105">
        <f>F492+500</f>
        <v>31446.595999999998</v>
      </c>
      <c r="O492" s="326">
        <f t="shared" si="1246"/>
        <v>31446.595999999998</v>
      </c>
      <c r="P492" s="105">
        <f>F492+460</f>
        <v>31406.595999999998</v>
      </c>
      <c r="Q492" s="326">
        <f t="shared" si="1247"/>
        <v>31406.595999999998</v>
      </c>
      <c r="R492" s="105">
        <f>F492+440</f>
        <v>31386.595999999998</v>
      </c>
      <c r="S492" s="326">
        <f t="shared" si="1248"/>
        <v>31386.595999999998</v>
      </c>
      <c r="T492" s="105">
        <f>F492+400</f>
        <v>31346.595999999998</v>
      </c>
      <c r="U492" s="326">
        <f t="shared" si="1249"/>
        <v>31346.595999999998</v>
      </c>
      <c r="V492" s="105">
        <f>F492+370</f>
        <v>31316.595999999998</v>
      </c>
      <c r="W492" s="326">
        <f t="shared" si="1250"/>
        <v>31316.595999999998</v>
      </c>
      <c r="X492" s="145"/>
      <c r="Y492" s="140"/>
      <c r="Z492" s="146"/>
      <c r="AA492" s="147"/>
      <c r="AB492" s="442">
        <v>881</v>
      </c>
    </row>
    <row r="493" spans="1:28" ht="12.6" customHeight="1" x14ac:dyDescent="0.2">
      <c r="A493" s="4"/>
      <c r="B493" s="872" t="s">
        <v>721</v>
      </c>
      <c r="C493" s="681"/>
      <c r="D493" s="681"/>
      <c r="E493" s="681"/>
      <c r="F493" s="417">
        <f>20.3*X2</f>
        <v>20015.8</v>
      </c>
      <c r="G493" s="340">
        <f t="shared" si="1251"/>
        <v>20015.8</v>
      </c>
      <c r="H493" s="104">
        <f>F493+3000</f>
        <v>23015.8</v>
      </c>
      <c r="I493" s="340">
        <f t="shared" si="1243"/>
        <v>23015.8</v>
      </c>
      <c r="J493" s="104">
        <f>F493+700</f>
        <v>20715.8</v>
      </c>
      <c r="K493" s="340">
        <f t="shared" si="1244"/>
        <v>20715.8</v>
      </c>
      <c r="L493" s="104">
        <f>F493+550</f>
        <v>20565.8</v>
      </c>
      <c r="M493" s="340">
        <f t="shared" si="1245"/>
        <v>20565.8</v>
      </c>
      <c r="N493" s="104">
        <f>F493+500</f>
        <v>20515.8</v>
      </c>
      <c r="O493" s="340">
        <f t="shared" si="1246"/>
        <v>20515.8</v>
      </c>
      <c r="P493" s="104">
        <f>F493+460</f>
        <v>20475.8</v>
      </c>
      <c r="Q493" s="340">
        <f t="shared" si="1247"/>
        <v>20475.8</v>
      </c>
      <c r="R493" s="104">
        <f>F493+440</f>
        <v>20455.8</v>
      </c>
      <c r="S493" s="340">
        <f t="shared" si="1248"/>
        <v>20455.8</v>
      </c>
      <c r="T493" s="104">
        <f>F493+400</f>
        <v>20415.8</v>
      </c>
      <c r="U493" s="340">
        <f t="shared" si="1249"/>
        <v>20415.8</v>
      </c>
      <c r="V493" s="104">
        <f>F493+370</f>
        <v>20385.8</v>
      </c>
      <c r="W493" s="340">
        <f t="shared" si="1250"/>
        <v>20385.8</v>
      </c>
      <c r="X493" s="145"/>
      <c r="Y493" s="140"/>
      <c r="Z493" s="146"/>
      <c r="AA493" s="147"/>
      <c r="AB493" s="442">
        <v>882</v>
      </c>
    </row>
    <row r="494" spans="1:28" ht="12.6" customHeight="1" x14ac:dyDescent="0.2">
      <c r="A494" s="4"/>
      <c r="B494" s="881" t="s">
        <v>488</v>
      </c>
      <c r="C494" s="715"/>
      <c r="D494" s="715"/>
      <c r="E494" s="715"/>
      <c r="F494" s="418">
        <f>24*X2</f>
        <v>23664</v>
      </c>
      <c r="G494" s="326">
        <f t="shared" ref="G494:G496" si="1252">+F494*$X$1</f>
        <v>23664</v>
      </c>
      <c r="H494" s="105">
        <f>F494+3000</f>
        <v>26664</v>
      </c>
      <c r="I494" s="326">
        <f t="shared" si="1243"/>
        <v>26664</v>
      </c>
      <c r="J494" s="105">
        <f>F494+700</f>
        <v>24364</v>
      </c>
      <c r="K494" s="326">
        <f t="shared" si="1244"/>
        <v>24364</v>
      </c>
      <c r="L494" s="105">
        <f>F494+550</f>
        <v>24214</v>
      </c>
      <c r="M494" s="326">
        <f t="shared" si="1245"/>
        <v>24214</v>
      </c>
      <c r="N494" s="105">
        <f>F494+500</f>
        <v>24164</v>
      </c>
      <c r="O494" s="326">
        <f t="shared" si="1246"/>
        <v>24164</v>
      </c>
      <c r="P494" s="105">
        <f>F494+460</f>
        <v>24124</v>
      </c>
      <c r="Q494" s="326">
        <f t="shared" si="1247"/>
        <v>24124</v>
      </c>
      <c r="R494" s="105">
        <f>F494+440</f>
        <v>24104</v>
      </c>
      <c r="S494" s="326">
        <f t="shared" si="1248"/>
        <v>24104</v>
      </c>
      <c r="T494" s="105">
        <f>F494+400</f>
        <v>24064</v>
      </c>
      <c r="U494" s="326">
        <f t="shared" si="1249"/>
        <v>24064</v>
      </c>
      <c r="V494" s="105">
        <f>F494+370</f>
        <v>24034</v>
      </c>
      <c r="W494" s="326">
        <f t="shared" si="1250"/>
        <v>24034</v>
      </c>
      <c r="X494" s="145"/>
      <c r="Y494" s="140"/>
      <c r="Z494" s="146"/>
      <c r="AA494" s="147"/>
      <c r="AB494" s="442">
        <v>883</v>
      </c>
    </row>
    <row r="495" spans="1:28" ht="12.6" customHeight="1" x14ac:dyDescent="0.2">
      <c r="A495" s="4"/>
      <c r="B495" s="669" t="s">
        <v>808</v>
      </c>
      <c r="C495" s="683"/>
      <c r="D495" s="683"/>
      <c r="E495" s="684"/>
      <c r="F495" s="417">
        <f>16.1*X2</f>
        <v>15874.600000000002</v>
      </c>
      <c r="G495" s="340">
        <f t="shared" si="1252"/>
        <v>15874.600000000002</v>
      </c>
      <c r="H495" s="104">
        <f>F495+4000</f>
        <v>19874.600000000002</v>
      </c>
      <c r="I495" s="340">
        <f t="shared" ref="I495:I496" si="1253">+H495*$X$1</f>
        <v>19874.600000000002</v>
      </c>
      <c r="J495" s="104">
        <f>F495+1000</f>
        <v>16874.600000000002</v>
      </c>
      <c r="K495" s="340">
        <f t="shared" ref="K495:K496" si="1254">+J495*$X$1</f>
        <v>16874.600000000002</v>
      </c>
      <c r="L495" s="104">
        <f>F495+900</f>
        <v>16774.600000000002</v>
      </c>
      <c r="M495" s="340">
        <f t="shared" ref="M495:M496" si="1255">+L495*$X$1</f>
        <v>16774.600000000002</v>
      </c>
      <c r="N495" s="104">
        <f>F495+850</f>
        <v>16724.600000000002</v>
      </c>
      <c r="O495" s="340">
        <f t="shared" ref="O495:O496" si="1256">+N495*$X$1</f>
        <v>16724.600000000002</v>
      </c>
      <c r="P495" s="104">
        <f>F495+800</f>
        <v>16674.600000000002</v>
      </c>
      <c r="Q495" s="340">
        <f t="shared" ref="Q495:Q496" si="1257">+P495*$X$1</f>
        <v>16674.600000000002</v>
      </c>
      <c r="R495" s="104">
        <f>F495+770</f>
        <v>16644.600000000002</v>
      </c>
      <c r="S495" s="340">
        <f t="shared" ref="S495:S496" si="1258">+R495*$X$1</f>
        <v>16644.600000000002</v>
      </c>
      <c r="T495" s="104">
        <f>F495+730</f>
        <v>16604.600000000002</v>
      </c>
      <c r="U495" s="340">
        <f t="shared" ref="U495:U496" si="1259">+T495*$X$1</f>
        <v>16604.600000000002</v>
      </c>
      <c r="V495" s="104">
        <f>F495+690</f>
        <v>16564.600000000002</v>
      </c>
      <c r="W495" s="340">
        <f t="shared" ref="W495:W496" si="1260">+V495*$X$1</f>
        <v>16564.600000000002</v>
      </c>
      <c r="X495" s="145"/>
      <c r="Y495" s="140"/>
      <c r="Z495" s="146"/>
      <c r="AA495" s="147"/>
      <c r="AB495" s="442" t="s">
        <v>807</v>
      </c>
    </row>
    <row r="496" spans="1:28" ht="12.6" customHeight="1" x14ac:dyDescent="0.2">
      <c r="A496" s="4"/>
      <c r="B496" s="915" t="s">
        <v>809</v>
      </c>
      <c r="C496" s="686"/>
      <c r="D496" s="686"/>
      <c r="E496" s="687"/>
      <c r="F496" s="418">
        <f>16.1*X2</f>
        <v>15874.600000000002</v>
      </c>
      <c r="G496" s="326">
        <f t="shared" si="1252"/>
        <v>15874.600000000002</v>
      </c>
      <c r="H496" s="105">
        <f>F496+3000</f>
        <v>18874.600000000002</v>
      </c>
      <c r="I496" s="326">
        <f t="shared" si="1253"/>
        <v>18874.600000000002</v>
      </c>
      <c r="J496" s="105">
        <f>F496+700</f>
        <v>16574.600000000002</v>
      </c>
      <c r="K496" s="326">
        <f t="shared" si="1254"/>
        <v>16574.600000000002</v>
      </c>
      <c r="L496" s="105">
        <f>F496+550</f>
        <v>16424.600000000002</v>
      </c>
      <c r="M496" s="326">
        <f t="shared" si="1255"/>
        <v>16424.600000000002</v>
      </c>
      <c r="N496" s="105">
        <f>F496+500</f>
        <v>16374.600000000002</v>
      </c>
      <c r="O496" s="326">
        <f t="shared" si="1256"/>
        <v>16374.600000000002</v>
      </c>
      <c r="P496" s="105">
        <f>F496+460</f>
        <v>16334.600000000002</v>
      </c>
      <c r="Q496" s="326">
        <f t="shared" si="1257"/>
        <v>16334.600000000002</v>
      </c>
      <c r="R496" s="105">
        <f>F496+440</f>
        <v>16314.600000000002</v>
      </c>
      <c r="S496" s="326">
        <f t="shared" si="1258"/>
        <v>16314.600000000002</v>
      </c>
      <c r="T496" s="105">
        <f>F496+400</f>
        <v>16274.600000000002</v>
      </c>
      <c r="U496" s="326">
        <f t="shared" si="1259"/>
        <v>16274.600000000002</v>
      </c>
      <c r="V496" s="105">
        <f>F496+370</f>
        <v>16244.600000000002</v>
      </c>
      <c r="W496" s="326">
        <f t="shared" si="1260"/>
        <v>16244.600000000002</v>
      </c>
      <c r="X496" s="145"/>
      <c r="Y496" s="140"/>
      <c r="Z496" s="146"/>
      <c r="AA496" s="147"/>
      <c r="AB496" s="442">
        <v>886</v>
      </c>
    </row>
    <row r="497" spans="1:28" ht="12.6" customHeight="1" x14ac:dyDescent="0.2">
      <c r="A497" s="4"/>
      <c r="B497" s="872" t="s">
        <v>753</v>
      </c>
      <c r="C497" s="681"/>
      <c r="D497" s="681"/>
      <c r="E497" s="681"/>
      <c r="F497" s="413">
        <f>23.5*X2</f>
        <v>23171</v>
      </c>
      <c r="G497" s="304">
        <f t="shared" ref="G497" si="1261">+F497*$X$1</f>
        <v>23171</v>
      </c>
      <c r="H497" s="104">
        <f>F497+4000</f>
        <v>27171</v>
      </c>
      <c r="I497" s="340">
        <f t="shared" ref="I497:I500" si="1262">+H497*$X$1</f>
        <v>27171</v>
      </c>
      <c r="J497" s="104">
        <f>F497+1000</f>
        <v>24171</v>
      </c>
      <c r="K497" s="340">
        <f t="shared" ref="K497:K500" si="1263">+J497*$X$1</f>
        <v>24171</v>
      </c>
      <c r="L497" s="104">
        <f>F497+900</f>
        <v>24071</v>
      </c>
      <c r="M497" s="340">
        <f t="shared" ref="M497:M500" si="1264">+L497*$X$1</f>
        <v>24071</v>
      </c>
      <c r="N497" s="104">
        <f>F497+850</f>
        <v>24021</v>
      </c>
      <c r="O497" s="340">
        <f t="shared" ref="O497:O500" si="1265">+N497*$X$1</f>
        <v>24021</v>
      </c>
      <c r="P497" s="104">
        <f>F497+800</f>
        <v>23971</v>
      </c>
      <c r="Q497" s="340">
        <f t="shared" ref="Q497:Q500" si="1266">+P497*$X$1</f>
        <v>23971</v>
      </c>
      <c r="R497" s="104">
        <f>F497+770</f>
        <v>23941</v>
      </c>
      <c r="S497" s="340">
        <f t="shared" ref="S497:S500" si="1267">+R497*$X$1</f>
        <v>23941</v>
      </c>
      <c r="T497" s="104">
        <f>F497+730</f>
        <v>23901</v>
      </c>
      <c r="U497" s="340">
        <f t="shared" ref="U497:U500" si="1268">+T497*$X$1</f>
        <v>23901</v>
      </c>
      <c r="V497" s="104">
        <f>F497+690</f>
        <v>23861</v>
      </c>
      <c r="W497" s="340">
        <f t="shared" ref="W497:W500" si="1269">+V497*$X$1</f>
        <v>23861</v>
      </c>
      <c r="X497" s="145"/>
      <c r="Y497" s="140"/>
      <c r="Z497" s="146"/>
      <c r="AA497" s="147"/>
      <c r="AB497" s="442" t="s">
        <v>735</v>
      </c>
    </row>
    <row r="498" spans="1:28" ht="12.6" customHeight="1" x14ac:dyDescent="0.2">
      <c r="A498" s="4"/>
      <c r="B498" s="881" t="s">
        <v>752</v>
      </c>
      <c r="C498" s="715"/>
      <c r="D498" s="715"/>
      <c r="E498" s="715"/>
      <c r="F498" s="412">
        <f>23.5*X2</f>
        <v>23171</v>
      </c>
      <c r="G498" s="303">
        <f t="shared" ref="G498" si="1270">+F498*$X$1</f>
        <v>23171</v>
      </c>
      <c r="H498" s="105">
        <f>F498+3000</f>
        <v>26171</v>
      </c>
      <c r="I498" s="326">
        <f t="shared" si="1262"/>
        <v>26171</v>
      </c>
      <c r="J498" s="105">
        <f>F498+700</f>
        <v>23871</v>
      </c>
      <c r="K498" s="326">
        <f t="shared" si="1263"/>
        <v>23871</v>
      </c>
      <c r="L498" s="105">
        <f>F498+550</f>
        <v>23721</v>
      </c>
      <c r="M498" s="326">
        <f t="shared" si="1264"/>
        <v>23721</v>
      </c>
      <c r="N498" s="105">
        <f>F498+500</f>
        <v>23671</v>
      </c>
      <c r="O498" s="326">
        <f t="shared" si="1265"/>
        <v>23671</v>
      </c>
      <c r="P498" s="105">
        <f>F498+460</f>
        <v>23631</v>
      </c>
      <c r="Q498" s="326">
        <f t="shared" si="1266"/>
        <v>23631</v>
      </c>
      <c r="R498" s="105">
        <f>F498+440</f>
        <v>23611</v>
      </c>
      <c r="S498" s="326">
        <f t="shared" si="1267"/>
        <v>23611</v>
      </c>
      <c r="T498" s="105">
        <f>F498+400</f>
        <v>23571</v>
      </c>
      <c r="U498" s="326">
        <f t="shared" si="1268"/>
        <v>23571</v>
      </c>
      <c r="V498" s="105">
        <f>F498+370</f>
        <v>23541</v>
      </c>
      <c r="W498" s="326">
        <f t="shared" si="1269"/>
        <v>23541</v>
      </c>
      <c r="X498" s="145"/>
      <c r="Y498" s="140"/>
      <c r="Z498" s="146"/>
      <c r="AA498" s="147"/>
      <c r="AB498" s="442">
        <v>887</v>
      </c>
    </row>
    <row r="499" spans="1:28" ht="12.6" customHeight="1" x14ac:dyDescent="0.2">
      <c r="A499" s="4"/>
      <c r="B499" s="730" t="s">
        <v>663</v>
      </c>
      <c r="C499" s="675"/>
      <c r="D499" s="675"/>
      <c r="E499" s="675"/>
      <c r="F499" s="413">
        <f>14.7*X2</f>
        <v>14494.199999999999</v>
      </c>
      <c r="G499" s="304">
        <f t="shared" ref="G499" si="1271">+F499*$X$1</f>
        <v>14494.199999999999</v>
      </c>
      <c r="H499" s="104">
        <f>F499+3000</f>
        <v>17494.199999999997</v>
      </c>
      <c r="I499" s="340">
        <f t="shared" si="1262"/>
        <v>17494.199999999997</v>
      </c>
      <c r="J499" s="104">
        <f>F499+700</f>
        <v>15194.199999999999</v>
      </c>
      <c r="K499" s="340">
        <f t="shared" si="1263"/>
        <v>15194.199999999999</v>
      </c>
      <c r="L499" s="104">
        <f>F499+550</f>
        <v>15044.199999999999</v>
      </c>
      <c r="M499" s="340">
        <f t="shared" si="1264"/>
        <v>15044.199999999999</v>
      </c>
      <c r="N499" s="104">
        <f>F499+500</f>
        <v>14994.199999999999</v>
      </c>
      <c r="O499" s="340">
        <f t="shared" si="1265"/>
        <v>14994.199999999999</v>
      </c>
      <c r="P499" s="104">
        <f>F499+460</f>
        <v>14954.199999999999</v>
      </c>
      <c r="Q499" s="340">
        <f t="shared" si="1266"/>
        <v>14954.199999999999</v>
      </c>
      <c r="R499" s="104">
        <f>F499+440</f>
        <v>14934.199999999999</v>
      </c>
      <c r="S499" s="340">
        <f t="shared" si="1267"/>
        <v>14934.199999999999</v>
      </c>
      <c r="T499" s="104">
        <f>F499+400</f>
        <v>14894.199999999999</v>
      </c>
      <c r="U499" s="340">
        <f t="shared" si="1268"/>
        <v>14894.199999999999</v>
      </c>
      <c r="V499" s="104">
        <f>F499+370</f>
        <v>14864.199999999999</v>
      </c>
      <c r="W499" s="340">
        <f t="shared" si="1269"/>
        <v>14864.199999999999</v>
      </c>
      <c r="X499" s="145"/>
      <c r="Y499" s="140"/>
      <c r="Z499" s="146"/>
      <c r="AA499" s="147"/>
      <c r="AB499" s="442">
        <v>888</v>
      </c>
    </row>
    <row r="500" spans="1:28" ht="12.6" customHeight="1" x14ac:dyDescent="0.2">
      <c r="A500" s="4"/>
      <c r="B500" s="703" t="s">
        <v>448</v>
      </c>
      <c r="C500" s="649"/>
      <c r="D500" s="649"/>
      <c r="E500" s="649"/>
      <c r="F500" s="412">
        <f>16.2*X2</f>
        <v>15973.199999999999</v>
      </c>
      <c r="G500" s="303">
        <f t="shared" ref="G500" si="1272">+F500*$X$1</f>
        <v>15973.199999999999</v>
      </c>
      <c r="H500" s="105">
        <f>F500+3000</f>
        <v>18973.199999999997</v>
      </c>
      <c r="I500" s="326">
        <f t="shared" si="1262"/>
        <v>18973.199999999997</v>
      </c>
      <c r="J500" s="105">
        <f>F500+700</f>
        <v>16673.199999999997</v>
      </c>
      <c r="K500" s="326">
        <f t="shared" si="1263"/>
        <v>16673.199999999997</v>
      </c>
      <c r="L500" s="105">
        <f>F500+550</f>
        <v>16523.199999999997</v>
      </c>
      <c r="M500" s="326">
        <f t="shared" si="1264"/>
        <v>16523.199999999997</v>
      </c>
      <c r="N500" s="105">
        <f>F500+500</f>
        <v>16473.199999999997</v>
      </c>
      <c r="O500" s="326">
        <f t="shared" si="1265"/>
        <v>16473.199999999997</v>
      </c>
      <c r="P500" s="105">
        <f>F500+460</f>
        <v>16433.199999999997</v>
      </c>
      <c r="Q500" s="326">
        <f t="shared" si="1266"/>
        <v>16433.199999999997</v>
      </c>
      <c r="R500" s="105">
        <f>F500+440</f>
        <v>16413.199999999997</v>
      </c>
      <c r="S500" s="326">
        <f t="shared" si="1267"/>
        <v>16413.199999999997</v>
      </c>
      <c r="T500" s="105">
        <f>F500+400</f>
        <v>16373.199999999999</v>
      </c>
      <c r="U500" s="326">
        <f t="shared" si="1268"/>
        <v>16373.199999999999</v>
      </c>
      <c r="V500" s="105">
        <f>F500+370</f>
        <v>16343.199999999999</v>
      </c>
      <c r="W500" s="326">
        <f t="shared" si="1269"/>
        <v>16343.199999999999</v>
      </c>
      <c r="X500" s="145"/>
      <c r="Y500" s="140"/>
      <c r="Z500" s="146"/>
      <c r="AA500" s="147"/>
      <c r="AB500" s="442">
        <v>894</v>
      </c>
    </row>
    <row r="501" spans="1:28" ht="12.6" customHeight="1" x14ac:dyDescent="0.2">
      <c r="A501" s="4"/>
      <c r="B501" s="730" t="s">
        <v>712</v>
      </c>
      <c r="C501" s="675"/>
      <c r="D501" s="675"/>
      <c r="E501" s="675"/>
      <c r="F501" s="413">
        <f>15.5*X2</f>
        <v>15283</v>
      </c>
      <c r="G501" s="304">
        <f t="shared" ref="G501:G504" si="1273">+F501*$X$1</f>
        <v>15283</v>
      </c>
      <c r="H501" s="104">
        <f>F501+4000</f>
        <v>19283</v>
      </c>
      <c r="I501" s="340">
        <f t="shared" ref="I501:I502" si="1274">+H501*$X$1</f>
        <v>19283</v>
      </c>
      <c r="J501" s="104">
        <f>F501+1000</f>
        <v>16283</v>
      </c>
      <c r="K501" s="340">
        <f t="shared" ref="K501:K504" si="1275">+J501*$X$1</f>
        <v>16283</v>
      </c>
      <c r="L501" s="104">
        <f>F501+900</f>
        <v>16183</v>
      </c>
      <c r="M501" s="340">
        <f t="shared" ref="M501:M504" si="1276">+L501*$X$1</f>
        <v>16183</v>
      </c>
      <c r="N501" s="104">
        <f>F501+850</f>
        <v>16133</v>
      </c>
      <c r="O501" s="340">
        <f t="shared" ref="O501:O504" si="1277">+N501*$X$1</f>
        <v>16133</v>
      </c>
      <c r="P501" s="104">
        <f>F501+800</f>
        <v>16083</v>
      </c>
      <c r="Q501" s="340">
        <f t="shared" ref="Q501:Q504" si="1278">+P501*$X$1</f>
        <v>16083</v>
      </c>
      <c r="R501" s="104">
        <f>F501+770</f>
        <v>16053</v>
      </c>
      <c r="S501" s="340">
        <f t="shared" ref="S501:S504" si="1279">+R501*$X$1</f>
        <v>16053</v>
      </c>
      <c r="T501" s="104">
        <f>F501+730</f>
        <v>16013</v>
      </c>
      <c r="U501" s="340">
        <f t="shared" ref="U501:U504" si="1280">+T501*$X$1</f>
        <v>16013</v>
      </c>
      <c r="V501" s="104">
        <f>F501+690</f>
        <v>15973</v>
      </c>
      <c r="W501" s="340">
        <f t="shared" ref="W501:W504" si="1281">+V501*$X$1</f>
        <v>15973</v>
      </c>
      <c r="X501" s="145"/>
      <c r="Y501" s="140"/>
      <c r="Z501" s="146"/>
      <c r="AA501" s="147"/>
      <c r="AB501" s="442">
        <v>896</v>
      </c>
    </row>
    <row r="502" spans="1:28" ht="12.6" customHeight="1" x14ac:dyDescent="0.2">
      <c r="A502" s="4"/>
      <c r="B502" s="703" t="s">
        <v>662</v>
      </c>
      <c r="C502" s="629"/>
      <c r="D502" s="629"/>
      <c r="E502" s="629"/>
      <c r="F502" s="412">
        <f>15.5*X2</f>
        <v>15283</v>
      </c>
      <c r="G502" s="303">
        <f t="shared" si="1273"/>
        <v>15283</v>
      </c>
      <c r="H502" s="105">
        <f>F502+3000</f>
        <v>18283</v>
      </c>
      <c r="I502" s="326">
        <f t="shared" si="1274"/>
        <v>18283</v>
      </c>
      <c r="J502" s="105">
        <f>F502+700</f>
        <v>15983</v>
      </c>
      <c r="K502" s="326">
        <f t="shared" si="1275"/>
        <v>15983</v>
      </c>
      <c r="L502" s="105">
        <f>F502+550</f>
        <v>15833</v>
      </c>
      <c r="M502" s="326">
        <f t="shared" si="1276"/>
        <v>15833</v>
      </c>
      <c r="N502" s="105">
        <f>F502+500</f>
        <v>15783</v>
      </c>
      <c r="O502" s="326">
        <f t="shared" si="1277"/>
        <v>15783</v>
      </c>
      <c r="P502" s="105">
        <f>F502+460</f>
        <v>15743</v>
      </c>
      <c r="Q502" s="326">
        <f t="shared" si="1278"/>
        <v>15743</v>
      </c>
      <c r="R502" s="105">
        <f>F502+440</f>
        <v>15723</v>
      </c>
      <c r="S502" s="326">
        <f t="shared" si="1279"/>
        <v>15723</v>
      </c>
      <c r="T502" s="105">
        <f>F502+400</f>
        <v>15683</v>
      </c>
      <c r="U502" s="326">
        <f t="shared" si="1280"/>
        <v>15683</v>
      </c>
      <c r="V502" s="105">
        <f>F502+370</f>
        <v>15653</v>
      </c>
      <c r="W502" s="326">
        <f t="shared" si="1281"/>
        <v>15653</v>
      </c>
      <c r="X502" s="145"/>
      <c r="Y502" s="140"/>
      <c r="Z502" s="146"/>
      <c r="AA502" s="147"/>
      <c r="AB502" s="442">
        <v>896</v>
      </c>
    </row>
    <row r="503" spans="1:28" ht="12.6" customHeight="1" x14ac:dyDescent="0.2">
      <c r="A503" s="4"/>
      <c r="B503" s="730" t="s">
        <v>665</v>
      </c>
      <c r="C503" s="866"/>
      <c r="D503" s="866"/>
      <c r="E503" s="866"/>
      <c r="F503" s="413">
        <f>19*X2</f>
        <v>18734</v>
      </c>
      <c r="G503" s="304">
        <f t="shared" si="1273"/>
        <v>18734</v>
      </c>
      <c r="H503" s="104">
        <f>F503+4000</f>
        <v>22734</v>
      </c>
      <c r="I503" s="340">
        <f t="shared" ref="I503:I504" si="1282">+H503*$X$1</f>
        <v>22734</v>
      </c>
      <c r="J503" s="104">
        <f>F503+1000</f>
        <v>19734</v>
      </c>
      <c r="K503" s="340">
        <f t="shared" si="1275"/>
        <v>19734</v>
      </c>
      <c r="L503" s="104">
        <f>F503+900</f>
        <v>19634</v>
      </c>
      <c r="M503" s="340">
        <f t="shared" si="1276"/>
        <v>19634</v>
      </c>
      <c r="N503" s="104">
        <f>F503+850</f>
        <v>19584</v>
      </c>
      <c r="O503" s="340">
        <f t="shared" si="1277"/>
        <v>19584</v>
      </c>
      <c r="P503" s="104">
        <f>F503+800</f>
        <v>19534</v>
      </c>
      <c r="Q503" s="340">
        <f t="shared" si="1278"/>
        <v>19534</v>
      </c>
      <c r="R503" s="104">
        <f>F503+770</f>
        <v>19504</v>
      </c>
      <c r="S503" s="340">
        <f t="shared" si="1279"/>
        <v>19504</v>
      </c>
      <c r="T503" s="104">
        <f>F503+730</f>
        <v>19464</v>
      </c>
      <c r="U503" s="340">
        <f t="shared" si="1280"/>
        <v>19464</v>
      </c>
      <c r="V503" s="104">
        <f>F503+690</f>
        <v>19424</v>
      </c>
      <c r="W503" s="340">
        <f t="shared" si="1281"/>
        <v>19424</v>
      </c>
      <c r="X503" s="145"/>
      <c r="Y503" s="140"/>
      <c r="Z503" s="146"/>
      <c r="AA503" s="147"/>
      <c r="AB503" s="442">
        <v>899</v>
      </c>
    </row>
    <row r="504" spans="1:28" ht="12.6" customHeight="1" x14ac:dyDescent="0.2">
      <c r="A504" s="4"/>
      <c r="B504" s="703" t="s">
        <v>674</v>
      </c>
      <c r="C504" s="884"/>
      <c r="D504" s="884"/>
      <c r="E504" s="884"/>
      <c r="F504" s="412">
        <f>19*X2</f>
        <v>18734</v>
      </c>
      <c r="G504" s="303">
        <f t="shared" si="1273"/>
        <v>18734</v>
      </c>
      <c r="H504" s="105">
        <f>F504+3000</f>
        <v>21734</v>
      </c>
      <c r="I504" s="326">
        <f t="shared" si="1282"/>
        <v>21734</v>
      </c>
      <c r="J504" s="105">
        <f>F504+700</f>
        <v>19434</v>
      </c>
      <c r="K504" s="326">
        <f t="shared" si="1275"/>
        <v>19434</v>
      </c>
      <c r="L504" s="105">
        <f>F504+550</f>
        <v>19284</v>
      </c>
      <c r="M504" s="326">
        <f t="shared" si="1276"/>
        <v>19284</v>
      </c>
      <c r="N504" s="105">
        <f>F504+500</f>
        <v>19234</v>
      </c>
      <c r="O504" s="326">
        <f t="shared" si="1277"/>
        <v>19234</v>
      </c>
      <c r="P504" s="105">
        <f>F504+460</f>
        <v>19194</v>
      </c>
      <c r="Q504" s="326">
        <f t="shared" si="1278"/>
        <v>19194</v>
      </c>
      <c r="R504" s="105">
        <f>F504+440</f>
        <v>19174</v>
      </c>
      <c r="S504" s="326">
        <f t="shared" si="1279"/>
        <v>19174</v>
      </c>
      <c r="T504" s="105">
        <f>F504+400</f>
        <v>19134</v>
      </c>
      <c r="U504" s="326">
        <f t="shared" si="1280"/>
        <v>19134</v>
      </c>
      <c r="V504" s="105">
        <f>F504+370</f>
        <v>19104</v>
      </c>
      <c r="W504" s="326">
        <f t="shared" si="1281"/>
        <v>19104</v>
      </c>
      <c r="X504" s="145"/>
      <c r="Y504" s="140"/>
      <c r="Z504" s="146"/>
      <c r="AA504" s="147"/>
      <c r="AB504" s="442" t="s">
        <v>675</v>
      </c>
    </row>
    <row r="505" spans="1:28" ht="12.6" customHeight="1" x14ac:dyDescent="0.2">
      <c r="A505" s="4"/>
      <c r="B505" s="730" t="s">
        <v>521</v>
      </c>
      <c r="C505" s="734"/>
      <c r="D505" s="734"/>
      <c r="E505" s="734"/>
      <c r="F505" s="413">
        <f>20*X2</f>
        <v>19720</v>
      </c>
      <c r="G505" s="304">
        <f t="shared" ref="G505" si="1283">+F505*$X$1</f>
        <v>19720</v>
      </c>
      <c r="H505" s="104">
        <f>F505+4000</f>
        <v>23720</v>
      </c>
      <c r="I505" s="340">
        <f t="shared" ref="I505:I507" si="1284">+H505*$X$1</f>
        <v>23720</v>
      </c>
      <c r="J505" s="104">
        <f>F505+1000</f>
        <v>20720</v>
      </c>
      <c r="K505" s="340">
        <f t="shared" ref="K505:K507" si="1285">+J505*$X$1</f>
        <v>20720</v>
      </c>
      <c r="L505" s="104">
        <f>F505+900</f>
        <v>20620</v>
      </c>
      <c r="M505" s="340">
        <f t="shared" ref="M505:M507" si="1286">+L505*$X$1</f>
        <v>20620</v>
      </c>
      <c r="N505" s="104">
        <f>F505+850</f>
        <v>20570</v>
      </c>
      <c r="O505" s="340">
        <f t="shared" ref="O505:O507" si="1287">+N505*$X$1</f>
        <v>20570</v>
      </c>
      <c r="P505" s="104">
        <f>F505+800</f>
        <v>20520</v>
      </c>
      <c r="Q505" s="340">
        <f t="shared" ref="Q505:Q507" si="1288">+P505*$X$1</f>
        <v>20520</v>
      </c>
      <c r="R505" s="104">
        <f>F505+770</f>
        <v>20490</v>
      </c>
      <c r="S505" s="340">
        <f t="shared" ref="S505:S507" si="1289">+R505*$X$1</f>
        <v>20490</v>
      </c>
      <c r="T505" s="104">
        <f>F505+730</f>
        <v>20450</v>
      </c>
      <c r="U505" s="340">
        <f t="shared" ref="U505:U507" si="1290">+T505*$X$1</f>
        <v>20450</v>
      </c>
      <c r="V505" s="104">
        <f>F505+690</f>
        <v>20410</v>
      </c>
      <c r="W505" s="340">
        <f t="shared" ref="W505:W507" si="1291">+V505*$X$1</f>
        <v>20410</v>
      </c>
      <c r="X505" s="145"/>
      <c r="Y505" s="140"/>
      <c r="Z505" s="146"/>
      <c r="AA505" s="147"/>
      <c r="AB505" s="442">
        <v>900</v>
      </c>
    </row>
    <row r="506" spans="1:28" ht="12.6" customHeight="1" x14ac:dyDescent="0.2">
      <c r="A506" s="4"/>
      <c r="B506" s="750" t="s">
        <v>447</v>
      </c>
      <c r="C506" s="644"/>
      <c r="D506" s="644"/>
      <c r="E506" s="645"/>
      <c r="F506" s="344">
        <v>15372</v>
      </c>
      <c r="G506" s="303">
        <f>+F506*$X$1</f>
        <v>15372</v>
      </c>
      <c r="H506" s="105">
        <f>F506+4000</f>
        <v>19372</v>
      </c>
      <c r="I506" s="326">
        <f t="shared" si="1284"/>
        <v>19372</v>
      </c>
      <c r="J506" s="105">
        <f>F506+1000</f>
        <v>16372</v>
      </c>
      <c r="K506" s="326">
        <f t="shared" si="1285"/>
        <v>16372</v>
      </c>
      <c r="L506" s="105">
        <f>F506+900</f>
        <v>16272</v>
      </c>
      <c r="M506" s="326">
        <f t="shared" si="1286"/>
        <v>16272</v>
      </c>
      <c r="N506" s="105">
        <f>F506+850</f>
        <v>16222</v>
      </c>
      <c r="O506" s="326">
        <f t="shared" si="1287"/>
        <v>16222</v>
      </c>
      <c r="P506" s="105">
        <f>F506+800</f>
        <v>16172</v>
      </c>
      <c r="Q506" s="326">
        <f t="shared" si="1288"/>
        <v>16172</v>
      </c>
      <c r="R506" s="105">
        <f>F506+770</f>
        <v>16142</v>
      </c>
      <c r="S506" s="326">
        <f t="shared" si="1289"/>
        <v>16142</v>
      </c>
      <c r="T506" s="105">
        <f>F506+730</f>
        <v>16102</v>
      </c>
      <c r="U506" s="326">
        <f t="shared" si="1290"/>
        <v>16102</v>
      </c>
      <c r="V506" s="105">
        <f>F506+690</f>
        <v>16062</v>
      </c>
      <c r="W506" s="326">
        <f t="shared" si="1291"/>
        <v>16062</v>
      </c>
      <c r="X506" s="145"/>
      <c r="Y506" s="140"/>
      <c r="Z506" s="146"/>
      <c r="AA506" s="147"/>
      <c r="AB506" s="442">
        <v>902</v>
      </c>
    </row>
    <row r="507" spans="1:28" ht="12.6" customHeight="1" x14ac:dyDescent="0.2">
      <c r="A507" s="4"/>
      <c r="B507" s="730" t="s">
        <v>446</v>
      </c>
      <c r="C507" s="734"/>
      <c r="D507" s="734"/>
      <c r="E507" s="734"/>
      <c r="F507" s="304">
        <v>19781</v>
      </c>
      <c r="G507" s="304">
        <f>+F507*$X$1</f>
        <v>19781</v>
      </c>
      <c r="H507" s="104">
        <f>F507+3000</f>
        <v>22781</v>
      </c>
      <c r="I507" s="340">
        <f t="shared" si="1284"/>
        <v>22781</v>
      </c>
      <c r="J507" s="104">
        <f>F507+700</f>
        <v>20481</v>
      </c>
      <c r="K507" s="340">
        <f t="shared" si="1285"/>
        <v>20481</v>
      </c>
      <c r="L507" s="104">
        <f>F507+550</f>
        <v>20331</v>
      </c>
      <c r="M507" s="340">
        <f t="shared" si="1286"/>
        <v>20331</v>
      </c>
      <c r="N507" s="104">
        <f>F507+500</f>
        <v>20281</v>
      </c>
      <c r="O507" s="340">
        <f t="shared" si="1287"/>
        <v>20281</v>
      </c>
      <c r="P507" s="104">
        <f>F507+460</f>
        <v>20241</v>
      </c>
      <c r="Q507" s="340">
        <f t="shared" si="1288"/>
        <v>20241</v>
      </c>
      <c r="R507" s="104">
        <f>F507+440</f>
        <v>20221</v>
      </c>
      <c r="S507" s="340">
        <f t="shared" si="1289"/>
        <v>20221</v>
      </c>
      <c r="T507" s="104">
        <f>F507+400</f>
        <v>20181</v>
      </c>
      <c r="U507" s="340">
        <f t="shared" si="1290"/>
        <v>20181</v>
      </c>
      <c r="V507" s="104">
        <f>F507+370</f>
        <v>20151</v>
      </c>
      <c r="W507" s="340">
        <f t="shared" si="1291"/>
        <v>20151</v>
      </c>
      <c r="X507" s="145"/>
      <c r="Y507" s="140"/>
      <c r="Z507" s="146"/>
      <c r="AA507" s="147"/>
      <c r="AB507" s="442">
        <v>905</v>
      </c>
    </row>
    <row r="508" spans="1:28" ht="12.6" customHeight="1" x14ac:dyDescent="0.2">
      <c r="A508" s="4"/>
      <c r="B508" s="703" t="s">
        <v>723</v>
      </c>
      <c r="C508" s="649"/>
      <c r="D508" s="649"/>
      <c r="E508" s="649"/>
      <c r="F508" s="412">
        <f>21.3*X2</f>
        <v>21001.8</v>
      </c>
      <c r="G508" s="303">
        <f>+F508*$X$1</f>
        <v>21001.8</v>
      </c>
      <c r="H508" s="105">
        <f>F508+4000</f>
        <v>25001.8</v>
      </c>
      <c r="I508" s="326">
        <f t="shared" ref="I508" si="1292">+H508*$X$1</f>
        <v>25001.8</v>
      </c>
      <c r="J508" s="105">
        <f>F508+1000</f>
        <v>22001.8</v>
      </c>
      <c r="K508" s="326">
        <f t="shared" ref="K508" si="1293">+J508*$X$1</f>
        <v>22001.8</v>
      </c>
      <c r="L508" s="105">
        <f>F508+900</f>
        <v>21901.8</v>
      </c>
      <c r="M508" s="326">
        <f t="shared" ref="M508" si="1294">+L508*$X$1</f>
        <v>21901.8</v>
      </c>
      <c r="N508" s="105">
        <f>F508+850</f>
        <v>21851.8</v>
      </c>
      <c r="O508" s="326">
        <f t="shared" ref="O508" si="1295">+N508*$X$1</f>
        <v>21851.8</v>
      </c>
      <c r="P508" s="105">
        <f>F508+800</f>
        <v>21801.8</v>
      </c>
      <c r="Q508" s="326">
        <f t="shared" ref="Q508" si="1296">+P508*$X$1</f>
        <v>21801.8</v>
      </c>
      <c r="R508" s="105">
        <f>F508+770</f>
        <v>21771.8</v>
      </c>
      <c r="S508" s="326">
        <f t="shared" ref="S508" si="1297">+R508*$X$1</f>
        <v>21771.8</v>
      </c>
      <c r="T508" s="105">
        <f>F508+730</f>
        <v>21731.8</v>
      </c>
      <c r="U508" s="326">
        <f t="shared" ref="U508" si="1298">+T508*$X$1</f>
        <v>21731.8</v>
      </c>
      <c r="V508" s="105">
        <f>F508+690</f>
        <v>21691.8</v>
      </c>
      <c r="W508" s="326">
        <f t="shared" ref="W508" si="1299">+V508*$X$1</f>
        <v>21691.8</v>
      </c>
      <c r="X508" s="145"/>
      <c r="Y508" s="140"/>
      <c r="Z508" s="146"/>
      <c r="AA508" s="147"/>
      <c r="AB508" s="442">
        <v>906</v>
      </c>
    </row>
    <row r="509" spans="1:28" ht="12.6" customHeight="1" x14ac:dyDescent="0.2">
      <c r="A509" s="4"/>
      <c r="B509" s="730" t="s">
        <v>724</v>
      </c>
      <c r="C509" s="734"/>
      <c r="D509" s="734"/>
      <c r="E509" s="734"/>
      <c r="F509" s="413">
        <f>21.3*X2</f>
        <v>21001.8</v>
      </c>
      <c r="G509" s="304">
        <f>+F509*$X$1</f>
        <v>21001.8</v>
      </c>
      <c r="H509" s="104">
        <f>F509+3000</f>
        <v>24001.8</v>
      </c>
      <c r="I509" s="340">
        <f t="shared" ref="I509:I511" si="1300">+H509*$X$1</f>
        <v>24001.8</v>
      </c>
      <c r="J509" s="104">
        <f>F509+700</f>
        <v>21701.8</v>
      </c>
      <c r="K509" s="340">
        <f t="shared" ref="K509:K511" si="1301">+J509*$X$1</f>
        <v>21701.8</v>
      </c>
      <c r="L509" s="104">
        <f>F509+550</f>
        <v>21551.8</v>
      </c>
      <c r="M509" s="340">
        <f t="shared" ref="M509:M511" si="1302">+L509*$X$1</f>
        <v>21551.8</v>
      </c>
      <c r="N509" s="104">
        <f>F509+500</f>
        <v>21501.8</v>
      </c>
      <c r="O509" s="340">
        <f t="shared" ref="O509:O511" si="1303">+N509*$X$1</f>
        <v>21501.8</v>
      </c>
      <c r="P509" s="104">
        <f>F509+460</f>
        <v>21461.8</v>
      </c>
      <c r="Q509" s="340">
        <f t="shared" ref="Q509:Q510" si="1304">+P509*$X$1</f>
        <v>21461.8</v>
      </c>
      <c r="R509" s="104">
        <f>F509+440</f>
        <v>21441.8</v>
      </c>
      <c r="S509" s="340">
        <f t="shared" ref="S509:S510" si="1305">+R509*$X$1</f>
        <v>21441.8</v>
      </c>
      <c r="T509" s="104">
        <f>F509+400</f>
        <v>21401.8</v>
      </c>
      <c r="U509" s="340">
        <f t="shared" ref="U509:U510" si="1306">+T509*$X$1</f>
        <v>21401.8</v>
      </c>
      <c r="V509" s="104">
        <f>F509+370</f>
        <v>21371.8</v>
      </c>
      <c r="W509" s="340">
        <f t="shared" ref="W509:W510" si="1307">+V509*$X$1</f>
        <v>21371.8</v>
      </c>
      <c r="X509" s="145"/>
      <c r="Y509" s="140"/>
      <c r="Z509" s="146"/>
      <c r="AA509" s="147"/>
      <c r="AB509" s="442">
        <v>906</v>
      </c>
    </row>
    <row r="510" spans="1:28" ht="12.6" customHeight="1" x14ac:dyDescent="0.2">
      <c r="A510" s="4"/>
      <c r="B510" s="703" t="s">
        <v>661</v>
      </c>
      <c r="C510" s="629"/>
      <c r="D510" s="629"/>
      <c r="E510" s="629"/>
      <c r="F510" s="415">
        <f>21.1*X2</f>
        <v>20804.600000000002</v>
      </c>
      <c r="G510" s="303">
        <f t="shared" ref="G510" si="1308">+F510*$X$1</f>
        <v>20804.600000000002</v>
      </c>
      <c r="H510" s="105">
        <f>F510+4000</f>
        <v>24804.600000000002</v>
      </c>
      <c r="I510" s="326">
        <f t="shared" si="1300"/>
        <v>24804.600000000002</v>
      </c>
      <c r="J510" s="105">
        <f>F510+1000</f>
        <v>21804.600000000002</v>
      </c>
      <c r="K510" s="326">
        <f t="shared" si="1301"/>
        <v>21804.600000000002</v>
      </c>
      <c r="L510" s="105">
        <f>F510+900</f>
        <v>21704.600000000002</v>
      </c>
      <c r="M510" s="326">
        <f t="shared" si="1302"/>
        <v>21704.600000000002</v>
      </c>
      <c r="N510" s="105">
        <f>F510+850</f>
        <v>21654.600000000002</v>
      </c>
      <c r="O510" s="326">
        <f t="shared" si="1303"/>
        <v>21654.600000000002</v>
      </c>
      <c r="P510" s="105">
        <f>F510+800</f>
        <v>21604.600000000002</v>
      </c>
      <c r="Q510" s="326">
        <f t="shared" si="1304"/>
        <v>21604.600000000002</v>
      </c>
      <c r="R510" s="105">
        <f>F510+770</f>
        <v>21574.600000000002</v>
      </c>
      <c r="S510" s="326">
        <f t="shared" si="1305"/>
        <v>21574.600000000002</v>
      </c>
      <c r="T510" s="105">
        <f>F510+730</f>
        <v>21534.600000000002</v>
      </c>
      <c r="U510" s="326">
        <f t="shared" si="1306"/>
        <v>21534.600000000002</v>
      </c>
      <c r="V510" s="105">
        <f>F510+690</f>
        <v>21494.600000000002</v>
      </c>
      <c r="W510" s="326">
        <f t="shared" si="1307"/>
        <v>21494.600000000002</v>
      </c>
      <c r="X510" s="145"/>
      <c r="Y510" s="140"/>
      <c r="Z510" s="146"/>
      <c r="AA510" s="147"/>
      <c r="AB510" s="442" t="s">
        <v>676</v>
      </c>
    </row>
    <row r="511" spans="1:28" ht="12.6" customHeight="1" x14ac:dyDescent="0.2">
      <c r="A511" s="4"/>
      <c r="B511" s="730" t="s">
        <v>722</v>
      </c>
      <c r="C511" s="675"/>
      <c r="D511" s="675"/>
      <c r="E511" s="675"/>
      <c r="F511" s="414">
        <f>21.1*X2</f>
        <v>20804.600000000002</v>
      </c>
      <c r="G511" s="304">
        <f t="shared" ref="G511" si="1309">+F511*$X$1</f>
        <v>20804.600000000002</v>
      </c>
      <c r="H511" s="104">
        <f>F511+3000</f>
        <v>23804.600000000002</v>
      </c>
      <c r="I511" s="340">
        <f t="shared" si="1300"/>
        <v>23804.600000000002</v>
      </c>
      <c r="J511" s="104">
        <f>F511+700</f>
        <v>21504.600000000002</v>
      </c>
      <c r="K511" s="340">
        <f t="shared" si="1301"/>
        <v>21504.600000000002</v>
      </c>
      <c r="L511" s="104">
        <f>F511+550</f>
        <v>21354.600000000002</v>
      </c>
      <c r="M511" s="340">
        <f t="shared" si="1302"/>
        <v>21354.600000000002</v>
      </c>
      <c r="N511" s="104">
        <f>F511+500</f>
        <v>21304.600000000002</v>
      </c>
      <c r="O511" s="340">
        <f t="shared" si="1303"/>
        <v>21304.600000000002</v>
      </c>
      <c r="P511" s="104"/>
      <c r="Q511" s="340"/>
      <c r="R511" s="104"/>
      <c r="S511" s="340"/>
      <c r="T511" s="104"/>
      <c r="U511" s="340"/>
      <c r="V511" s="104"/>
      <c r="W511" s="340"/>
      <c r="X511" s="145"/>
      <c r="Y511" s="140"/>
      <c r="Z511" s="146"/>
      <c r="AA511" s="147"/>
      <c r="AB511" s="442">
        <v>907</v>
      </c>
    </row>
    <row r="512" spans="1:28" ht="12.6" customHeight="1" x14ac:dyDescent="0.2">
      <c r="A512" s="4"/>
      <c r="B512" s="1119" t="s">
        <v>631</v>
      </c>
      <c r="C512" s="1120"/>
      <c r="D512" s="1120"/>
      <c r="E512" s="1120"/>
      <c r="F512" s="303"/>
      <c r="G512" s="303"/>
      <c r="H512" s="337">
        <v>1900</v>
      </c>
      <c r="I512" s="303">
        <f t="shared" ref="I512" si="1310">+H512*$X$1</f>
        <v>1900</v>
      </c>
      <c r="J512" s="337">
        <v>800</v>
      </c>
      <c r="K512" s="303">
        <f t="shared" ref="K512" si="1311">+J512*$X$1</f>
        <v>800</v>
      </c>
      <c r="L512" s="337">
        <v>680</v>
      </c>
      <c r="M512" s="303">
        <f t="shared" ref="M512" si="1312">+L512*$X$1</f>
        <v>680</v>
      </c>
      <c r="N512" s="337">
        <v>620</v>
      </c>
      <c r="O512" s="303">
        <f t="shared" ref="O512" si="1313">+N512*$X$1</f>
        <v>620</v>
      </c>
      <c r="P512" s="337">
        <v>570</v>
      </c>
      <c r="Q512" s="303">
        <f t="shared" ref="Q512" si="1314">+P512*$X$1</f>
        <v>570</v>
      </c>
      <c r="R512" s="337">
        <v>520</v>
      </c>
      <c r="S512" s="303">
        <f t="shared" ref="S512" si="1315">+R512*$X$1</f>
        <v>520</v>
      </c>
      <c r="T512" s="337">
        <v>480</v>
      </c>
      <c r="U512" s="303">
        <f t="shared" ref="U512" si="1316">+T512*$X$1</f>
        <v>480</v>
      </c>
      <c r="V512" s="337">
        <v>450</v>
      </c>
      <c r="W512" s="303">
        <f t="shared" ref="W512" si="1317">+V512*$X$1</f>
        <v>450</v>
      </c>
      <c r="X512" s="145"/>
      <c r="Y512" s="140"/>
      <c r="Z512" s="146"/>
      <c r="AA512" s="147"/>
      <c r="AB512" s="32"/>
    </row>
    <row r="513" spans="1:34" ht="12.6" customHeight="1" x14ac:dyDescent="0.2">
      <c r="A513" s="4"/>
      <c r="B513" s="1117" t="s">
        <v>632</v>
      </c>
      <c r="C513" s="1118"/>
      <c r="D513" s="1118"/>
      <c r="E513" s="1118"/>
      <c r="F513" s="304"/>
      <c r="G513" s="304"/>
      <c r="H513" s="518">
        <v>900</v>
      </c>
      <c r="I513" s="304">
        <f t="shared" ref="I513" si="1318">+H513*$X$1</f>
        <v>900</v>
      </c>
      <c r="J513" s="518">
        <v>400</v>
      </c>
      <c r="K513" s="304">
        <f t="shared" ref="K513" si="1319">+J513*$X$1</f>
        <v>400</v>
      </c>
      <c r="L513" s="518">
        <v>340</v>
      </c>
      <c r="M513" s="304">
        <f t="shared" ref="M513" si="1320">+L513*$X$1</f>
        <v>340</v>
      </c>
      <c r="N513" s="518">
        <v>300</v>
      </c>
      <c r="O513" s="304">
        <f t="shared" ref="O513" si="1321">+N513*$X$1</f>
        <v>300</v>
      </c>
      <c r="P513" s="518">
        <v>270</v>
      </c>
      <c r="Q513" s="304">
        <f t="shared" ref="Q513" si="1322">+P513*$X$1</f>
        <v>270</v>
      </c>
      <c r="R513" s="518">
        <v>250</v>
      </c>
      <c r="S513" s="304">
        <f t="shared" ref="S513" si="1323">+R513*$X$1</f>
        <v>250</v>
      </c>
      <c r="T513" s="518">
        <v>240</v>
      </c>
      <c r="U513" s="304">
        <f t="shared" ref="U513" si="1324">+T513*$X$1</f>
        <v>240</v>
      </c>
      <c r="V513" s="518">
        <v>230</v>
      </c>
      <c r="W513" s="304">
        <f t="shared" ref="W513" si="1325">+V513*$X$1</f>
        <v>230</v>
      </c>
      <c r="X513" s="145"/>
      <c r="Y513" s="140"/>
      <c r="Z513" s="146"/>
      <c r="AA513" s="147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1053" t="s">
        <v>606</v>
      </c>
      <c r="C515" s="1054"/>
      <c r="D515" s="1054"/>
      <c r="E515" s="1054"/>
      <c r="F515" s="1054"/>
      <c r="G515" s="1054"/>
      <c r="H515" s="1054"/>
      <c r="I515" s="1054"/>
      <c r="J515" s="1054"/>
      <c r="K515" s="1054"/>
      <c r="L515" s="1054"/>
      <c r="M515" s="1054"/>
      <c r="N515" s="1054"/>
      <c r="O515" s="1054"/>
      <c r="P515" s="1054"/>
      <c r="Q515" s="1054"/>
      <c r="R515" s="1054"/>
      <c r="S515" s="1054"/>
      <c r="T515" s="1054"/>
      <c r="U515" s="1054"/>
      <c r="V515" s="1054"/>
      <c r="W515" s="1054"/>
      <c r="AB515" s="4"/>
      <c r="AF515" s="631"/>
      <c r="AG515" s="632"/>
      <c r="AH515" s="632"/>
    </row>
    <row r="516" spans="1:34" ht="14.25" customHeight="1" x14ac:dyDescent="0.2">
      <c r="B516" s="1099" t="s">
        <v>11</v>
      </c>
      <c r="C516" s="1121" t="s">
        <v>12</v>
      </c>
      <c r="D516" s="1122"/>
      <c r="E516" s="1122"/>
      <c r="F516" s="1060" t="s">
        <v>296</v>
      </c>
      <c r="G516" s="1060" t="s">
        <v>13</v>
      </c>
      <c r="H516" s="1115" t="s">
        <v>867</v>
      </c>
      <c r="I516" s="1115"/>
      <c r="J516" s="1116"/>
      <c r="K516" s="1116"/>
      <c r="L516" s="1116"/>
      <c r="M516" s="1116"/>
      <c r="N516" s="1116"/>
      <c r="O516" s="1116"/>
      <c r="P516" s="1116"/>
      <c r="Q516" s="1116"/>
      <c r="R516" s="1116"/>
      <c r="S516" s="1116"/>
      <c r="T516" s="1116"/>
      <c r="U516" s="1116"/>
      <c r="V516" s="1116"/>
      <c r="W516" s="984"/>
      <c r="X516" s="635" t="s">
        <v>14</v>
      </c>
      <c r="Y516" s="636"/>
      <c r="Z516" s="636"/>
      <c r="AA516" s="637"/>
      <c r="AB516" s="633" t="s">
        <v>15</v>
      </c>
      <c r="AF516" s="631" t="s">
        <v>3</v>
      </c>
      <c r="AG516" s="632"/>
      <c r="AH516" s="632"/>
    </row>
    <row r="517" spans="1:34" ht="12" customHeight="1" x14ac:dyDescent="0.2">
      <c r="B517" s="1100"/>
      <c r="C517" s="1123"/>
      <c r="D517" s="1123"/>
      <c r="E517" s="1123"/>
      <c r="F517" s="1061"/>
      <c r="G517" s="1061"/>
      <c r="H517" s="570"/>
      <c r="I517" s="571" t="s">
        <v>591</v>
      </c>
      <c r="J517" s="570"/>
      <c r="K517" s="571" t="s">
        <v>297</v>
      </c>
      <c r="L517" s="570"/>
      <c r="M517" s="571" t="s">
        <v>298</v>
      </c>
      <c r="N517" s="570"/>
      <c r="O517" s="571" t="s">
        <v>593</v>
      </c>
      <c r="P517" s="570"/>
      <c r="Q517" s="571" t="s">
        <v>17</v>
      </c>
      <c r="R517" s="570"/>
      <c r="S517" s="571" t="s">
        <v>18</v>
      </c>
      <c r="T517" s="570"/>
      <c r="U517" s="571" t="s">
        <v>19</v>
      </c>
      <c r="V517" s="570"/>
      <c r="W517" s="572" t="s">
        <v>594</v>
      </c>
      <c r="X517" s="638"/>
      <c r="Y517" s="639"/>
      <c r="Z517" s="639"/>
      <c r="AA517" s="640"/>
      <c r="AB517" s="634"/>
    </row>
    <row r="518" spans="1:34" ht="12" customHeight="1" x14ac:dyDescent="0.2">
      <c r="A518" s="4"/>
      <c r="B518" s="714" t="s">
        <v>792</v>
      </c>
      <c r="C518" s="839"/>
      <c r="D518" s="839"/>
      <c r="E518" s="839"/>
      <c r="F518" s="418">
        <f>28.3*X2</f>
        <v>27903.8</v>
      </c>
      <c r="G518" s="326">
        <f t="shared" ref="G518:K532" si="1326">+F518*$X$1</f>
        <v>27903.8</v>
      </c>
      <c r="H518" s="105">
        <f>F518+3000</f>
        <v>30903.8</v>
      </c>
      <c r="I518" s="326">
        <f t="shared" si="1326"/>
        <v>30903.8</v>
      </c>
      <c r="J518" s="105">
        <f>F518+600</f>
        <v>28503.8</v>
      </c>
      <c r="K518" s="326">
        <f t="shared" si="1326"/>
        <v>28503.8</v>
      </c>
      <c r="L518" s="105">
        <f>F518+450</f>
        <v>28353.8</v>
      </c>
      <c r="M518" s="326">
        <f t="shared" ref="M518" si="1327">+L518*$X$1</f>
        <v>28353.8</v>
      </c>
      <c r="N518" s="105">
        <f>F518+400</f>
        <v>28303.8</v>
      </c>
      <c r="O518" s="326">
        <f t="shared" ref="O518" si="1328">+N518*$X$1</f>
        <v>28303.8</v>
      </c>
      <c r="P518" s="105">
        <f>F518+370</f>
        <v>28273.8</v>
      </c>
      <c r="Q518" s="326">
        <f t="shared" ref="Q518" si="1329">+P518*$X$1</f>
        <v>28273.8</v>
      </c>
      <c r="R518" s="105">
        <f>F518+340</f>
        <v>28243.8</v>
      </c>
      <c r="S518" s="326">
        <f t="shared" ref="S518" si="1330">+R518*$X$1</f>
        <v>28243.8</v>
      </c>
      <c r="T518" s="105">
        <f>F518+300</f>
        <v>28203.8</v>
      </c>
      <c r="U518" s="326">
        <f t="shared" ref="U518" si="1331">+T518*$X$1</f>
        <v>28203.8</v>
      </c>
      <c r="V518" s="105">
        <f>F518+260</f>
        <v>28163.8</v>
      </c>
      <c r="W518" s="326">
        <f t="shared" ref="W518" si="1332">+V518*$X$1</f>
        <v>28163.8</v>
      </c>
      <c r="X518" s="145"/>
      <c r="Y518" s="140"/>
      <c r="Z518" s="146"/>
      <c r="AA518" s="147"/>
      <c r="AB518" s="456">
        <v>570</v>
      </c>
    </row>
    <row r="519" spans="1:34" ht="12" customHeight="1" x14ac:dyDescent="0.2">
      <c r="A519" s="4"/>
      <c r="B519" s="680" t="s">
        <v>801</v>
      </c>
      <c r="C519" s="888"/>
      <c r="D519" s="888"/>
      <c r="E519" s="888"/>
      <c r="F519" s="417">
        <f>5.1*X2</f>
        <v>5028.5999999999995</v>
      </c>
      <c r="G519" s="340">
        <f t="shared" ref="G519" si="1333">+F519*$X$1</f>
        <v>5028.5999999999995</v>
      </c>
      <c r="H519" s="104"/>
      <c r="I519" s="340"/>
      <c r="J519" s="104">
        <f t="shared" ref="J519:J555" si="1334">F519+600</f>
        <v>5628.5999999999995</v>
      </c>
      <c r="K519" s="340">
        <f t="shared" ref="K519:K555" si="1335">+J519*$X$1</f>
        <v>5628.5999999999995</v>
      </c>
      <c r="L519" s="104">
        <f t="shared" ref="L519:L555" si="1336">F519+450</f>
        <v>5478.5999999999995</v>
      </c>
      <c r="M519" s="340">
        <f t="shared" ref="M519:M555" si="1337">+L519*$X$1</f>
        <v>5478.5999999999995</v>
      </c>
      <c r="N519" s="104">
        <f t="shared" ref="N519:N555" si="1338">F519+400</f>
        <v>5428.5999999999995</v>
      </c>
      <c r="O519" s="340">
        <f t="shared" ref="O519:O555" si="1339">+N519*$X$1</f>
        <v>5428.5999999999995</v>
      </c>
      <c r="P519" s="104">
        <f t="shared" ref="P519:P555" si="1340">F519+370</f>
        <v>5398.5999999999995</v>
      </c>
      <c r="Q519" s="340">
        <f t="shared" ref="Q519:Q555" si="1341">+P519*$X$1</f>
        <v>5398.5999999999995</v>
      </c>
      <c r="R519" s="104">
        <f t="shared" ref="R519:R555" si="1342">F519+340</f>
        <v>5368.5999999999995</v>
      </c>
      <c r="S519" s="340">
        <f t="shared" ref="S519:S555" si="1343">+R519*$X$1</f>
        <v>5368.5999999999995</v>
      </c>
      <c r="T519" s="104">
        <f t="shared" ref="T519:T555" si="1344">F519+300</f>
        <v>5328.5999999999995</v>
      </c>
      <c r="U519" s="340">
        <f t="shared" ref="U519:U555" si="1345">+T519*$X$1</f>
        <v>5328.5999999999995</v>
      </c>
      <c r="V519" s="104">
        <f t="shared" ref="V519:V555" si="1346">F519+260</f>
        <v>5288.5999999999995</v>
      </c>
      <c r="W519" s="340">
        <f t="shared" ref="W519:W555" si="1347">+V519*$X$1</f>
        <v>5288.5999999999995</v>
      </c>
      <c r="X519" s="145"/>
      <c r="Y519" s="140"/>
      <c r="Z519" s="146"/>
      <c r="AA519" s="147"/>
      <c r="AB519" s="442" t="s">
        <v>835</v>
      </c>
    </row>
    <row r="520" spans="1:34" ht="12" customHeight="1" x14ac:dyDescent="0.2">
      <c r="A520" s="4"/>
      <c r="B520" s="714" t="s">
        <v>782</v>
      </c>
      <c r="C520" s="839"/>
      <c r="D520" s="839"/>
      <c r="E520" s="839"/>
      <c r="F520" s="1197">
        <v>22350</v>
      </c>
      <c r="G520" s="326">
        <f t="shared" ref="G520" si="1348">+F520*$X$1</f>
        <v>22350</v>
      </c>
      <c r="H520" s="105">
        <f>F520+3000</f>
        <v>25350</v>
      </c>
      <c r="I520" s="326">
        <f t="shared" ref="I520" si="1349">+H520*$X$1</f>
        <v>25350</v>
      </c>
      <c r="J520" s="105">
        <f t="shared" si="1334"/>
        <v>22950</v>
      </c>
      <c r="K520" s="326">
        <f t="shared" si="1335"/>
        <v>22950</v>
      </c>
      <c r="L520" s="105">
        <f t="shared" si="1336"/>
        <v>22800</v>
      </c>
      <c r="M520" s="326">
        <f t="shared" si="1337"/>
        <v>22800</v>
      </c>
      <c r="N520" s="105">
        <f t="shared" si="1338"/>
        <v>22750</v>
      </c>
      <c r="O520" s="326">
        <f t="shared" si="1339"/>
        <v>22750</v>
      </c>
      <c r="P520" s="105">
        <f t="shared" si="1340"/>
        <v>22720</v>
      </c>
      <c r="Q520" s="326">
        <f t="shared" si="1341"/>
        <v>22720</v>
      </c>
      <c r="R520" s="105">
        <f t="shared" si="1342"/>
        <v>22690</v>
      </c>
      <c r="S520" s="326">
        <f t="shared" si="1343"/>
        <v>22690</v>
      </c>
      <c r="T520" s="105">
        <f t="shared" si="1344"/>
        <v>22650</v>
      </c>
      <c r="U520" s="326">
        <f t="shared" si="1345"/>
        <v>22650</v>
      </c>
      <c r="V520" s="105">
        <f t="shared" si="1346"/>
        <v>22610</v>
      </c>
      <c r="W520" s="326">
        <f t="shared" si="1347"/>
        <v>22610</v>
      </c>
      <c r="X520" s="145"/>
      <c r="Y520" s="140"/>
      <c r="Z520" s="146"/>
      <c r="AA520" s="147"/>
      <c r="AB520" s="442">
        <v>577</v>
      </c>
    </row>
    <row r="521" spans="1:34" ht="12" customHeight="1" x14ac:dyDescent="0.2">
      <c r="A521" s="4"/>
      <c r="B521" s="674" t="s">
        <v>781</v>
      </c>
      <c r="C521" s="734"/>
      <c r="D521" s="734"/>
      <c r="E521" s="734"/>
      <c r="F521" s="417">
        <f>29.9*X2</f>
        <v>29481.399999999998</v>
      </c>
      <c r="G521" s="340">
        <f t="shared" si="1326"/>
        <v>29481.399999999998</v>
      </c>
      <c r="H521" s="104">
        <f t="shared" ref="H521:H524" si="1350">F521+3000</f>
        <v>32481.399999999998</v>
      </c>
      <c r="I521" s="340">
        <f t="shared" ref="I521:I524" si="1351">+H521*$X$1</f>
        <v>32481.399999999998</v>
      </c>
      <c r="J521" s="104">
        <f t="shared" si="1334"/>
        <v>30081.399999999998</v>
      </c>
      <c r="K521" s="340">
        <f t="shared" si="1335"/>
        <v>30081.399999999998</v>
      </c>
      <c r="L521" s="104">
        <f t="shared" si="1336"/>
        <v>29931.399999999998</v>
      </c>
      <c r="M521" s="340">
        <f t="shared" si="1337"/>
        <v>29931.399999999998</v>
      </c>
      <c r="N521" s="104">
        <f t="shared" si="1338"/>
        <v>29881.399999999998</v>
      </c>
      <c r="O521" s="340">
        <f t="shared" si="1339"/>
        <v>29881.399999999998</v>
      </c>
      <c r="P521" s="104">
        <f t="shared" si="1340"/>
        <v>29851.399999999998</v>
      </c>
      <c r="Q521" s="340">
        <f t="shared" si="1341"/>
        <v>29851.399999999998</v>
      </c>
      <c r="R521" s="104">
        <f t="shared" si="1342"/>
        <v>29821.399999999998</v>
      </c>
      <c r="S521" s="340">
        <f t="shared" si="1343"/>
        <v>29821.399999999998</v>
      </c>
      <c r="T521" s="104">
        <f t="shared" si="1344"/>
        <v>29781.399999999998</v>
      </c>
      <c r="U521" s="340">
        <f t="shared" si="1345"/>
        <v>29781.399999999998</v>
      </c>
      <c r="V521" s="104">
        <f t="shared" si="1346"/>
        <v>29741.399999999998</v>
      </c>
      <c r="W521" s="340">
        <f t="shared" si="1347"/>
        <v>29741.399999999998</v>
      </c>
      <c r="X521" s="145"/>
      <c r="Y521" s="140"/>
      <c r="Z521" s="146"/>
      <c r="AA521" s="147"/>
      <c r="AB521" s="442">
        <v>580</v>
      </c>
    </row>
    <row r="522" spans="1:34" ht="12" customHeight="1" x14ac:dyDescent="0.2">
      <c r="A522" s="4"/>
      <c r="B522" s="628" t="s">
        <v>780</v>
      </c>
      <c r="C522" s="649"/>
      <c r="D522" s="649"/>
      <c r="E522" s="649"/>
      <c r="F522" s="415">
        <f>28.86*X2</f>
        <v>28455.96</v>
      </c>
      <c r="G522" s="303">
        <f t="shared" si="1326"/>
        <v>28455.96</v>
      </c>
      <c r="H522" s="105">
        <f t="shared" si="1350"/>
        <v>31455.96</v>
      </c>
      <c r="I522" s="326">
        <f t="shared" si="1351"/>
        <v>31455.96</v>
      </c>
      <c r="J522" s="105">
        <f t="shared" si="1334"/>
        <v>29055.96</v>
      </c>
      <c r="K522" s="326">
        <f t="shared" si="1335"/>
        <v>29055.96</v>
      </c>
      <c r="L522" s="105">
        <f t="shared" si="1336"/>
        <v>28905.96</v>
      </c>
      <c r="M522" s="326">
        <f t="shared" si="1337"/>
        <v>28905.96</v>
      </c>
      <c r="N522" s="105">
        <f t="shared" si="1338"/>
        <v>28855.96</v>
      </c>
      <c r="O522" s="326">
        <f t="shared" si="1339"/>
        <v>28855.96</v>
      </c>
      <c r="P522" s="105">
        <f t="shared" si="1340"/>
        <v>28825.96</v>
      </c>
      <c r="Q522" s="326">
        <f t="shared" si="1341"/>
        <v>28825.96</v>
      </c>
      <c r="R522" s="105">
        <f t="shared" si="1342"/>
        <v>28795.96</v>
      </c>
      <c r="S522" s="326">
        <f t="shared" si="1343"/>
        <v>28795.96</v>
      </c>
      <c r="T522" s="105">
        <f t="shared" si="1344"/>
        <v>28755.96</v>
      </c>
      <c r="U522" s="326">
        <f t="shared" si="1345"/>
        <v>28755.96</v>
      </c>
      <c r="V522" s="105">
        <f t="shared" si="1346"/>
        <v>28715.96</v>
      </c>
      <c r="W522" s="326">
        <f t="shared" si="1347"/>
        <v>28715.96</v>
      </c>
      <c r="X522" s="145"/>
      <c r="Y522" s="140"/>
      <c r="Z522" s="146"/>
      <c r="AA522" s="147"/>
      <c r="AB522" s="442">
        <v>582</v>
      </c>
    </row>
    <row r="523" spans="1:34" ht="12" customHeight="1" x14ac:dyDescent="0.2">
      <c r="A523" s="4"/>
      <c r="B523" s="674" t="s">
        <v>779</v>
      </c>
      <c r="C523" s="734"/>
      <c r="D523" s="734"/>
      <c r="E523" s="734"/>
      <c r="F523" s="1195">
        <v>46874</v>
      </c>
      <c r="G523" s="340">
        <f t="shared" si="1326"/>
        <v>46874</v>
      </c>
      <c r="H523" s="104">
        <f t="shared" si="1350"/>
        <v>49874</v>
      </c>
      <c r="I523" s="340">
        <f t="shared" si="1351"/>
        <v>49874</v>
      </c>
      <c r="J523" s="104">
        <f t="shared" si="1334"/>
        <v>47474</v>
      </c>
      <c r="K523" s="340">
        <f t="shared" si="1335"/>
        <v>47474</v>
      </c>
      <c r="L523" s="104">
        <f t="shared" si="1336"/>
        <v>47324</v>
      </c>
      <c r="M523" s="340">
        <f t="shared" si="1337"/>
        <v>47324</v>
      </c>
      <c r="N523" s="104">
        <f t="shared" si="1338"/>
        <v>47274</v>
      </c>
      <c r="O523" s="340">
        <f t="shared" si="1339"/>
        <v>47274</v>
      </c>
      <c r="P523" s="104">
        <f t="shared" si="1340"/>
        <v>47244</v>
      </c>
      <c r="Q523" s="340">
        <f t="shared" si="1341"/>
        <v>47244</v>
      </c>
      <c r="R523" s="104">
        <f t="shared" si="1342"/>
        <v>47214</v>
      </c>
      <c r="S523" s="340">
        <f t="shared" si="1343"/>
        <v>47214</v>
      </c>
      <c r="T523" s="104">
        <f t="shared" si="1344"/>
        <v>47174</v>
      </c>
      <c r="U523" s="340">
        <f t="shared" si="1345"/>
        <v>47174</v>
      </c>
      <c r="V523" s="104">
        <f t="shared" si="1346"/>
        <v>47134</v>
      </c>
      <c r="W523" s="340">
        <f t="shared" si="1347"/>
        <v>47134</v>
      </c>
      <c r="X523" s="145"/>
      <c r="Y523" s="140"/>
      <c r="Z523" s="146"/>
      <c r="AA523" s="147"/>
      <c r="AB523" s="442">
        <v>584</v>
      </c>
    </row>
    <row r="524" spans="1:34" ht="12" customHeight="1" x14ac:dyDescent="0.2">
      <c r="A524" s="4"/>
      <c r="B524" s="750" t="s">
        <v>836</v>
      </c>
      <c r="C524" s="751"/>
      <c r="D524" s="751"/>
      <c r="E524" s="752"/>
      <c r="F524" s="415">
        <f>30.11*X2</f>
        <v>29688.46</v>
      </c>
      <c r="G524" s="303">
        <f>+F524*$X$1</f>
        <v>29688.46</v>
      </c>
      <c r="H524" s="105">
        <f t="shared" si="1350"/>
        <v>32688.46</v>
      </c>
      <c r="I524" s="326">
        <f t="shared" si="1351"/>
        <v>32688.46</v>
      </c>
      <c r="J524" s="105">
        <f t="shared" si="1334"/>
        <v>30288.46</v>
      </c>
      <c r="K524" s="326">
        <f t="shared" si="1335"/>
        <v>30288.46</v>
      </c>
      <c r="L524" s="105">
        <f t="shared" si="1336"/>
        <v>30138.46</v>
      </c>
      <c r="M524" s="326">
        <f t="shared" si="1337"/>
        <v>30138.46</v>
      </c>
      <c r="N524" s="105">
        <f t="shared" si="1338"/>
        <v>30088.46</v>
      </c>
      <c r="O524" s="326">
        <f t="shared" si="1339"/>
        <v>30088.46</v>
      </c>
      <c r="P524" s="105">
        <f t="shared" si="1340"/>
        <v>30058.46</v>
      </c>
      <c r="Q524" s="326">
        <f t="shared" si="1341"/>
        <v>30058.46</v>
      </c>
      <c r="R524" s="105">
        <f t="shared" si="1342"/>
        <v>30028.46</v>
      </c>
      <c r="S524" s="326">
        <f t="shared" si="1343"/>
        <v>30028.46</v>
      </c>
      <c r="T524" s="105">
        <f t="shared" si="1344"/>
        <v>29988.46</v>
      </c>
      <c r="U524" s="326">
        <f t="shared" si="1345"/>
        <v>29988.46</v>
      </c>
      <c r="V524" s="105">
        <f t="shared" si="1346"/>
        <v>29948.46</v>
      </c>
      <c r="W524" s="326">
        <f t="shared" si="1347"/>
        <v>29948.46</v>
      </c>
      <c r="X524" s="145"/>
      <c r="Y524" s="140"/>
      <c r="Z524" s="146"/>
      <c r="AA524" s="147"/>
      <c r="AB524" s="442">
        <v>586</v>
      </c>
    </row>
    <row r="525" spans="1:34" ht="12" customHeight="1" x14ac:dyDescent="0.2">
      <c r="A525" s="4"/>
      <c r="B525" s="669" t="s">
        <v>791</v>
      </c>
      <c r="C525" s="670"/>
      <c r="D525" s="670"/>
      <c r="E525" s="671"/>
      <c r="F525" s="1198">
        <v>31560</v>
      </c>
      <c r="G525" s="304">
        <f t="shared" si="1326"/>
        <v>31560</v>
      </c>
      <c r="H525" s="104"/>
      <c r="I525" s="340"/>
      <c r="J525" s="104">
        <f t="shared" si="1334"/>
        <v>32160</v>
      </c>
      <c r="K525" s="340">
        <f t="shared" si="1335"/>
        <v>32160</v>
      </c>
      <c r="L525" s="104">
        <f t="shared" si="1336"/>
        <v>32010</v>
      </c>
      <c r="M525" s="340">
        <f t="shared" si="1337"/>
        <v>32010</v>
      </c>
      <c r="N525" s="104">
        <f t="shared" si="1338"/>
        <v>31960</v>
      </c>
      <c r="O525" s="340">
        <f t="shared" si="1339"/>
        <v>31960</v>
      </c>
      <c r="P525" s="104">
        <f t="shared" si="1340"/>
        <v>31930</v>
      </c>
      <c r="Q525" s="340">
        <f t="shared" si="1341"/>
        <v>31930</v>
      </c>
      <c r="R525" s="104">
        <f t="shared" si="1342"/>
        <v>31900</v>
      </c>
      <c r="S525" s="340">
        <f t="shared" si="1343"/>
        <v>31900</v>
      </c>
      <c r="T525" s="104">
        <f t="shared" si="1344"/>
        <v>31860</v>
      </c>
      <c r="U525" s="340">
        <f t="shared" si="1345"/>
        <v>31860</v>
      </c>
      <c r="V525" s="104">
        <f t="shared" si="1346"/>
        <v>31820</v>
      </c>
      <c r="W525" s="340">
        <f t="shared" si="1347"/>
        <v>31820</v>
      </c>
      <c r="X525" s="145"/>
      <c r="Y525" s="140"/>
      <c r="Z525" s="146"/>
      <c r="AA525" s="147"/>
      <c r="AB525" s="442">
        <v>599</v>
      </c>
    </row>
    <row r="526" spans="1:34" ht="12" customHeight="1" x14ac:dyDescent="0.2">
      <c r="A526" s="4"/>
      <c r="B526" s="952" t="s">
        <v>778</v>
      </c>
      <c r="C526" s="1055"/>
      <c r="D526" s="1055"/>
      <c r="E526" s="1056"/>
      <c r="F526" s="412">
        <f>24.6*X2</f>
        <v>24255.600000000002</v>
      </c>
      <c r="G526" s="303">
        <f t="shared" si="1326"/>
        <v>24255.600000000002</v>
      </c>
      <c r="H526" s="105">
        <f t="shared" ref="H526" si="1352">F526+3000</f>
        <v>27255.600000000002</v>
      </c>
      <c r="I526" s="326">
        <f t="shared" ref="I526" si="1353">+H526*$X$1</f>
        <v>27255.600000000002</v>
      </c>
      <c r="J526" s="105">
        <f t="shared" si="1334"/>
        <v>24855.600000000002</v>
      </c>
      <c r="K526" s="326">
        <f t="shared" si="1335"/>
        <v>24855.600000000002</v>
      </c>
      <c r="L526" s="105">
        <f t="shared" si="1336"/>
        <v>24705.600000000002</v>
      </c>
      <c r="M526" s="326">
        <f t="shared" si="1337"/>
        <v>24705.600000000002</v>
      </c>
      <c r="N526" s="105">
        <f t="shared" si="1338"/>
        <v>24655.600000000002</v>
      </c>
      <c r="O526" s="326">
        <f t="shared" si="1339"/>
        <v>24655.600000000002</v>
      </c>
      <c r="P526" s="105">
        <f t="shared" si="1340"/>
        <v>24625.600000000002</v>
      </c>
      <c r="Q526" s="326">
        <f t="shared" si="1341"/>
        <v>24625.600000000002</v>
      </c>
      <c r="R526" s="105">
        <f t="shared" si="1342"/>
        <v>24595.600000000002</v>
      </c>
      <c r="S526" s="326">
        <f t="shared" si="1343"/>
        <v>24595.600000000002</v>
      </c>
      <c r="T526" s="105">
        <f t="shared" si="1344"/>
        <v>24555.600000000002</v>
      </c>
      <c r="U526" s="326">
        <f t="shared" si="1345"/>
        <v>24555.600000000002</v>
      </c>
      <c r="V526" s="105">
        <f t="shared" si="1346"/>
        <v>24515.600000000002</v>
      </c>
      <c r="W526" s="326">
        <f t="shared" si="1347"/>
        <v>24515.600000000002</v>
      </c>
      <c r="X526" s="145"/>
      <c r="Y526" s="140"/>
      <c r="Z526" s="146"/>
      <c r="AA526" s="147"/>
      <c r="AB526" s="442">
        <v>600</v>
      </c>
    </row>
    <row r="527" spans="1:34" ht="12" customHeight="1" x14ac:dyDescent="0.2">
      <c r="A527" s="4"/>
      <c r="B527" s="669" t="s">
        <v>783</v>
      </c>
      <c r="C527" s="670"/>
      <c r="D527" s="670"/>
      <c r="E527" s="671"/>
      <c r="F527" s="414">
        <f>43.92*X2</f>
        <v>43305.120000000003</v>
      </c>
      <c r="G527" s="304">
        <f t="shared" ref="G527:G528" si="1354">+F527*$X$1</f>
        <v>43305.120000000003</v>
      </c>
      <c r="H527" s="104">
        <f t="shared" ref="H527:H528" si="1355">F527+3000</f>
        <v>46305.120000000003</v>
      </c>
      <c r="I527" s="340">
        <f t="shared" ref="I527:I528" si="1356">+H527*$X$1</f>
        <v>46305.120000000003</v>
      </c>
      <c r="J527" s="104">
        <f t="shared" si="1334"/>
        <v>43905.120000000003</v>
      </c>
      <c r="K527" s="340">
        <f t="shared" si="1335"/>
        <v>43905.120000000003</v>
      </c>
      <c r="L527" s="104">
        <f t="shared" si="1336"/>
        <v>43755.12</v>
      </c>
      <c r="M527" s="340">
        <f t="shared" si="1337"/>
        <v>43755.12</v>
      </c>
      <c r="N527" s="104">
        <f t="shared" si="1338"/>
        <v>43705.120000000003</v>
      </c>
      <c r="O527" s="340">
        <f t="shared" si="1339"/>
        <v>43705.120000000003</v>
      </c>
      <c r="P527" s="104">
        <f t="shared" si="1340"/>
        <v>43675.12</v>
      </c>
      <c r="Q527" s="340">
        <f t="shared" si="1341"/>
        <v>43675.12</v>
      </c>
      <c r="R527" s="104">
        <f t="shared" si="1342"/>
        <v>43645.120000000003</v>
      </c>
      <c r="S527" s="340">
        <f t="shared" si="1343"/>
        <v>43645.120000000003</v>
      </c>
      <c r="T527" s="104">
        <f t="shared" si="1344"/>
        <v>43605.120000000003</v>
      </c>
      <c r="U527" s="340">
        <f t="shared" si="1345"/>
        <v>43605.120000000003</v>
      </c>
      <c r="V527" s="104">
        <f t="shared" si="1346"/>
        <v>43565.120000000003</v>
      </c>
      <c r="W527" s="340">
        <f t="shared" si="1347"/>
        <v>43565.120000000003</v>
      </c>
      <c r="X527" s="145"/>
      <c r="Y527" s="140"/>
      <c r="Z527" s="146"/>
      <c r="AA527" s="147"/>
      <c r="AB527" s="442">
        <v>609</v>
      </c>
    </row>
    <row r="528" spans="1:34" ht="12" customHeight="1" x14ac:dyDescent="0.2">
      <c r="A528" s="4"/>
      <c r="B528" s="750" t="s">
        <v>784</v>
      </c>
      <c r="C528" s="751"/>
      <c r="D528" s="751"/>
      <c r="E528" s="752"/>
      <c r="F528" s="415">
        <f>52.7*X2</f>
        <v>51962.200000000004</v>
      </c>
      <c r="G528" s="303">
        <f t="shared" si="1354"/>
        <v>51962.200000000004</v>
      </c>
      <c r="H528" s="105">
        <f t="shared" si="1355"/>
        <v>54962.200000000004</v>
      </c>
      <c r="I528" s="326">
        <f t="shared" si="1356"/>
        <v>54962.200000000004</v>
      </c>
      <c r="J528" s="105">
        <f t="shared" si="1334"/>
        <v>52562.200000000004</v>
      </c>
      <c r="K528" s="326">
        <f t="shared" si="1335"/>
        <v>52562.200000000004</v>
      </c>
      <c r="L528" s="105">
        <f t="shared" si="1336"/>
        <v>52412.200000000004</v>
      </c>
      <c r="M528" s="326">
        <f t="shared" si="1337"/>
        <v>52412.200000000004</v>
      </c>
      <c r="N528" s="105">
        <f t="shared" si="1338"/>
        <v>52362.200000000004</v>
      </c>
      <c r="O528" s="326">
        <f t="shared" si="1339"/>
        <v>52362.200000000004</v>
      </c>
      <c r="P528" s="105">
        <f t="shared" si="1340"/>
        <v>52332.200000000004</v>
      </c>
      <c r="Q528" s="326">
        <f t="shared" si="1341"/>
        <v>52332.200000000004</v>
      </c>
      <c r="R528" s="105">
        <f t="shared" si="1342"/>
        <v>52302.200000000004</v>
      </c>
      <c r="S528" s="326">
        <f t="shared" si="1343"/>
        <v>52302.200000000004</v>
      </c>
      <c r="T528" s="105">
        <f t="shared" si="1344"/>
        <v>52262.200000000004</v>
      </c>
      <c r="U528" s="326">
        <f t="shared" si="1345"/>
        <v>52262.200000000004</v>
      </c>
      <c r="V528" s="105">
        <f t="shared" si="1346"/>
        <v>52222.200000000004</v>
      </c>
      <c r="W528" s="326">
        <f t="shared" si="1347"/>
        <v>52222.200000000004</v>
      </c>
      <c r="X528" s="145"/>
      <c r="Y528" s="140"/>
      <c r="Z528" s="146"/>
      <c r="AA528" s="147"/>
      <c r="AB528" s="442">
        <v>611</v>
      </c>
    </row>
    <row r="529" spans="1:28" ht="12" customHeight="1" x14ac:dyDescent="0.2">
      <c r="A529" s="4"/>
      <c r="B529" s="669" t="s">
        <v>654</v>
      </c>
      <c r="C529" s="670"/>
      <c r="D529" s="670"/>
      <c r="E529" s="671"/>
      <c r="F529" s="351">
        <v>5240</v>
      </c>
      <c r="G529" s="304">
        <f>+F529*$X$1</f>
        <v>5240</v>
      </c>
      <c r="H529" s="104"/>
      <c r="I529" s="340"/>
      <c r="J529" s="104"/>
      <c r="K529" s="340"/>
      <c r="L529" s="104">
        <f t="shared" si="1336"/>
        <v>5690</v>
      </c>
      <c r="M529" s="340">
        <f t="shared" si="1337"/>
        <v>5690</v>
      </c>
      <c r="N529" s="104">
        <f t="shared" si="1338"/>
        <v>5640</v>
      </c>
      <c r="O529" s="340">
        <f t="shared" si="1339"/>
        <v>5640</v>
      </c>
      <c r="P529" s="104">
        <f t="shared" si="1340"/>
        <v>5610</v>
      </c>
      <c r="Q529" s="340">
        <f t="shared" si="1341"/>
        <v>5610</v>
      </c>
      <c r="R529" s="104">
        <f t="shared" si="1342"/>
        <v>5580</v>
      </c>
      <c r="S529" s="340">
        <f t="shared" si="1343"/>
        <v>5580</v>
      </c>
      <c r="T529" s="104">
        <f t="shared" si="1344"/>
        <v>5540</v>
      </c>
      <c r="U529" s="340">
        <f t="shared" si="1345"/>
        <v>5540</v>
      </c>
      <c r="V529" s="104">
        <f t="shared" si="1346"/>
        <v>5500</v>
      </c>
      <c r="W529" s="340">
        <f t="shared" si="1347"/>
        <v>5500</v>
      </c>
      <c r="X529" s="145"/>
      <c r="Y529" s="140"/>
      <c r="Z529" s="146"/>
      <c r="AA529" s="147"/>
      <c r="AB529" s="201">
        <v>641</v>
      </c>
    </row>
    <row r="530" spans="1:28" ht="12" customHeight="1" x14ac:dyDescent="0.2">
      <c r="A530" s="4"/>
      <c r="B530" s="750" t="s">
        <v>655</v>
      </c>
      <c r="C530" s="751"/>
      <c r="D530" s="751"/>
      <c r="E530" s="752"/>
      <c r="F530" s="415">
        <f>5.96*X2</f>
        <v>5876.56</v>
      </c>
      <c r="G530" s="303">
        <f t="shared" ref="G530" si="1357">+F530*$X$1</f>
        <v>5876.56</v>
      </c>
      <c r="H530" s="105">
        <f t="shared" ref="H530" si="1358">F530+3000</f>
        <v>8876.5600000000013</v>
      </c>
      <c r="I530" s="326">
        <f t="shared" ref="I530" si="1359">+H530*$X$1</f>
        <v>8876.5600000000013</v>
      </c>
      <c r="J530" s="105">
        <f t="shared" si="1334"/>
        <v>6476.56</v>
      </c>
      <c r="K530" s="326">
        <f t="shared" si="1335"/>
        <v>6476.56</v>
      </c>
      <c r="L530" s="105">
        <f t="shared" si="1336"/>
        <v>6326.56</v>
      </c>
      <c r="M530" s="326">
        <f t="shared" si="1337"/>
        <v>6326.56</v>
      </c>
      <c r="N530" s="105">
        <f t="shared" si="1338"/>
        <v>6276.56</v>
      </c>
      <c r="O530" s="326">
        <f t="shared" si="1339"/>
        <v>6276.56</v>
      </c>
      <c r="P530" s="105">
        <f t="shared" si="1340"/>
        <v>6246.56</v>
      </c>
      <c r="Q530" s="326">
        <f t="shared" si="1341"/>
        <v>6246.56</v>
      </c>
      <c r="R530" s="105">
        <f t="shared" si="1342"/>
        <v>6216.56</v>
      </c>
      <c r="S530" s="326">
        <f t="shared" si="1343"/>
        <v>6216.56</v>
      </c>
      <c r="T530" s="105">
        <f t="shared" si="1344"/>
        <v>6176.56</v>
      </c>
      <c r="U530" s="326">
        <f t="shared" si="1345"/>
        <v>6176.56</v>
      </c>
      <c r="V530" s="105">
        <f t="shared" si="1346"/>
        <v>6136.56</v>
      </c>
      <c r="W530" s="326">
        <f t="shared" si="1347"/>
        <v>6136.56</v>
      </c>
      <c r="X530" s="145"/>
      <c r="Y530" s="140"/>
      <c r="Z530" s="146"/>
      <c r="AA530" s="147"/>
      <c r="AB530" s="201">
        <v>642</v>
      </c>
    </row>
    <row r="531" spans="1:28" ht="12" customHeight="1" x14ac:dyDescent="0.2">
      <c r="A531" s="4"/>
      <c r="B531" s="669" t="s">
        <v>656</v>
      </c>
      <c r="C531" s="670"/>
      <c r="D531" s="670"/>
      <c r="E531" s="671"/>
      <c r="F531" s="414">
        <f>26.6*X2</f>
        <v>26227.600000000002</v>
      </c>
      <c r="G531" s="304">
        <f t="shared" ref="G531" si="1360">+F531*$X$1</f>
        <v>26227.600000000002</v>
      </c>
      <c r="H531" s="104">
        <f t="shared" ref="H531:H535" si="1361">F531+3000</f>
        <v>29227.600000000002</v>
      </c>
      <c r="I531" s="340">
        <f t="shared" ref="I531:I535" si="1362">+H531*$X$1</f>
        <v>29227.600000000002</v>
      </c>
      <c r="J531" s="104">
        <f t="shared" si="1334"/>
        <v>26827.600000000002</v>
      </c>
      <c r="K531" s="340">
        <f t="shared" si="1335"/>
        <v>26827.600000000002</v>
      </c>
      <c r="L531" s="104">
        <f t="shared" si="1336"/>
        <v>26677.600000000002</v>
      </c>
      <c r="M531" s="340">
        <f t="shared" si="1337"/>
        <v>26677.600000000002</v>
      </c>
      <c r="N531" s="104">
        <f t="shared" si="1338"/>
        <v>26627.600000000002</v>
      </c>
      <c r="O531" s="340">
        <f t="shared" si="1339"/>
        <v>26627.600000000002</v>
      </c>
      <c r="P531" s="104">
        <f t="shared" si="1340"/>
        <v>26597.600000000002</v>
      </c>
      <c r="Q531" s="340">
        <f t="shared" si="1341"/>
        <v>26597.600000000002</v>
      </c>
      <c r="R531" s="104">
        <f t="shared" si="1342"/>
        <v>26567.600000000002</v>
      </c>
      <c r="S531" s="340">
        <f t="shared" si="1343"/>
        <v>26567.600000000002</v>
      </c>
      <c r="T531" s="104">
        <f t="shared" si="1344"/>
        <v>26527.600000000002</v>
      </c>
      <c r="U531" s="340">
        <f t="shared" si="1345"/>
        <v>26527.600000000002</v>
      </c>
      <c r="V531" s="104">
        <f t="shared" si="1346"/>
        <v>26487.600000000002</v>
      </c>
      <c r="W531" s="340">
        <f t="shared" si="1347"/>
        <v>26487.600000000002</v>
      </c>
      <c r="X531" s="145"/>
      <c r="Y531" s="140"/>
      <c r="Z531" s="146"/>
      <c r="AA531" s="147"/>
      <c r="AB531" s="201">
        <v>643</v>
      </c>
    </row>
    <row r="532" spans="1:28" ht="12" customHeight="1" x14ac:dyDescent="0.2">
      <c r="A532" s="4"/>
      <c r="B532" s="750" t="s">
        <v>785</v>
      </c>
      <c r="C532" s="751"/>
      <c r="D532" s="751"/>
      <c r="E532" s="752"/>
      <c r="F532" s="412">
        <f>42.331*X2</f>
        <v>41738.366000000002</v>
      </c>
      <c r="G532" s="303">
        <f t="shared" si="1326"/>
        <v>41738.366000000002</v>
      </c>
      <c r="H532" s="105">
        <f t="shared" si="1361"/>
        <v>44738.366000000002</v>
      </c>
      <c r="I532" s="326">
        <f t="shared" si="1362"/>
        <v>44738.366000000002</v>
      </c>
      <c r="J532" s="105">
        <f t="shared" si="1334"/>
        <v>42338.366000000002</v>
      </c>
      <c r="K532" s="326">
        <f t="shared" si="1335"/>
        <v>42338.366000000002</v>
      </c>
      <c r="L532" s="105">
        <f t="shared" si="1336"/>
        <v>42188.366000000002</v>
      </c>
      <c r="M532" s="326">
        <f t="shared" si="1337"/>
        <v>42188.366000000002</v>
      </c>
      <c r="N532" s="105">
        <f t="shared" si="1338"/>
        <v>42138.366000000002</v>
      </c>
      <c r="O532" s="326">
        <f t="shared" si="1339"/>
        <v>42138.366000000002</v>
      </c>
      <c r="P532" s="105">
        <f t="shared" si="1340"/>
        <v>42108.366000000002</v>
      </c>
      <c r="Q532" s="326">
        <f t="shared" si="1341"/>
        <v>42108.366000000002</v>
      </c>
      <c r="R532" s="105">
        <f t="shared" si="1342"/>
        <v>42078.366000000002</v>
      </c>
      <c r="S532" s="326">
        <f t="shared" si="1343"/>
        <v>42078.366000000002</v>
      </c>
      <c r="T532" s="105">
        <f t="shared" si="1344"/>
        <v>42038.366000000002</v>
      </c>
      <c r="U532" s="326">
        <f t="shared" si="1345"/>
        <v>42038.366000000002</v>
      </c>
      <c r="V532" s="105">
        <f t="shared" si="1346"/>
        <v>41998.366000000002</v>
      </c>
      <c r="W532" s="326">
        <f t="shared" si="1347"/>
        <v>41998.366000000002</v>
      </c>
      <c r="X532" s="145"/>
      <c r="Y532" s="140"/>
      <c r="Z532" s="146"/>
      <c r="AA532" s="147"/>
      <c r="AB532" s="442">
        <v>657</v>
      </c>
    </row>
    <row r="533" spans="1:28" ht="12" customHeight="1" x14ac:dyDescent="0.2">
      <c r="A533" s="4"/>
      <c r="B533" s="669" t="s">
        <v>786</v>
      </c>
      <c r="C533" s="670"/>
      <c r="D533" s="670"/>
      <c r="E533" s="671"/>
      <c r="F533" s="413">
        <f>36.05*X2</f>
        <v>35545.299999999996</v>
      </c>
      <c r="G533" s="304">
        <f t="shared" ref="G533:G535" si="1363">+F533*$X$1</f>
        <v>35545.299999999996</v>
      </c>
      <c r="H533" s="104">
        <f t="shared" si="1361"/>
        <v>38545.299999999996</v>
      </c>
      <c r="I533" s="340">
        <f t="shared" si="1362"/>
        <v>38545.299999999996</v>
      </c>
      <c r="J533" s="104">
        <f t="shared" si="1334"/>
        <v>36145.299999999996</v>
      </c>
      <c r="K533" s="340">
        <f t="shared" si="1335"/>
        <v>36145.299999999996</v>
      </c>
      <c r="L533" s="104">
        <f t="shared" si="1336"/>
        <v>35995.299999999996</v>
      </c>
      <c r="M533" s="340">
        <f t="shared" si="1337"/>
        <v>35995.299999999996</v>
      </c>
      <c r="N533" s="104">
        <f t="shared" si="1338"/>
        <v>35945.299999999996</v>
      </c>
      <c r="O533" s="340">
        <f t="shared" si="1339"/>
        <v>35945.299999999996</v>
      </c>
      <c r="P533" s="104">
        <f t="shared" si="1340"/>
        <v>35915.299999999996</v>
      </c>
      <c r="Q533" s="340">
        <f t="shared" si="1341"/>
        <v>35915.299999999996</v>
      </c>
      <c r="R533" s="104">
        <f t="shared" si="1342"/>
        <v>35885.299999999996</v>
      </c>
      <c r="S533" s="340">
        <f t="shared" si="1343"/>
        <v>35885.299999999996</v>
      </c>
      <c r="T533" s="104">
        <f t="shared" si="1344"/>
        <v>35845.299999999996</v>
      </c>
      <c r="U533" s="340">
        <f t="shared" si="1345"/>
        <v>35845.299999999996</v>
      </c>
      <c r="V533" s="104">
        <f t="shared" si="1346"/>
        <v>35805.299999999996</v>
      </c>
      <c r="W533" s="340">
        <f t="shared" si="1347"/>
        <v>35805.299999999996</v>
      </c>
      <c r="X533" s="145"/>
      <c r="Y533" s="140"/>
      <c r="Z533" s="146"/>
      <c r="AA533" s="147"/>
      <c r="AB533" s="442">
        <v>658</v>
      </c>
    </row>
    <row r="534" spans="1:28" ht="12" customHeight="1" x14ac:dyDescent="0.2">
      <c r="A534" s="4"/>
      <c r="B534" s="750" t="s">
        <v>787</v>
      </c>
      <c r="C534" s="751"/>
      <c r="D534" s="751"/>
      <c r="E534" s="752"/>
      <c r="F534" s="412">
        <f>28.5*X2</f>
        <v>28101</v>
      </c>
      <c r="G534" s="303">
        <f t="shared" si="1363"/>
        <v>28101</v>
      </c>
      <c r="H534" s="105">
        <f t="shared" si="1361"/>
        <v>31101</v>
      </c>
      <c r="I534" s="326">
        <f t="shared" si="1362"/>
        <v>31101</v>
      </c>
      <c r="J534" s="105">
        <f t="shared" si="1334"/>
        <v>28701</v>
      </c>
      <c r="K534" s="326">
        <f t="shared" si="1335"/>
        <v>28701</v>
      </c>
      <c r="L534" s="105">
        <f t="shared" si="1336"/>
        <v>28551</v>
      </c>
      <c r="M534" s="326">
        <f t="shared" si="1337"/>
        <v>28551</v>
      </c>
      <c r="N534" s="105">
        <f t="shared" si="1338"/>
        <v>28501</v>
      </c>
      <c r="O534" s="326">
        <f t="shared" si="1339"/>
        <v>28501</v>
      </c>
      <c r="P534" s="105">
        <f t="shared" si="1340"/>
        <v>28471</v>
      </c>
      <c r="Q534" s="326">
        <f t="shared" si="1341"/>
        <v>28471</v>
      </c>
      <c r="R534" s="105">
        <f t="shared" si="1342"/>
        <v>28441</v>
      </c>
      <c r="S534" s="326">
        <f t="shared" si="1343"/>
        <v>28441</v>
      </c>
      <c r="T534" s="105">
        <f t="shared" si="1344"/>
        <v>28401</v>
      </c>
      <c r="U534" s="326">
        <f t="shared" si="1345"/>
        <v>28401</v>
      </c>
      <c r="V534" s="105">
        <f t="shared" si="1346"/>
        <v>28361</v>
      </c>
      <c r="W534" s="326">
        <f t="shared" si="1347"/>
        <v>28361</v>
      </c>
      <c r="X534" s="145"/>
      <c r="Y534" s="140"/>
      <c r="Z534" s="146"/>
      <c r="AA534" s="147"/>
      <c r="AB534" s="442">
        <v>659</v>
      </c>
    </row>
    <row r="535" spans="1:28" ht="12" customHeight="1" x14ac:dyDescent="0.2">
      <c r="A535" s="4"/>
      <c r="B535" s="669" t="s">
        <v>788</v>
      </c>
      <c r="C535" s="670"/>
      <c r="D535" s="670"/>
      <c r="E535" s="671"/>
      <c r="F535" s="413">
        <f>13.1*X2</f>
        <v>12916.6</v>
      </c>
      <c r="G535" s="304">
        <f t="shared" si="1363"/>
        <v>12916.6</v>
      </c>
      <c r="H535" s="104">
        <f t="shared" si="1361"/>
        <v>15916.6</v>
      </c>
      <c r="I535" s="340">
        <f t="shared" si="1362"/>
        <v>15916.6</v>
      </c>
      <c r="J535" s="104">
        <f t="shared" si="1334"/>
        <v>13516.6</v>
      </c>
      <c r="K535" s="340">
        <f t="shared" si="1335"/>
        <v>13516.6</v>
      </c>
      <c r="L535" s="104">
        <f t="shared" si="1336"/>
        <v>13366.6</v>
      </c>
      <c r="M535" s="340">
        <f t="shared" si="1337"/>
        <v>13366.6</v>
      </c>
      <c r="N535" s="104">
        <f t="shared" si="1338"/>
        <v>13316.6</v>
      </c>
      <c r="O535" s="340">
        <f t="shared" si="1339"/>
        <v>13316.6</v>
      </c>
      <c r="P535" s="104">
        <f t="shared" si="1340"/>
        <v>13286.6</v>
      </c>
      <c r="Q535" s="340">
        <f t="shared" si="1341"/>
        <v>13286.6</v>
      </c>
      <c r="R535" s="104">
        <f t="shared" si="1342"/>
        <v>13256.6</v>
      </c>
      <c r="S535" s="340">
        <f t="shared" si="1343"/>
        <v>13256.6</v>
      </c>
      <c r="T535" s="104">
        <f t="shared" si="1344"/>
        <v>13216.6</v>
      </c>
      <c r="U535" s="340">
        <f t="shared" si="1345"/>
        <v>13216.6</v>
      </c>
      <c r="V535" s="104">
        <f t="shared" si="1346"/>
        <v>13176.6</v>
      </c>
      <c r="W535" s="340">
        <f t="shared" si="1347"/>
        <v>13176.6</v>
      </c>
      <c r="X535" s="145"/>
      <c r="Y535" s="140"/>
      <c r="Z535" s="146"/>
      <c r="AA535" s="147"/>
      <c r="AB535" s="442">
        <v>660</v>
      </c>
    </row>
    <row r="536" spans="1:28" ht="12" customHeight="1" x14ac:dyDescent="0.2">
      <c r="A536" s="4"/>
      <c r="B536" s="750" t="s">
        <v>634</v>
      </c>
      <c r="C536" s="751"/>
      <c r="D536" s="751"/>
      <c r="E536" s="752"/>
      <c r="F536" s="352">
        <v>32020</v>
      </c>
      <c r="G536" s="303">
        <f t="shared" ref="G536:G542" si="1364">+F536*$X$1</f>
        <v>32020</v>
      </c>
      <c r="H536" s="105"/>
      <c r="I536" s="326"/>
      <c r="J536" s="105">
        <f t="shared" si="1334"/>
        <v>32620</v>
      </c>
      <c r="K536" s="326">
        <f t="shared" si="1335"/>
        <v>32620</v>
      </c>
      <c r="L536" s="105">
        <f t="shared" si="1336"/>
        <v>32470</v>
      </c>
      <c r="M536" s="326">
        <f t="shared" si="1337"/>
        <v>32470</v>
      </c>
      <c r="N536" s="105">
        <f t="shared" si="1338"/>
        <v>32420</v>
      </c>
      <c r="O536" s="326">
        <f t="shared" si="1339"/>
        <v>32420</v>
      </c>
      <c r="P536" s="105">
        <f t="shared" si="1340"/>
        <v>32390</v>
      </c>
      <c r="Q536" s="326">
        <f t="shared" si="1341"/>
        <v>32390</v>
      </c>
      <c r="R536" s="105">
        <f t="shared" si="1342"/>
        <v>32360</v>
      </c>
      <c r="S536" s="326">
        <f t="shared" si="1343"/>
        <v>32360</v>
      </c>
      <c r="T536" s="105">
        <f t="shared" si="1344"/>
        <v>32320</v>
      </c>
      <c r="U536" s="326">
        <f t="shared" si="1345"/>
        <v>32320</v>
      </c>
      <c r="V536" s="105">
        <f t="shared" si="1346"/>
        <v>32280</v>
      </c>
      <c r="W536" s="326">
        <f t="shared" si="1347"/>
        <v>32280</v>
      </c>
      <c r="X536" s="145"/>
      <c r="Y536" s="140"/>
      <c r="Z536" s="146"/>
      <c r="AA536" s="147"/>
      <c r="AB536" s="442">
        <v>664</v>
      </c>
    </row>
    <row r="537" spans="1:28" ht="12" customHeight="1" x14ac:dyDescent="0.2">
      <c r="A537" s="4"/>
      <c r="B537" s="669" t="s">
        <v>811</v>
      </c>
      <c r="C537" s="670"/>
      <c r="D537" s="670"/>
      <c r="E537" s="671"/>
      <c r="F537" s="413">
        <f>18.36*X2</f>
        <v>18102.96</v>
      </c>
      <c r="G537" s="304">
        <f t="shared" si="1364"/>
        <v>18102.96</v>
      </c>
      <c r="H537" s="104">
        <f t="shared" ref="H537" si="1365">F537+3000</f>
        <v>21102.959999999999</v>
      </c>
      <c r="I537" s="340">
        <f t="shared" ref="I537" si="1366">+H537*$X$1</f>
        <v>21102.959999999999</v>
      </c>
      <c r="J537" s="104">
        <f t="shared" si="1334"/>
        <v>18702.96</v>
      </c>
      <c r="K537" s="340">
        <f t="shared" si="1335"/>
        <v>18702.96</v>
      </c>
      <c r="L537" s="104">
        <f t="shared" si="1336"/>
        <v>18552.96</v>
      </c>
      <c r="M537" s="340">
        <f t="shared" si="1337"/>
        <v>18552.96</v>
      </c>
      <c r="N537" s="104">
        <f t="shared" si="1338"/>
        <v>18502.96</v>
      </c>
      <c r="O537" s="340">
        <f t="shared" si="1339"/>
        <v>18502.96</v>
      </c>
      <c r="P537" s="104"/>
      <c r="Q537" s="340"/>
      <c r="R537" s="104"/>
      <c r="S537" s="340"/>
      <c r="T537" s="104"/>
      <c r="U537" s="340"/>
      <c r="V537" s="104"/>
      <c r="W537" s="340"/>
      <c r="X537" s="145"/>
      <c r="Y537" s="140"/>
      <c r="Z537" s="146"/>
      <c r="AA537" s="147"/>
      <c r="AB537" s="442">
        <v>667</v>
      </c>
    </row>
    <row r="538" spans="1:28" ht="12" customHeight="1" x14ac:dyDescent="0.2">
      <c r="A538" s="4"/>
      <c r="B538" s="750" t="s">
        <v>810</v>
      </c>
      <c r="C538" s="751"/>
      <c r="D538" s="751"/>
      <c r="E538" s="752"/>
      <c r="F538" s="412">
        <f>14.99*X2</f>
        <v>14780.14</v>
      </c>
      <c r="G538" s="303">
        <f t="shared" ref="G538:G539" si="1367">+F538*$X$1</f>
        <v>14780.14</v>
      </c>
      <c r="H538" s="105">
        <f t="shared" ref="H538:H555" si="1368">F538+3000</f>
        <v>17780.14</v>
      </c>
      <c r="I538" s="326">
        <f t="shared" ref="I538:I555" si="1369">+H538*$X$1</f>
        <v>17780.14</v>
      </c>
      <c r="J538" s="105">
        <f t="shared" si="1334"/>
        <v>15380.14</v>
      </c>
      <c r="K538" s="326">
        <f t="shared" si="1335"/>
        <v>15380.14</v>
      </c>
      <c r="L538" s="105">
        <f t="shared" si="1336"/>
        <v>15230.14</v>
      </c>
      <c r="M538" s="326">
        <f t="shared" si="1337"/>
        <v>15230.14</v>
      </c>
      <c r="N538" s="105">
        <f t="shared" si="1338"/>
        <v>15180.14</v>
      </c>
      <c r="O538" s="326">
        <f t="shared" si="1339"/>
        <v>15180.14</v>
      </c>
      <c r="P538" s="105">
        <f t="shared" si="1340"/>
        <v>15150.14</v>
      </c>
      <c r="Q538" s="326">
        <f t="shared" si="1341"/>
        <v>15150.14</v>
      </c>
      <c r="R538" s="105">
        <f t="shared" si="1342"/>
        <v>15120.14</v>
      </c>
      <c r="S538" s="326">
        <f t="shared" si="1343"/>
        <v>15120.14</v>
      </c>
      <c r="T538" s="105">
        <f t="shared" si="1344"/>
        <v>15080.14</v>
      </c>
      <c r="U538" s="326">
        <f t="shared" si="1345"/>
        <v>15080.14</v>
      </c>
      <c r="V538" s="105">
        <f t="shared" si="1346"/>
        <v>15040.14</v>
      </c>
      <c r="W538" s="326">
        <f t="shared" si="1347"/>
        <v>15040.14</v>
      </c>
      <c r="X538" s="145"/>
      <c r="Y538" s="140"/>
      <c r="Z538" s="146"/>
      <c r="AA538" s="147"/>
      <c r="AB538" s="442">
        <v>668</v>
      </c>
    </row>
    <row r="539" spans="1:28" ht="12" customHeight="1" x14ac:dyDescent="0.2">
      <c r="A539" s="4"/>
      <c r="B539" s="669" t="s">
        <v>897</v>
      </c>
      <c r="C539" s="670"/>
      <c r="D539" s="670"/>
      <c r="E539" s="671"/>
      <c r="F539" s="413">
        <f>15.28*X2</f>
        <v>15066.08</v>
      </c>
      <c r="G539" s="304">
        <f t="shared" si="1367"/>
        <v>15066.08</v>
      </c>
      <c r="H539" s="104">
        <f t="shared" si="1368"/>
        <v>18066.080000000002</v>
      </c>
      <c r="I539" s="340">
        <f t="shared" si="1369"/>
        <v>18066.080000000002</v>
      </c>
      <c r="J539" s="104">
        <f t="shared" si="1334"/>
        <v>15666.08</v>
      </c>
      <c r="K539" s="340">
        <f t="shared" si="1335"/>
        <v>15666.08</v>
      </c>
      <c r="L539" s="104">
        <f t="shared" si="1336"/>
        <v>15516.08</v>
      </c>
      <c r="M539" s="340">
        <f t="shared" si="1337"/>
        <v>15516.08</v>
      </c>
      <c r="N539" s="104">
        <f t="shared" si="1338"/>
        <v>15466.08</v>
      </c>
      <c r="O539" s="340">
        <f t="shared" si="1339"/>
        <v>15466.08</v>
      </c>
      <c r="P539" s="104">
        <f t="shared" si="1340"/>
        <v>15436.08</v>
      </c>
      <c r="Q539" s="340">
        <f t="shared" si="1341"/>
        <v>15436.08</v>
      </c>
      <c r="R539" s="104">
        <f t="shared" si="1342"/>
        <v>15406.08</v>
      </c>
      <c r="S539" s="340">
        <f t="shared" si="1343"/>
        <v>15406.08</v>
      </c>
      <c r="T539" s="104">
        <f t="shared" si="1344"/>
        <v>15366.08</v>
      </c>
      <c r="U539" s="340">
        <f t="shared" si="1345"/>
        <v>15366.08</v>
      </c>
      <c r="V539" s="104">
        <f t="shared" si="1346"/>
        <v>15326.08</v>
      </c>
      <c r="W539" s="340">
        <f t="shared" si="1347"/>
        <v>15326.08</v>
      </c>
      <c r="X539" s="145"/>
      <c r="Y539" s="140"/>
      <c r="Z539" s="146"/>
      <c r="AA539" s="147"/>
      <c r="AB539" s="201">
        <v>675</v>
      </c>
    </row>
    <row r="540" spans="1:28" ht="12" customHeight="1" x14ac:dyDescent="0.2">
      <c r="A540" s="4"/>
      <c r="B540" s="750" t="s">
        <v>552</v>
      </c>
      <c r="C540" s="751"/>
      <c r="D540" s="751"/>
      <c r="E540" s="752"/>
      <c r="F540" s="412">
        <f>10.4*X2</f>
        <v>10254.4</v>
      </c>
      <c r="G540" s="303">
        <f t="shared" si="1364"/>
        <v>10254.4</v>
      </c>
      <c r="H540" s="105">
        <f t="shared" si="1368"/>
        <v>13254.4</v>
      </c>
      <c r="I540" s="326">
        <f t="shared" si="1369"/>
        <v>13254.4</v>
      </c>
      <c r="J540" s="105">
        <f t="shared" si="1334"/>
        <v>10854.4</v>
      </c>
      <c r="K540" s="326">
        <f t="shared" si="1335"/>
        <v>10854.4</v>
      </c>
      <c r="L540" s="105">
        <f t="shared" si="1336"/>
        <v>10704.4</v>
      </c>
      <c r="M540" s="326">
        <f t="shared" si="1337"/>
        <v>10704.4</v>
      </c>
      <c r="N540" s="105">
        <f t="shared" si="1338"/>
        <v>10654.4</v>
      </c>
      <c r="O540" s="326">
        <f t="shared" si="1339"/>
        <v>10654.4</v>
      </c>
      <c r="P540" s="105">
        <f t="shared" si="1340"/>
        <v>10624.4</v>
      </c>
      <c r="Q540" s="326">
        <f t="shared" si="1341"/>
        <v>10624.4</v>
      </c>
      <c r="R540" s="105">
        <f t="shared" si="1342"/>
        <v>10594.4</v>
      </c>
      <c r="S540" s="326">
        <f t="shared" si="1343"/>
        <v>10594.4</v>
      </c>
      <c r="T540" s="105">
        <f t="shared" si="1344"/>
        <v>10554.4</v>
      </c>
      <c r="U540" s="326">
        <f t="shared" si="1345"/>
        <v>10554.4</v>
      </c>
      <c r="V540" s="105">
        <f t="shared" si="1346"/>
        <v>10514.4</v>
      </c>
      <c r="W540" s="326">
        <f t="shared" si="1347"/>
        <v>10514.4</v>
      </c>
      <c r="X540" s="145"/>
      <c r="Y540" s="140"/>
      <c r="Z540" s="146"/>
      <c r="AA540" s="147"/>
      <c r="AB540" s="201">
        <v>686</v>
      </c>
    </row>
    <row r="541" spans="1:28" ht="12" customHeight="1" x14ac:dyDescent="0.2">
      <c r="A541" s="4"/>
      <c r="B541" s="669" t="s">
        <v>592</v>
      </c>
      <c r="C541" s="670"/>
      <c r="D541" s="670"/>
      <c r="E541" s="671"/>
      <c r="F541" s="414">
        <f>32*X2</f>
        <v>31552</v>
      </c>
      <c r="G541" s="304">
        <f t="shared" si="1364"/>
        <v>31552</v>
      </c>
      <c r="H541" s="104">
        <f t="shared" si="1368"/>
        <v>34552</v>
      </c>
      <c r="I541" s="340">
        <f t="shared" si="1369"/>
        <v>34552</v>
      </c>
      <c r="J541" s="104">
        <f t="shared" si="1334"/>
        <v>32152</v>
      </c>
      <c r="K541" s="340">
        <f t="shared" si="1335"/>
        <v>32152</v>
      </c>
      <c r="L541" s="104">
        <f t="shared" si="1336"/>
        <v>32002</v>
      </c>
      <c r="M541" s="340">
        <f t="shared" si="1337"/>
        <v>32002</v>
      </c>
      <c r="N541" s="104">
        <f t="shared" si="1338"/>
        <v>31952</v>
      </c>
      <c r="O541" s="340">
        <f t="shared" si="1339"/>
        <v>31952</v>
      </c>
      <c r="P541" s="104">
        <f t="shared" si="1340"/>
        <v>31922</v>
      </c>
      <c r="Q541" s="340">
        <f t="shared" si="1341"/>
        <v>31922</v>
      </c>
      <c r="R541" s="104">
        <f t="shared" si="1342"/>
        <v>31892</v>
      </c>
      <c r="S541" s="340">
        <f t="shared" si="1343"/>
        <v>31892</v>
      </c>
      <c r="T541" s="104">
        <f t="shared" si="1344"/>
        <v>31852</v>
      </c>
      <c r="U541" s="340">
        <f t="shared" si="1345"/>
        <v>31852</v>
      </c>
      <c r="V541" s="104">
        <f t="shared" si="1346"/>
        <v>31812</v>
      </c>
      <c r="W541" s="340">
        <f t="shared" si="1347"/>
        <v>31812</v>
      </c>
      <c r="X541" s="145"/>
      <c r="Y541" s="140"/>
      <c r="Z541" s="146"/>
      <c r="AA541" s="147"/>
      <c r="AB541" s="442">
        <v>687</v>
      </c>
    </row>
    <row r="542" spans="1:28" ht="12" customHeight="1" x14ac:dyDescent="0.2">
      <c r="A542" s="4"/>
      <c r="B542" s="750" t="s">
        <v>789</v>
      </c>
      <c r="C542" s="751"/>
      <c r="D542" s="751"/>
      <c r="E542" s="752"/>
      <c r="F542" s="415">
        <f>17.8*X2</f>
        <v>17550.8</v>
      </c>
      <c r="G542" s="303">
        <f t="shared" si="1364"/>
        <v>17550.8</v>
      </c>
      <c r="H542" s="105">
        <f t="shared" si="1368"/>
        <v>20550.8</v>
      </c>
      <c r="I542" s="326">
        <f t="shared" si="1369"/>
        <v>20550.8</v>
      </c>
      <c r="J542" s="105">
        <f t="shared" si="1334"/>
        <v>18150.8</v>
      </c>
      <c r="K542" s="326">
        <f t="shared" si="1335"/>
        <v>18150.8</v>
      </c>
      <c r="L542" s="105">
        <f t="shared" si="1336"/>
        <v>18000.8</v>
      </c>
      <c r="M542" s="326">
        <f t="shared" si="1337"/>
        <v>18000.8</v>
      </c>
      <c r="N542" s="105">
        <f t="shared" si="1338"/>
        <v>17950.8</v>
      </c>
      <c r="O542" s="326">
        <f t="shared" si="1339"/>
        <v>17950.8</v>
      </c>
      <c r="P542" s="105">
        <f t="shared" si="1340"/>
        <v>17920.8</v>
      </c>
      <c r="Q542" s="326">
        <f t="shared" si="1341"/>
        <v>17920.8</v>
      </c>
      <c r="R542" s="105">
        <f t="shared" si="1342"/>
        <v>17890.8</v>
      </c>
      <c r="S542" s="326">
        <f t="shared" si="1343"/>
        <v>17890.8</v>
      </c>
      <c r="T542" s="105">
        <f t="shared" si="1344"/>
        <v>17850.8</v>
      </c>
      <c r="U542" s="326">
        <f t="shared" si="1345"/>
        <v>17850.8</v>
      </c>
      <c r="V542" s="105">
        <f t="shared" si="1346"/>
        <v>17810.8</v>
      </c>
      <c r="W542" s="326">
        <f t="shared" si="1347"/>
        <v>17810.8</v>
      </c>
      <c r="X542" s="145"/>
      <c r="Y542" s="140"/>
      <c r="Z542" s="146"/>
      <c r="AA542" s="147"/>
      <c r="AB542" s="442">
        <v>694</v>
      </c>
    </row>
    <row r="543" spans="1:28" ht="12" customHeight="1" x14ac:dyDescent="0.2">
      <c r="A543" s="4"/>
      <c r="B543" s="669" t="s">
        <v>790</v>
      </c>
      <c r="C543" s="670"/>
      <c r="D543" s="670"/>
      <c r="E543" s="671"/>
      <c r="F543" s="413">
        <f>37.5*X2</f>
        <v>36975</v>
      </c>
      <c r="G543" s="304">
        <f t="shared" ref="G543" si="1370">+F543*$X$1</f>
        <v>36975</v>
      </c>
      <c r="H543" s="104">
        <f t="shared" si="1368"/>
        <v>39975</v>
      </c>
      <c r="I543" s="340">
        <f t="shared" si="1369"/>
        <v>39975</v>
      </c>
      <c r="J543" s="104">
        <f t="shared" si="1334"/>
        <v>37575</v>
      </c>
      <c r="K543" s="340">
        <f t="shared" si="1335"/>
        <v>37575</v>
      </c>
      <c r="L543" s="104">
        <f t="shared" si="1336"/>
        <v>37425</v>
      </c>
      <c r="M543" s="340">
        <f t="shared" si="1337"/>
        <v>37425</v>
      </c>
      <c r="N543" s="104">
        <f t="shared" si="1338"/>
        <v>37375</v>
      </c>
      <c r="O543" s="340">
        <f t="shared" si="1339"/>
        <v>37375</v>
      </c>
      <c r="P543" s="104">
        <f t="shared" si="1340"/>
        <v>37345</v>
      </c>
      <c r="Q543" s="340">
        <f t="shared" si="1341"/>
        <v>37345</v>
      </c>
      <c r="R543" s="104">
        <f t="shared" si="1342"/>
        <v>37315</v>
      </c>
      <c r="S543" s="340">
        <f t="shared" si="1343"/>
        <v>37315</v>
      </c>
      <c r="T543" s="104">
        <f t="shared" si="1344"/>
        <v>37275</v>
      </c>
      <c r="U543" s="340">
        <f t="shared" si="1345"/>
        <v>37275</v>
      </c>
      <c r="V543" s="104">
        <f t="shared" si="1346"/>
        <v>37235</v>
      </c>
      <c r="W543" s="340">
        <f t="shared" si="1347"/>
        <v>37235</v>
      </c>
      <c r="X543" s="145"/>
      <c r="Y543" s="140"/>
      <c r="Z543" s="146"/>
      <c r="AA543" s="147"/>
      <c r="AB543" s="442">
        <v>698</v>
      </c>
    </row>
    <row r="544" spans="1:28" ht="12" customHeight="1" x14ac:dyDescent="0.2">
      <c r="A544" s="4"/>
      <c r="B544" s="750" t="s">
        <v>627</v>
      </c>
      <c r="C544" s="751"/>
      <c r="D544" s="751"/>
      <c r="E544" s="752"/>
      <c r="F544" s="412">
        <f>54*X2</f>
        <v>53244</v>
      </c>
      <c r="G544" s="303">
        <f>+F544*$X$1</f>
        <v>53244</v>
      </c>
      <c r="H544" s="105">
        <f t="shared" si="1368"/>
        <v>56244</v>
      </c>
      <c r="I544" s="326">
        <f t="shared" si="1369"/>
        <v>56244</v>
      </c>
      <c r="J544" s="105">
        <f t="shared" si="1334"/>
        <v>53844</v>
      </c>
      <c r="K544" s="326">
        <f t="shared" si="1335"/>
        <v>53844</v>
      </c>
      <c r="L544" s="105">
        <f t="shared" si="1336"/>
        <v>53694</v>
      </c>
      <c r="M544" s="326">
        <f t="shared" si="1337"/>
        <v>53694</v>
      </c>
      <c r="N544" s="105">
        <f t="shared" si="1338"/>
        <v>53644</v>
      </c>
      <c r="O544" s="326">
        <f t="shared" si="1339"/>
        <v>53644</v>
      </c>
      <c r="P544" s="105">
        <f t="shared" si="1340"/>
        <v>53614</v>
      </c>
      <c r="Q544" s="326">
        <f t="shared" si="1341"/>
        <v>53614</v>
      </c>
      <c r="R544" s="105">
        <f t="shared" si="1342"/>
        <v>53584</v>
      </c>
      <c r="S544" s="326">
        <f t="shared" si="1343"/>
        <v>53584</v>
      </c>
      <c r="T544" s="105">
        <f t="shared" si="1344"/>
        <v>53544</v>
      </c>
      <c r="U544" s="326">
        <f t="shared" si="1345"/>
        <v>53544</v>
      </c>
      <c r="V544" s="105">
        <f t="shared" si="1346"/>
        <v>53504</v>
      </c>
      <c r="W544" s="326">
        <f t="shared" si="1347"/>
        <v>53504</v>
      </c>
      <c r="X544" s="145"/>
      <c r="Y544" s="140"/>
      <c r="Z544" s="146"/>
      <c r="AA544" s="147"/>
      <c r="AB544" s="442">
        <v>710</v>
      </c>
    </row>
    <row r="545" spans="1:34" ht="12" customHeight="1" x14ac:dyDescent="0.2">
      <c r="A545" s="4"/>
      <c r="B545" s="669" t="s">
        <v>599</v>
      </c>
      <c r="C545" s="670"/>
      <c r="D545" s="670"/>
      <c r="E545" s="671"/>
      <c r="F545" s="413">
        <f>62.42*X2</f>
        <v>61546.12</v>
      </c>
      <c r="G545" s="304">
        <f t="shared" ref="G545" si="1371">+F545*$X$1</f>
        <v>61546.12</v>
      </c>
      <c r="H545" s="104">
        <f t="shared" si="1368"/>
        <v>64546.12</v>
      </c>
      <c r="I545" s="340">
        <f t="shared" si="1369"/>
        <v>64546.12</v>
      </c>
      <c r="J545" s="104">
        <f t="shared" si="1334"/>
        <v>62146.12</v>
      </c>
      <c r="K545" s="340">
        <f t="shared" si="1335"/>
        <v>62146.12</v>
      </c>
      <c r="L545" s="104">
        <f t="shared" si="1336"/>
        <v>61996.12</v>
      </c>
      <c r="M545" s="340">
        <f t="shared" si="1337"/>
        <v>61996.12</v>
      </c>
      <c r="N545" s="104">
        <f t="shared" si="1338"/>
        <v>61946.12</v>
      </c>
      <c r="O545" s="340">
        <f t="shared" si="1339"/>
        <v>61946.12</v>
      </c>
      <c r="P545" s="104">
        <f t="shared" si="1340"/>
        <v>61916.12</v>
      </c>
      <c r="Q545" s="340">
        <f t="shared" si="1341"/>
        <v>61916.12</v>
      </c>
      <c r="R545" s="104">
        <f t="shared" si="1342"/>
        <v>61886.12</v>
      </c>
      <c r="S545" s="340">
        <f t="shared" si="1343"/>
        <v>61886.12</v>
      </c>
      <c r="T545" s="104">
        <f t="shared" si="1344"/>
        <v>61846.12</v>
      </c>
      <c r="U545" s="340">
        <f t="shared" si="1345"/>
        <v>61846.12</v>
      </c>
      <c r="V545" s="104">
        <f t="shared" si="1346"/>
        <v>61806.12</v>
      </c>
      <c r="W545" s="340">
        <f t="shared" si="1347"/>
        <v>61806.12</v>
      </c>
      <c r="X545" s="145"/>
      <c r="Y545" s="140"/>
      <c r="Z545" s="146"/>
      <c r="AA545" s="147"/>
      <c r="AB545" s="442">
        <v>711</v>
      </c>
    </row>
    <row r="546" spans="1:34" ht="12" customHeight="1" x14ac:dyDescent="0.2">
      <c r="A546" s="4"/>
      <c r="B546" s="750" t="s">
        <v>630</v>
      </c>
      <c r="C546" s="751"/>
      <c r="D546" s="751"/>
      <c r="E546" s="752"/>
      <c r="F546" s="412">
        <f>59.1*X2</f>
        <v>58272.6</v>
      </c>
      <c r="G546" s="303">
        <f t="shared" ref="G546:G554" si="1372">+F546*$X$1</f>
        <v>58272.6</v>
      </c>
      <c r="H546" s="105">
        <f t="shared" si="1368"/>
        <v>61272.6</v>
      </c>
      <c r="I546" s="326">
        <f t="shared" si="1369"/>
        <v>61272.6</v>
      </c>
      <c r="J546" s="105">
        <f t="shared" si="1334"/>
        <v>58872.6</v>
      </c>
      <c r="K546" s="326">
        <f t="shared" si="1335"/>
        <v>58872.6</v>
      </c>
      <c r="L546" s="105">
        <f t="shared" si="1336"/>
        <v>58722.6</v>
      </c>
      <c r="M546" s="326">
        <f t="shared" si="1337"/>
        <v>58722.6</v>
      </c>
      <c r="N546" s="105">
        <f t="shared" si="1338"/>
        <v>58672.6</v>
      </c>
      <c r="O546" s="326">
        <f t="shared" si="1339"/>
        <v>58672.6</v>
      </c>
      <c r="P546" s="105">
        <f t="shared" si="1340"/>
        <v>58642.6</v>
      </c>
      <c r="Q546" s="326">
        <f t="shared" si="1341"/>
        <v>58642.6</v>
      </c>
      <c r="R546" s="105">
        <f t="shared" si="1342"/>
        <v>58612.6</v>
      </c>
      <c r="S546" s="326">
        <f t="shared" si="1343"/>
        <v>58612.6</v>
      </c>
      <c r="T546" s="105">
        <f t="shared" si="1344"/>
        <v>58572.6</v>
      </c>
      <c r="U546" s="326">
        <f t="shared" si="1345"/>
        <v>58572.6</v>
      </c>
      <c r="V546" s="105">
        <f t="shared" si="1346"/>
        <v>58532.6</v>
      </c>
      <c r="W546" s="326">
        <f t="shared" si="1347"/>
        <v>58532.6</v>
      </c>
      <c r="X546" s="145"/>
      <c r="Y546" s="140"/>
      <c r="Z546" s="146"/>
      <c r="AA546" s="147"/>
      <c r="AB546" s="442">
        <v>714</v>
      </c>
    </row>
    <row r="547" spans="1:34" ht="12" customHeight="1" x14ac:dyDescent="0.2">
      <c r="A547" s="4"/>
      <c r="B547" s="952" t="s">
        <v>775</v>
      </c>
      <c r="C547" s="1055"/>
      <c r="D547" s="1055"/>
      <c r="E547" s="1056"/>
      <c r="F547" s="413">
        <f>14.5*X2</f>
        <v>14297</v>
      </c>
      <c r="G547" s="304">
        <f t="shared" ref="G547" si="1373">+F547*$X$1</f>
        <v>14297</v>
      </c>
      <c r="H547" s="104">
        <f t="shared" si="1368"/>
        <v>17297</v>
      </c>
      <c r="I547" s="340">
        <f t="shared" si="1369"/>
        <v>17297</v>
      </c>
      <c r="J547" s="104">
        <f t="shared" si="1334"/>
        <v>14897</v>
      </c>
      <c r="K547" s="340">
        <f t="shared" si="1335"/>
        <v>14897</v>
      </c>
      <c r="L547" s="104">
        <f t="shared" si="1336"/>
        <v>14747</v>
      </c>
      <c r="M547" s="340">
        <f t="shared" si="1337"/>
        <v>14747</v>
      </c>
      <c r="N547" s="104">
        <f t="shared" si="1338"/>
        <v>14697</v>
      </c>
      <c r="O547" s="340">
        <f t="shared" si="1339"/>
        <v>14697</v>
      </c>
      <c r="P547" s="104">
        <f t="shared" si="1340"/>
        <v>14667</v>
      </c>
      <c r="Q547" s="340">
        <f t="shared" si="1341"/>
        <v>14667</v>
      </c>
      <c r="R547" s="104">
        <f t="shared" si="1342"/>
        <v>14637</v>
      </c>
      <c r="S547" s="340">
        <f t="shared" si="1343"/>
        <v>14637</v>
      </c>
      <c r="T547" s="104">
        <f t="shared" si="1344"/>
        <v>14597</v>
      </c>
      <c r="U547" s="340">
        <f t="shared" si="1345"/>
        <v>14597</v>
      </c>
      <c r="V547" s="104">
        <f t="shared" si="1346"/>
        <v>14557</v>
      </c>
      <c r="W547" s="340">
        <f t="shared" si="1347"/>
        <v>14557</v>
      </c>
      <c r="X547" s="145"/>
      <c r="Y547" s="140"/>
      <c r="Z547" s="146"/>
      <c r="AA547" s="147"/>
      <c r="AB547" s="442">
        <v>716</v>
      </c>
    </row>
    <row r="548" spans="1:34" ht="12" customHeight="1" x14ac:dyDescent="0.2">
      <c r="A548" s="4"/>
      <c r="B548" s="952" t="s">
        <v>777</v>
      </c>
      <c r="C548" s="1055"/>
      <c r="D548" s="1055"/>
      <c r="E548" s="1056"/>
      <c r="F548" s="412">
        <f>83.8*X2</f>
        <v>82626.8</v>
      </c>
      <c r="G548" s="303">
        <f t="shared" ref="G548" si="1374">+F548*$X$1</f>
        <v>82626.8</v>
      </c>
      <c r="H548" s="105">
        <f t="shared" si="1368"/>
        <v>85626.8</v>
      </c>
      <c r="I548" s="326">
        <f t="shared" si="1369"/>
        <v>85626.8</v>
      </c>
      <c r="J548" s="105">
        <f t="shared" si="1334"/>
        <v>83226.8</v>
      </c>
      <c r="K548" s="326">
        <f t="shared" si="1335"/>
        <v>83226.8</v>
      </c>
      <c r="L548" s="105">
        <f t="shared" si="1336"/>
        <v>83076.800000000003</v>
      </c>
      <c r="M548" s="326">
        <f t="shared" si="1337"/>
        <v>83076.800000000003</v>
      </c>
      <c r="N548" s="105">
        <f t="shared" si="1338"/>
        <v>83026.8</v>
      </c>
      <c r="O548" s="326">
        <f t="shared" si="1339"/>
        <v>83026.8</v>
      </c>
      <c r="P548" s="105">
        <f t="shared" si="1340"/>
        <v>82996.800000000003</v>
      </c>
      <c r="Q548" s="326">
        <f t="shared" si="1341"/>
        <v>82996.800000000003</v>
      </c>
      <c r="R548" s="105">
        <f t="shared" si="1342"/>
        <v>82966.8</v>
      </c>
      <c r="S548" s="326">
        <f t="shared" si="1343"/>
        <v>82966.8</v>
      </c>
      <c r="T548" s="105">
        <f t="shared" si="1344"/>
        <v>82926.8</v>
      </c>
      <c r="U548" s="326">
        <f t="shared" si="1345"/>
        <v>82926.8</v>
      </c>
      <c r="V548" s="105">
        <f t="shared" si="1346"/>
        <v>82886.8</v>
      </c>
      <c r="W548" s="326">
        <f t="shared" si="1347"/>
        <v>82886.8</v>
      </c>
      <c r="X548" s="145"/>
      <c r="Y548" s="140"/>
      <c r="Z548" s="146"/>
      <c r="AA548" s="147"/>
      <c r="AB548" s="442">
        <v>717</v>
      </c>
    </row>
    <row r="549" spans="1:34" ht="12" customHeight="1" x14ac:dyDescent="0.2">
      <c r="A549" s="4"/>
      <c r="B549" s="952" t="s">
        <v>776</v>
      </c>
      <c r="C549" s="1055"/>
      <c r="D549" s="1055"/>
      <c r="E549" s="1056"/>
      <c r="F549" s="413">
        <f>101*X2</f>
        <v>99586</v>
      </c>
      <c r="G549" s="304">
        <f t="shared" ref="G549" si="1375">+F549*$X$1</f>
        <v>99586</v>
      </c>
      <c r="H549" s="104">
        <f t="shared" si="1368"/>
        <v>102586</v>
      </c>
      <c r="I549" s="340">
        <f t="shared" si="1369"/>
        <v>102586</v>
      </c>
      <c r="J549" s="104">
        <f t="shared" si="1334"/>
        <v>100186</v>
      </c>
      <c r="K549" s="340">
        <f t="shared" si="1335"/>
        <v>100186</v>
      </c>
      <c r="L549" s="104">
        <f t="shared" si="1336"/>
        <v>100036</v>
      </c>
      <c r="M549" s="340">
        <f t="shared" si="1337"/>
        <v>100036</v>
      </c>
      <c r="N549" s="104">
        <f t="shared" si="1338"/>
        <v>99986</v>
      </c>
      <c r="O549" s="340">
        <f t="shared" si="1339"/>
        <v>99986</v>
      </c>
      <c r="P549" s="104">
        <f t="shared" si="1340"/>
        <v>99956</v>
      </c>
      <c r="Q549" s="340">
        <f t="shared" si="1341"/>
        <v>99956</v>
      </c>
      <c r="R549" s="104">
        <f t="shared" si="1342"/>
        <v>99926</v>
      </c>
      <c r="S549" s="340">
        <f t="shared" si="1343"/>
        <v>99926</v>
      </c>
      <c r="T549" s="104">
        <f t="shared" si="1344"/>
        <v>99886</v>
      </c>
      <c r="U549" s="340">
        <f t="shared" si="1345"/>
        <v>99886</v>
      </c>
      <c r="V549" s="104">
        <f t="shared" si="1346"/>
        <v>99846</v>
      </c>
      <c r="W549" s="340">
        <f t="shared" si="1347"/>
        <v>99846</v>
      </c>
      <c r="X549" s="145"/>
      <c r="Y549" s="140"/>
      <c r="Z549" s="146"/>
      <c r="AA549" s="147"/>
      <c r="AB549" s="442">
        <v>718</v>
      </c>
    </row>
    <row r="550" spans="1:34" ht="12" customHeight="1" x14ac:dyDescent="0.2">
      <c r="A550" s="4"/>
      <c r="B550" s="952" t="s">
        <v>899</v>
      </c>
      <c r="C550" s="1055"/>
      <c r="D550" s="1055"/>
      <c r="E550" s="1056"/>
      <c r="F550" s="412">
        <f>33.13*X2</f>
        <v>32666.180000000004</v>
      </c>
      <c r="G550" s="303">
        <f t="shared" ref="G550" si="1376">+F550*$X$1</f>
        <v>32666.180000000004</v>
      </c>
      <c r="H550" s="105">
        <f t="shared" ref="H550" si="1377">F550+3000</f>
        <v>35666.180000000008</v>
      </c>
      <c r="I550" s="326">
        <f t="shared" ref="I550" si="1378">+H550*$X$1</f>
        <v>35666.180000000008</v>
      </c>
      <c r="J550" s="105">
        <f t="shared" ref="J550" si="1379">F550+600</f>
        <v>33266.180000000008</v>
      </c>
      <c r="K550" s="326">
        <f t="shared" ref="K550" si="1380">+J550*$X$1</f>
        <v>33266.180000000008</v>
      </c>
      <c r="L550" s="105">
        <f t="shared" ref="L550" si="1381">F550+450</f>
        <v>33116.180000000008</v>
      </c>
      <c r="M550" s="326">
        <f t="shared" ref="M550" si="1382">+L550*$X$1</f>
        <v>33116.180000000008</v>
      </c>
      <c r="N550" s="105">
        <f t="shared" ref="N550" si="1383">F550+400</f>
        <v>33066.180000000008</v>
      </c>
      <c r="O550" s="326">
        <f t="shared" ref="O550" si="1384">+N550*$X$1</f>
        <v>33066.180000000008</v>
      </c>
      <c r="P550" s="105">
        <f t="shared" ref="P550" si="1385">F550+370</f>
        <v>33036.180000000008</v>
      </c>
      <c r="Q550" s="326">
        <f t="shared" ref="Q550" si="1386">+P550*$X$1</f>
        <v>33036.180000000008</v>
      </c>
      <c r="R550" s="105">
        <f t="shared" ref="R550" si="1387">F550+340</f>
        <v>33006.180000000008</v>
      </c>
      <c r="S550" s="326">
        <f t="shared" ref="S550" si="1388">+R550*$X$1</f>
        <v>33006.180000000008</v>
      </c>
      <c r="T550" s="105">
        <f t="shared" ref="T550" si="1389">F550+300</f>
        <v>32966.180000000008</v>
      </c>
      <c r="U550" s="326">
        <f t="shared" ref="U550" si="1390">+T550*$X$1</f>
        <v>32966.180000000008</v>
      </c>
      <c r="V550" s="105">
        <f t="shared" ref="V550" si="1391">F550+260</f>
        <v>32926.180000000008</v>
      </c>
      <c r="W550" s="326">
        <f t="shared" ref="W550" si="1392">+V550*$X$1</f>
        <v>32926.180000000008</v>
      </c>
      <c r="X550" s="145"/>
      <c r="Y550" s="140"/>
      <c r="Z550" s="146"/>
      <c r="AA550" s="147"/>
      <c r="AB550" s="442">
        <v>719</v>
      </c>
    </row>
    <row r="551" spans="1:34" ht="12" customHeight="1" x14ac:dyDescent="0.2">
      <c r="A551" s="4"/>
      <c r="B551" s="669" t="s">
        <v>774</v>
      </c>
      <c r="C551" s="670"/>
      <c r="D551" s="670"/>
      <c r="E551" s="671"/>
      <c r="F551" s="413">
        <f>14.4*X2</f>
        <v>14198.4</v>
      </c>
      <c r="G551" s="304">
        <f t="shared" ref="G551" si="1393">+F551*$X$1</f>
        <v>14198.4</v>
      </c>
      <c r="H551" s="104">
        <f t="shared" si="1368"/>
        <v>17198.400000000001</v>
      </c>
      <c r="I551" s="340">
        <f t="shared" si="1369"/>
        <v>17198.400000000001</v>
      </c>
      <c r="J551" s="104">
        <f t="shared" si="1334"/>
        <v>14798.4</v>
      </c>
      <c r="K551" s="340">
        <f t="shared" si="1335"/>
        <v>14798.4</v>
      </c>
      <c r="L551" s="104">
        <f t="shared" si="1336"/>
        <v>14648.4</v>
      </c>
      <c r="M551" s="340">
        <f t="shared" si="1337"/>
        <v>14648.4</v>
      </c>
      <c r="N551" s="104">
        <f t="shared" si="1338"/>
        <v>14598.4</v>
      </c>
      <c r="O551" s="340">
        <f t="shared" si="1339"/>
        <v>14598.4</v>
      </c>
      <c r="P551" s="104">
        <f t="shared" si="1340"/>
        <v>14568.4</v>
      </c>
      <c r="Q551" s="340">
        <f t="shared" si="1341"/>
        <v>14568.4</v>
      </c>
      <c r="R551" s="104">
        <f t="shared" si="1342"/>
        <v>14538.4</v>
      </c>
      <c r="S551" s="340">
        <f t="shared" si="1343"/>
        <v>14538.4</v>
      </c>
      <c r="T551" s="104">
        <f t="shared" si="1344"/>
        <v>14498.4</v>
      </c>
      <c r="U551" s="340">
        <f t="shared" si="1345"/>
        <v>14498.4</v>
      </c>
      <c r="V551" s="104">
        <f t="shared" si="1346"/>
        <v>14458.4</v>
      </c>
      <c r="W551" s="340">
        <f t="shared" si="1347"/>
        <v>14458.4</v>
      </c>
      <c r="X551" s="145"/>
      <c r="Y551" s="140"/>
      <c r="Z551" s="146"/>
      <c r="AA551" s="147"/>
      <c r="AB551" s="442">
        <v>720</v>
      </c>
    </row>
    <row r="552" spans="1:34" ht="12" customHeight="1" x14ac:dyDescent="0.2">
      <c r="A552" s="4"/>
      <c r="B552" s="750" t="s">
        <v>773</v>
      </c>
      <c r="C552" s="751"/>
      <c r="D552" s="751"/>
      <c r="E552" s="752"/>
      <c r="F552" s="412">
        <f>40.98*X2</f>
        <v>40406.28</v>
      </c>
      <c r="G552" s="303">
        <f t="shared" ref="G552" si="1394">+F552*$X$1</f>
        <v>40406.28</v>
      </c>
      <c r="H552" s="105">
        <f t="shared" si="1368"/>
        <v>43406.28</v>
      </c>
      <c r="I552" s="326">
        <f t="shared" si="1369"/>
        <v>43406.28</v>
      </c>
      <c r="J552" s="105">
        <f t="shared" si="1334"/>
        <v>41006.28</v>
      </c>
      <c r="K552" s="326">
        <f t="shared" si="1335"/>
        <v>41006.28</v>
      </c>
      <c r="L552" s="105">
        <f t="shared" si="1336"/>
        <v>40856.28</v>
      </c>
      <c r="M552" s="326">
        <f t="shared" si="1337"/>
        <v>40856.28</v>
      </c>
      <c r="N552" s="105">
        <f t="shared" si="1338"/>
        <v>40806.28</v>
      </c>
      <c r="O552" s="326">
        <f t="shared" si="1339"/>
        <v>40806.28</v>
      </c>
      <c r="P552" s="105">
        <f t="shared" si="1340"/>
        <v>40776.28</v>
      </c>
      <c r="Q552" s="326">
        <f t="shared" si="1341"/>
        <v>40776.28</v>
      </c>
      <c r="R552" s="105">
        <f t="shared" si="1342"/>
        <v>40746.28</v>
      </c>
      <c r="S552" s="326">
        <f t="shared" si="1343"/>
        <v>40746.28</v>
      </c>
      <c r="T552" s="105">
        <f t="shared" si="1344"/>
        <v>40706.28</v>
      </c>
      <c r="U552" s="326">
        <f t="shared" si="1345"/>
        <v>40706.28</v>
      </c>
      <c r="V552" s="105">
        <f t="shared" si="1346"/>
        <v>40666.28</v>
      </c>
      <c r="W552" s="326">
        <f t="shared" si="1347"/>
        <v>40666.28</v>
      </c>
      <c r="X552" s="145"/>
      <c r="Y552" s="140"/>
      <c r="Z552" s="146"/>
      <c r="AA552" s="147"/>
      <c r="AB552" s="442">
        <v>721</v>
      </c>
    </row>
    <row r="553" spans="1:34" ht="12" customHeight="1" x14ac:dyDescent="0.2">
      <c r="A553" s="4"/>
      <c r="B553" s="669" t="s">
        <v>659</v>
      </c>
      <c r="C553" s="670"/>
      <c r="D553" s="670"/>
      <c r="E553" s="671"/>
      <c r="F553" s="413">
        <f>29.2*X2</f>
        <v>28791.200000000001</v>
      </c>
      <c r="G553" s="304">
        <f t="shared" si="1372"/>
        <v>28791.200000000001</v>
      </c>
      <c r="H553" s="104">
        <f t="shared" si="1368"/>
        <v>31791.200000000001</v>
      </c>
      <c r="I553" s="340">
        <f t="shared" si="1369"/>
        <v>31791.200000000001</v>
      </c>
      <c r="J553" s="104">
        <f t="shared" si="1334"/>
        <v>29391.200000000001</v>
      </c>
      <c r="K553" s="340">
        <f t="shared" si="1335"/>
        <v>29391.200000000001</v>
      </c>
      <c r="L553" s="104">
        <f t="shared" si="1336"/>
        <v>29241.200000000001</v>
      </c>
      <c r="M553" s="340">
        <f t="shared" si="1337"/>
        <v>29241.200000000001</v>
      </c>
      <c r="N553" s="104">
        <f t="shared" si="1338"/>
        <v>29191.200000000001</v>
      </c>
      <c r="O553" s="340">
        <f t="shared" si="1339"/>
        <v>29191.200000000001</v>
      </c>
      <c r="P553" s="104">
        <f t="shared" si="1340"/>
        <v>29161.200000000001</v>
      </c>
      <c r="Q553" s="340">
        <f t="shared" si="1341"/>
        <v>29161.200000000001</v>
      </c>
      <c r="R553" s="104">
        <f t="shared" si="1342"/>
        <v>29131.200000000001</v>
      </c>
      <c r="S553" s="340">
        <f t="shared" si="1343"/>
        <v>29131.200000000001</v>
      </c>
      <c r="T553" s="104">
        <f t="shared" si="1344"/>
        <v>29091.200000000001</v>
      </c>
      <c r="U553" s="340">
        <f t="shared" si="1345"/>
        <v>29091.200000000001</v>
      </c>
      <c r="V553" s="104">
        <f t="shared" si="1346"/>
        <v>29051.200000000001</v>
      </c>
      <c r="W553" s="340">
        <f t="shared" si="1347"/>
        <v>29051.200000000001</v>
      </c>
      <c r="X553" s="145"/>
      <c r="Y553" s="140"/>
      <c r="Z553" s="146"/>
      <c r="AA553" s="147"/>
      <c r="AB553" s="201">
        <v>742</v>
      </c>
    </row>
    <row r="554" spans="1:34" ht="12" customHeight="1" x14ac:dyDescent="0.2">
      <c r="A554" s="4"/>
      <c r="B554" s="750" t="s">
        <v>660</v>
      </c>
      <c r="C554" s="751"/>
      <c r="D554" s="751"/>
      <c r="E554" s="752"/>
      <c r="F554" s="412">
        <f>26.77*X2</f>
        <v>26395.22</v>
      </c>
      <c r="G554" s="303">
        <f t="shared" si="1372"/>
        <v>26395.22</v>
      </c>
      <c r="H554" s="105">
        <f t="shared" si="1368"/>
        <v>29395.22</v>
      </c>
      <c r="I554" s="326">
        <f t="shared" si="1369"/>
        <v>29395.22</v>
      </c>
      <c r="J554" s="105">
        <f t="shared" si="1334"/>
        <v>26995.22</v>
      </c>
      <c r="K554" s="326">
        <f t="shared" si="1335"/>
        <v>26995.22</v>
      </c>
      <c r="L554" s="105">
        <f t="shared" si="1336"/>
        <v>26845.22</v>
      </c>
      <c r="M554" s="326">
        <f t="shared" si="1337"/>
        <v>26845.22</v>
      </c>
      <c r="N554" s="105">
        <f t="shared" si="1338"/>
        <v>26795.22</v>
      </c>
      <c r="O554" s="326">
        <f t="shared" si="1339"/>
        <v>26795.22</v>
      </c>
      <c r="P554" s="105">
        <f t="shared" si="1340"/>
        <v>26765.22</v>
      </c>
      <c r="Q554" s="326">
        <f t="shared" si="1341"/>
        <v>26765.22</v>
      </c>
      <c r="R554" s="105">
        <f t="shared" si="1342"/>
        <v>26735.22</v>
      </c>
      <c r="S554" s="326">
        <f t="shared" si="1343"/>
        <v>26735.22</v>
      </c>
      <c r="T554" s="105">
        <f t="shared" si="1344"/>
        <v>26695.22</v>
      </c>
      <c r="U554" s="326">
        <f t="shared" si="1345"/>
        <v>26695.22</v>
      </c>
      <c r="V554" s="105">
        <f t="shared" si="1346"/>
        <v>26655.22</v>
      </c>
      <c r="W554" s="326">
        <f t="shared" si="1347"/>
        <v>26655.22</v>
      </c>
      <c r="X554" s="145"/>
      <c r="Y554" s="140"/>
      <c r="Z554" s="146"/>
      <c r="AA554" s="147"/>
      <c r="AB554" s="201">
        <v>743</v>
      </c>
    </row>
    <row r="555" spans="1:34" ht="12" customHeight="1" x14ac:dyDescent="0.2">
      <c r="A555" s="4"/>
      <c r="B555" s="669" t="s">
        <v>747</v>
      </c>
      <c r="C555" s="670"/>
      <c r="D555" s="670"/>
      <c r="E555" s="671"/>
      <c r="F555" s="413">
        <f>27.28*X2</f>
        <v>26898.080000000002</v>
      </c>
      <c r="G555" s="304">
        <f t="shared" ref="G555" si="1395">+F555*$X$1</f>
        <v>26898.080000000002</v>
      </c>
      <c r="H555" s="104">
        <f t="shared" si="1368"/>
        <v>29898.080000000002</v>
      </c>
      <c r="I555" s="340">
        <f t="shared" si="1369"/>
        <v>29898.080000000002</v>
      </c>
      <c r="J555" s="104">
        <f t="shared" si="1334"/>
        <v>27498.080000000002</v>
      </c>
      <c r="K555" s="340">
        <f t="shared" si="1335"/>
        <v>27498.080000000002</v>
      </c>
      <c r="L555" s="104">
        <f t="shared" si="1336"/>
        <v>27348.080000000002</v>
      </c>
      <c r="M555" s="340">
        <f t="shared" si="1337"/>
        <v>27348.080000000002</v>
      </c>
      <c r="N555" s="104">
        <f t="shared" si="1338"/>
        <v>27298.080000000002</v>
      </c>
      <c r="O555" s="340">
        <f t="shared" si="1339"/>
        <v>27298.080000000002</v>
      </c>
      <c r="P555" s="104">
        <f t="shared" si="1340"/>
        <v>27268.080000000002</v>
      </c>
      <c r="Q555" s="340">
        <f t="shared" si="1341"/>
        <v>27268.080000000002</v>
      </c>
      <c r="R555" s="104">
        <f t="shared" si="1342"/>
        <v>27238.080000000002</v>
      </c>
      <c r="S555" s="340">
        <f t="shared" si="1343"/>
        <v>27238.080000000002</v>
      </c>
      <c r="T555" s="104">
        <f t="shared" si="1344"/>
        <v>27198.080000000002</v>
      </c>
      <c r="U555" s="340">
        <f t="shared" si="1345"/>
        <v>27198.080000000002</v>
      </c>
      <c r="V555" s="104">
        <f t="shared" si="1346"/>
        <v>27158.080000000002</v>
      </c>
      <c r="W555" s="340">
        <f t="shared" si="1347"/>
        <v>27158.080000000002</v>
      </c>
      <c r="X555" s="145"/>
      <c r="Y555" s="140"/>
      <c r="Z555" s="146"/>
      <c r="AA555" s="147"/>
      <c r="AB555" s="201">
        <v>744</v>
      </c>
    </row>
    <row r="556" spans="1:34" ht="12" customHeight="1" x14ac:dyDescent="0.2">
      <c r="A556" s="4"/>
      <c r="B556" s="1113" t="s">
        <v>633</v>
      </c>
      <c r="C556" s="1114"/>
      <c r="D556" s="1114"/>
      <c r="E556" s="1114"/>
      <c r="F556" s="428"/>
      <c r="G556" s="428"/>
      <c r="H556" s="598">
        <v>1700</v>
      </c>
      <c r="I556" s="303">
        <f t="shared" ref="I556:K556" si="1396">+H556*$X$1</f>
        <v>1700</v>
      </c>
      <c r="J556" s="598">
        <v>700</v>
      </c>
      <c r="K556" s="303">
        <f t="shared" si="1396"/>
        <v>700</v>
      </c>
      <c r="L556" s="598">
        <v>600</v>
      </c>
      <c r="M556" s="303">
        <f t="shared" ref="M556" si="1397">+L556*$X$1</f>
        <v>600</v>
      </c>
      <c r="N556" s="598">
        <v>520</v>
      </c>
      <c r="O556" s="303">
        <f t="shared" ref="O556" si="1398">+N556*$X$1</f>
        <v>520</v>
      </c>
      <c r="P556" s="598">
        <v>480</v>
      </c>
      <c r="Q556" s="303">
        <f t="shared" ref="Q556" si="1399">+P556*$X$1</f>
        <v>480</v>
      </c>
      <c r="R556" s="598">
        <v>430</v>
      </c>
      <c r="S556" s="303">
        <f t="shared" ref="S556" si="1400">+R556*$X$1</f>
        <v>430</v>
      </c>
      <c r="T556" s="598">
        <v>390</v>
      </c>
      <c r="U556" s="303">
        <f t="shared" ref="U556" si="1401">+T556*$X$1</f>
        <v>390</v>
      </c>
      <c r="V556" s="598">
        <v>360</v>
      </c>
      <c r="W556" s="303">
        <f t="shared" ref="W556" si="1402">+V556*$X$1</f>
        <v>360</v>
      </c>
      <c r="X556" s="145"/>
      <c r="Y556" s="140"/>
      <c r="Z556" s="146"/>
      <c r="AA556" s="146"/>
      <c r="AB556" s="40"/>
    </row>
    <row r="557" spans="1:34" ht="10.5" customHeight="1" x14ac:dyDescent="0.2">
      <c r="A557" s="76"/>
      <c r="B557" s="112"/>
      <c r="C557" s="356"/>
      <c r="D557" s="356"/>
      <c r="E557" s="356"/>
      <c r="F557" s="357"/>
      <c r="G557" s="357"/>
      <c r="H557" s="122"/>
      <c r="I557" s="357"/>
      <c r="J557" s="122"/>
      <c r="K557" s="357"/>
      <c r="L557" s="122"/>
      <c r="M557" s="357"/>
      <c r="N557" s="122"/>
      <c r="O557" s="357"/>
      <c r="P557" s="122"/>
      <c r="Q557" s="357"/>
      <c r="R557" s="122"/>
      <c r="S557" s="357"/>
      <c r="T557" s="122"/>
      <c r="U557" s="357"/>
      <c r="V557" s="122"/>
      <c r="W557" s="357"/>
      <c r="X557" s="209"/>
      <c r="Y557" s="76"/>
      <c r="Z557" s="210"/>
      <c r="AA557" s="210"/>
      <c r="AB557" s="211"/>
    </row>
    <row r="558" spans="1:34" ht="10.5" customHeight="1" x14ac:dyDescent="0.2">
      <c r="A558" s="76"/>
      <c r="B558" s="112"/>
      <c r="C558" s="542"/>
      <c r="D558" s="542"/>
      <c r="E558" s="542"/>
      <c r="F558" s="357"/>
      <c r="G558" s="357"/>
      <c r="H558" s="122"/>
      <c r="I558" s="357"/>
      <c r="J558" s="122"/>
      <c r="K558" s="357"/>
      <c r="L558" s="122"/>
      <c r="M558" s="357"/>
      <c r="N558" s="122"/>
      <c r="O558" s="357"/>
      <c r="P558" s="122"/>
      <c r="Q558" s="357"/>
      <c r="R558" s="122"/>
      <c r="S558" s="357"/>
      <c r="T558" s="122"/>
      <c r="U558" s="357"/>
      <c r="V558" s="122"/>
      <c r="W558" s="357"/>
      <c r="X558" s="209"/>
      <c r="Y558" s="76"/>
      <c r="Z558" s="210"/>
      <c r="AA558" s="210"/>
      <c r="AB558" s="211"/>
    </row>
    <row r="559" spans="1:34" ht="10.5" customHeight="1" x14ac:dyDescent="0.2">
      <c r="A559" s="76"/>
      <c r="B559" s="112"/>
      <c r="C559" s="536"/>
      <c r="D559" s="536"/>
      <c r="E559" s="536"/>
      <c r="F559" s="357"/>
      <c r="G559" s="357"/>
      <c r="H559" s="122"/>
      <c r="I559" s="357"/>
      <c r="J559" s="122"/>
      <c r="K559" s="357"/>
      <c r="L559" s="122"/>
      <c r="M559" s="357"/>
      <c r="N559" s="122"/>
      <c r="O559" s="357"/>
      <c r="P559" s="122"/>
      <c r="Q559" s="357"/>
      <c r="R559" s="122"/>
      <c r="S559" s="357"/>
      <c r="T559" s="122"/>
      <c r="U559" s="357"/>
      <c r="V559" s="122"/>
      <c r="W559" s="357"/>
      <c r="X559" s="209"/>
      <c r="Y559" s="76"/>
      <c r="Z559" s="210"/>
      <c r="AA559" s="210"/>
      <c r="AB559" s="211"/>
    </row>
    <row r="560" spans="1:34" ht="14.25" customHeight="1" x14ac:dyDescent="0.2">
      <c r="B560" s="1053" t="s">
        <v>868</v>
      </c>
      <c r="C560" s="1054"/>
      <c r="D560" s="1054"/>
      <c r="E560" s="1054"/>
      <c r="F560" s="1054"/>
      <c r="G560" s="1054"/>
      <c r="H560" s="1054"/>
      <c r="I560" s="1054"/>
      <c r="J560" s="1054"/>
      <c r="K560" s="1054"/>
      <c r="L560" s="1054"/>
      <c r="M560" s="1054"/>
      <c r="N560" s="1054"/>
      <c r="O560" s="1054"/>
      <c r="P560" s="1054"/>
      <c r="Q560" s="1054"/>
      <c r="R560" s="1054"/>
      <c r="S560" s="1054"/>
      <c r="T560" s="1054"/>
      <c r="U560" s="1054"/>
      <c r="V560" s="1054"/>
      <c r="W560" s="1054"/>
      <c r="AB560" s="4"/>
      <c r="AF560" s="631" t="s">
        <v>3</v>
      </c>
      <c r="AG560" s="632"/>
      <c r="AH560" s="632"/>
    </row>
    <row r="561" spans="1:34" ht="12" customHeight="1" x14ac:dyDescent="0.2">
      <c r="B561" s="920" t="s">
        <v>11</v>
      </c>
      <c r="C561" s="920" t="s">
        <v>12</v>
      </c>
      <c r="D561" s="921"/>
      <c r="E561" s="921"/>
      <c r="F561" s="806" t="s">
        <v>296</v>
      </c>
      <c r="G561" s="806" t="s">
        <v>13</v>
      </c>
      <c r="H561" s="660" t="s">
        <v>857</v>
      </c>
      <c r="I561" s="660"/>
      <c r="J561" s="661"/>
      <c r="K561" s="661"/>
      <c r="L561" s="661"/>
      <c r="M561" s="661"/>
      <c r="N561" s="661"/>
      <c r="O561" s="661"/>
      <c r="P561" s="661"/>
      <c r="Q561" s="661"/>
      <c r="R561" s="661"/>
      <c r="S561" s="661"/>
      <c r="T561" s="661"/>
      <c r="U561" s="661"/>
      <c r="V561" s="661"/>
      <c r="W561" s="661"/>
      <c r="X561" s="635" t="s">
        <v>14</v>
      </c>
      <c r="Y561" s="636"/>
      <c r="Z561" s="636"/>
      <c r="AA561" s="636"/>
      <c r="AB561" s="633" t="s">
        <v>15</v>
      </c>
      <c r="AF561" s="631"/>
      <c r="AG561" s="632"/>
      <c r="AH561" s="632"/>
    </row>
    <row r="562" spans="1:34" ht="11.25" customHeight="1" x14ac:dyDescent="0.2">
      <c r="B562" s="921"/>
      <c r="C562" s="921"/>
      <c r="D562" s="921"/>
      <c r="E562" s="921"/>
      <c r="F562" s="807"/>
      <c r="G562" s="807"/>
      <c r="H562" s="561"/>
      <c r="I562" s="560" t="s">
        <v>297</v>
      </c>
      <c r="J562" s="561"/>
      <c r="K562" s="560" t="s">
        <v>298</v>
      </c>
      <c r="L562" s="561"/>
      <c r="M562" s="560" t="s">
        <v>593</v>
      </c>
      <c r="N562" s="561"/>
      <c r="O562" s="560" t="s">
        <v>17</v>
      </c>
      <c r="P562" s="561"/>
      <c r="Q562" s="560" t="s">
        <v>18</v>
      </c>
      <c r="R562" s="561"/>
      <c r="S562" s="560" t="s">
        <v>19</v>
      </c>
      <c r="T562" s="561"/>
      <c r="U562" s="560" t="s">
        <v>300</v>
      </c>
      <c r="V562" s="561"/>
      <c r="W562" s="560" t="s">
        <v>20</v>
      </c>
      <c r="X562" s="638"/>
      <c r="Y562" s="639"/>
      <c r="Z562" s="639"/>
      <c r="AA562" s="639"/>
      <c r="AB562" s="634"/>
    </row>
    <row r="563" spans="1:34" ht="12.6" customHeight="1" x14ac:dyDescent="0.2">
      <c r="A563" s="18"/>
      <c r="B563" s="697" t="s">
        <v>572</v>
      </c>
      <c r="C563" s="698"/>
      <c r="D563" s="698"/>
      <c r="E563" s="699"/>
      <c r="F563" s="340">
        <v>3000</v>
      </c>
      <c r="G563" s="325"/>
      <c r="H563" s="104"/>
      <c r="I563" s="340"/>
      <c r="J563" s="104">
        <f>F563+290</f>
        <v>3290</v>
      </c>
      <c r="K563" s="340">
        <f t="shared" ref="K563" si="1403">+J563*$X$1</f>
        <v>3290</v>
      </c>
      <c r="L563" s="104">
        <f t="shared" ref="L563:L574" si="1404">F563+240</f>
        <v>3240</v>
      </c>
      <c r="M563" s="340">
        <f t="shared" ref="M563" si="1405">+L563*$X$1</f>
        <v>3240</v>
      </c>
      <c r="N563" s="104">
        <f t="shared" ref="N563:N574" si="1406">F563+190</f>
        <v>3190</v>
      </c>
      <c r="O563" s="340">
        <f t="shared" ref="O563" si="1407">+N563*$X$1</f>
        <v>3190</v>
      </c>
      <c r="P563" s="104">
        <f t="shared" ref="P563:P574" si="1408">F563+150</f>
        <v>3150</v>
      </c>
      <c r="Q563" s="340">
        <f t="shared" ref="Q563" si="1409">+P563*$X$1</f>
        <v>3150</v>
      </c>
      <c r="R563" s="104">
        <f t="shared" ref="R563:R574" si="1410">F563+130</f>
        <v>3130</v>
      </c>
      <c r="S563" s="340">
        <f t="shared" ref="S563" si="1411">+R563*$X$1</f>
        <v>3130</v>
      </c>
      <c r="T563" s="104">
        <f t="shared" ref="T563:T574" si="1412">F563+115</f>
        <v>3115</v>
      </c>
      <c r="U563" s="340">
        <f t="shared" ref="U563" si="1413">+T563*$X$1</f>
        <v>3115</v>
      </c>
      <c r="V563" s="104">
        <f t="shared" ref="V563:V574" si="1414">F563+105</f>
        <v>3105</v>
      </c>
      <c r="W563" s="340">
        <f t="shared" ref="W563" si="1415">+V563*$X$1</f>
        <v>3105</v>
      </c>
      <c r="X563" s="151"/>
      <c r="Y563" s="152"/>
      <c r="Z563" s="152"/>
      <c r="AA563" s="152"/>
      <c r="AB563" s="456" t="s">
        <v>830</v>
      </c>
    </row>
    <row r="564" spans="1:34" ht="12.6" customHeight="1" x14ac:dyDescent="0.2">
      <c r="A564" s="18"/>
      <c r="B564" s="622" t="s">
        <v>414</v>
      </c>
      <c r="C564" s="651"/>
      <c r="D564" s="651"/>
      <c r="E564" s="652"/>
      <c r="F564" s="303">
        <v>1315</v>
      </c>
      <c r="G564" s="268"/>
      <c r="H564" s="337"/>
      <c r="I564" s="303"/>
      <c r="J564" s="337"/>
      <c r="K564" s="303"/>
      <c r="L564" s="337">
        <f t="shared" si="1404"/>
        <v>1555</v>
      </c>
      <c r="M564" s="303">
        <f t="shared" ref="M564" si="1416">+L564*$X$1</f>
        <v>1555</v>
      </c>
      <c r="N564" s="337">
        <f t="shared" si="1406"/>
        <v>1505</v>
      </c>
      <c r="O564" s="303">
        <f t="shared" ref="O564" si="1417">+N564*$X$1</f>
        <v>1505</v>
      </c>
      <c r="P564" s="337">
        <f t="shared" si="1408"/>
        <v>1465</v>
      </c>
      <c r="Q564" s="303">
        <f t="shared" ref="Q564" si="1418">+P564*$X$1</f>
        <v>1465</v>
      </c>
      <c r="R564" s="337">
        <f t="shared" si="1410"/>
        <v>1445</v>
      </c>
      <c r="S564" s="303">
        <f t="shared" ref="S564" si="1419">+R564*$X$1</f>
        <v>1445</v>
      </c>
      <c r="T564" s="337">
        <f t="shared" si="1412"/>
        <v>1430</v>
      </c>
      <c r="U564" s="303">
        <f t="shared" ref="U564" si="1420">+T564*$X$1</f>
        <v>1430</v>
      </c>
      <c r="V564" s="337">
        <f t="shared" si="1414"/>
        <v>1420</v>
      </c>
      <c r="W564" s="303">
        <f t="shared" ref="W564" si="1421">+V564*$X$1</f>
        <v>1420</v>
      </c>
      <c r="X564" s="151"/>
      <c r="Y564" s="152"/>
      <c r="Z564" s="152"/>
      <c r="AA564" s="152"/>
      <c r="AB564" s="32"/>
    </row>
    <row r="565" spans="1:34" ht="12.6" customHeight="1" x14ac:dyDescent="0.2">
      <c r="A565" s="18"/>
      <c r="B565" s="682" t="s">
        <v>466</v>
      </c>
      <c r="C565" s="683"/>
      <c r="D565" s="683"/>
      <c r="E565" s="684"/>
      <c r="F565" s="340">
        <v>3100</v>
      </c>
      <c r="G565" s="325"/>
      <c r="H565" s="486">
        <f t="shared" ref="H565:H571" si="1422">F565+570</f>
        <v>3670</v>
      </c>
      <c r="I565" s="304">
        <f t="shared" ref="I565:I571" si="1423">+H565*$X$1</f>
        <v>3670</v>
      </c>
      <c r="J565" s="486">
        <f t="shared" ref="J565:J574" si="1424">F565+290</f>
        <v>3390</v>
      </c>
      <c r="K565" s="304">
        <f t="shared" ref="K565:K567" si="1425">+J565*$X$1</f>
        <v>3390</v>
      </c>
      <c r="L565" s="486">
        <f t="shared" si="1404"/>
        <v>3340</v>
      </c>
      <c r="M565" s="304">
        <f t="shared" ref="M565:M567" si="1426">+L565*$X$1</f>
        <v>3340</v>
      </c>
      <c r="N565" s="486">
        <f t="shared" si="1406"/>
        <v>3290</v>
      </c>
      <c r="O565" s="304">
        <f t="shared" ref="O565:O567" si="1427">+N565*$X$1</f>
        <v>3290</v>
      </c>
      <c r="P565" s="486">
        <f t="shared" si="1408"/>
        <v>3250</v>
      </c>
      <c r="Q565" s="304">
        <f t="shared" ref="Q565:Q567" si="1428">+P565*$X$1</f>
        <v>3250</v>
      </c>
      <c r="R565" s="486">
        <f t="shared" si="1410"/>
        <v>3230</v>
      </c>
      <c r="S565" s="304">
        <f t="shared" ref="S565:S567" si="1429">+R565*$X$1</f>
        <v>3230</v>
      </c>
      <c r="T565" s="486">
        <f t="shared" si="1412"/>
        <v>3215</v>
      </c>
      <c r="U565" s="304">
        <f t="shared" ref="U565:U567" si="1430">+T565*$X$1</f>
        <v>3215</v>
      </c>
      <c r="V565" s="486">
        <f t="shared" si="1414"/>
        <v>3205</v>
      </c>
      <c r="W565" s="304">
        <f t="shared" ref="W565:W567" si="1431">+V565*$X$1</f>
        <v>3205</v>
      </c>
      <c r="X565" s="151"/>
      <c r="Y565" s="152"/>
      <c r="Z565" s="152"/>
      <c r="AA565" s="152"/>
      <c r="AB565" s="442" t="s">
        <v>831</v>
      </c>
    </row>
    <row r="566" spans="1:34" ht="12.6" customHeight="1" x14ac:dyDescent="0.2">
      <c r="A566" s="18"/>
      <c r="B566" s="622" t="s">
        <v>301</v>
      </c>
      <c r="C566" s="623"/>
      <c r="D566" s="623"/>
      <c r="E566" s="624"/>
      <c r="F566" s="326">
        <v>5800</v>
      </c>
      <c r="G566" s="268"/>
      <c r="H566" s="337">
        <f t="shared" si="1422"/>
        <v>6370</v>
      </c>
      <c r="I566" s="303">
        <f t="shared" si="1423"/>
        <v>6370</v>
      </c>
      <c r="J566" s="337">
        <f t="shared" si="1424"/>
        <v>6090</v>
      </c>
      <c r="K566" s="303">
        <f t="shared" si="1425"/>
        <v>6090</v>
      </c>
      <c r="L566" s="337">
        <f t="shared" si="1404"/>
        <v>6040</v>
      </c>
      <c r="M566" s="303">
        <f t="shared" si="1426"/>
        <v>6040</v>
      </c>
      <c r="N566" s="337">
        <f t="shared" si="1406"/>
        <v>5990</v>
      </c>
      <c r="O566" s="303">
        <f t="shared" si="1427"/>
        <v>5990</v>
      </c>
      <c r="P566" s="337">
        <f t="shared" si="1408"/>
        <v>5950</v>
      </c>
      <c r="Q566" s="303">
        <f t="shared" si="1428"/>
        <v>5950</v>
      </c>
      <c r="R566" s="337">
        <f t="shared" si="1410"/>
        <v>5930</v>
      </c>
      <c r="S566" s="303">
        <f t="shared" si="1429"/>
        <v>5930</v>
      </c>
      <c r="T566" s="337">
        <f t="shared" si="1412"/>
        <v>5915</v>
      </c>
      <c r="U566" s="303">
        <f t="shared" si="1430"/>
        <v>5915</v>
      </c>
      <c r="V566" s="337">
        <f t="shared" si="1414"/>
        <v>5905</v>
      </c>
      <c r="W566" s="303">
        <f t="shared" si="1431"/>
        <v>5905</v>
      </c>
      <c r="X566" s="151"/>
      <c r="Y566" s="152"/>
      <c r="Z566" s="152"/>
      <c r="AA566" s="152"/>
      <c r="AB566" s="442" t="s">
        <v>832</v>
      </c>
    </row>
    <row r="567" spans="1:34" ht="12.6" customHeight="1" x14ac:dyDescent="0.2">
      <c r="A567" s="18"/>
      <c r="B567" s="923" t="s">
        <v>302</v>
      </c>
      <c r="C567" s="924"/>
      <c r="D567" s="924"/>
      <c r="E567" s="925"/>
      <c r="F567" s="441">
        <v>2700</v>
      </c>
      <c r="G567" s="325"/>
      <c r="H567" s="501">
        <f t="shared" si="1422"/>
        <v>3270</v>
      </c>
      <c r="I567" s="304">
        <f t="shared" si="1423"/>
        <v>3270</v>
      </c>
      <c r="J567" s="501">
        <f t="shared" si="1424"/>
        <v>2990</v>
      </c>
      <c r="K567" s="304">
        <f t="shared" si="1425"/>
        <v>2990</v>
      </c>
      <c r="L567" s="501">
        <f t="shared" si="1404"/>
        <v>2940</v>
      </c>
      <c r="M567" s="304">
        <f t="shared" si="1426"/>
        <v>2940</v>
      </c>
      <c r="N567" s="501">
        <f t="shared" si="1406"/>
        <v>2890</v>
      </c>
      <c r="O567" s="304">
        <f t="shared" si="1427"/>
        <v>2890</v>
      </c>
      <c r="P567" s="501">
        <f t="shared" si="1408"/>
        <v>2850</v>
      </c>
      <c r="Q567" s="304">
        <f t="shared" si="1428"/>
        <v>2850</v>
      </c>
      <c r="R567" s="501">
        <f t="shared" si="1410"/>
        <v>2830</v>
      </c>
      <c r="S567" s="304">
        <f t="shared" si="1429"/>
        <v>2830</v>
      </c>
      <c r="T567" s="501">
        <f t="shared" si="1412"/>
        <v>2815</v>
      </c>
      <c r="U567" s="304">
        <f t="shared" si="1430"/>
        <v>2815</v>
      </c>
      <c r="V567" s="501">
        <f t="shared" si="1414"/>
        <v>2805</v>
      </c>
      <c r="W567" s="304">
        <f t="shared" si="1431"/>
        <v>2805</v>
      </c>
      <c r="X567" s="151"/>
      <c r="Y567" s="152"/>
      <c r="Z567" s="152"/>
      <c r="AA567" s="152"/>
      <c r="AB567" s="32"/>
    </row>
    <row r="568" spans="1:34" ht="12.6" customHeight="1" x14ac:dyDescent="0.2">
      <c r="A568" s="18"/>
      <c r="B568" s="912" t="s">
        <v>303</v>
      </c>
      <c r="C568" s="913"/>
      <c r="D568" s="913"/>
      <c r="E568" s="913"/>
      <c r="F568" s="303">
        <v>2500</v>
      </c>
      <c r="G568" s="268"/>
      <c r="H568" s="337">
        <f t="shared" si="1422"/>
        <v>3070</v>
      </c>
      <c r="I568" s="303">
        <f t="shared" si="1423"/>
        <v>3070</v>
      </c>
      <c r="J568" s="337">
        <f t="shared" si="1424"/>
        <v>2790</v>
      </c>
      <c r="K568" s="303">
        <f t="shared" ref="K568:K569" si="1432">+J568*$X$1</f>
        <v>2790</v>
      </c>
      <c r="L568" s="337">
        <f t="shared" si="1404"/>
        <v>2740</v>
      </c>
      <c r="M568" s="303">
        <f t="shared" ref="M568:M569" si="1433">+L568*$X$1</f>
        <v>2740</v>
      </c>
      <c r="N568" s="337">
        <f t="shared" si="1406"/>
        <v>2690</v>
      </c>
      <c r="O568" s="303">
        <f t="shared" ref="O568:O569" si="1434">+N568*$X$1</f>
        <v>2690</v>
      </c>
      <c r="P568" s="337">
        <f t="shared" si="1408"/>
        <v>2650</v>
      </c>
      <c r="Q568" s="303">
        <f t="shared" ref="Q568:Q569" si="1435">+P568*$X$1</f>
        <v>2650</v>
      </c>
      <c r="R568" s="337">
        <f t="shared" si="1410"/>
        <v>2630</v>
      </c>
      <c r="S568" s="303">
        <f t="shared" ref="S568:S569" si="1436">+R568*$X$1</f>
        <v>2630</v>
      </c>
      <c r="T568" s="337">
        <f t="shared" si="1412"/>
        <v>2615</v>
      </c>
      <c r="U568" s="303">
        <f t="shared" ref="U568:U569" si="1437">+T568*$X$1</f>
        <v>2615</v>
      </c>
      <c r="V568" s="337">
        <f t="shared" si="1414"/>
        <v>2605</v>
      </c>
      <c r="W568" s="303">
        <f t="shared" ref="W568:W569" si="1438">+V568*$X$1</f>
        <v>2605</v>
      </c>
      <c r="X568" s="151"/>
      <c r="Y568" s="152"/>
      <c r="Z568" s="152"/>
      <c r="AA568" s="152"/>
      <c r="AB568" s="442" t="s">
        <v>834</v>
      </c>
    </row>
    <row r="569" spans="1:34" ht="12.6" customHeight="1" x14ac:dyDescent="0.2">
      <c r="A569" s="18"/>
      <c r="B569" s="657" t="s">
        <v>541</v>
      </c>
      <c r="C569" s="658"/>
      <c r="D569" s="658"/>
      <c r="E569" s="659"/>
      <c r="F569" s="340">
        <v>4410</v>
      </c>
      <c r="G569" s="325"/>
      <c r="H569" s="501">
        <f t="shared" si="1422"/>
        <v>4980</v>
      </c>
      <c r="I569" s="304">
        <f t="shared" si="1423"/>
        <v>4980</v>
      </c>
      <c r="J569" s="501">
        <f t="shared" si="1424"/>
        <v>4700</v>
      </c>
      <c r="K569" s="304">
        <f t="shared" si="1432"/>
        <v>4700</v>
      </c>
      <c r="L569" s="501">
        <f t="shared" si="1404"/>
        <v>4650</v>
      </c>
      <c r="M569" s="304">
        <f t="shared" si="1433"/>
        <v>4650</v>
      </c>
      <c r="N569" s="501">
        <f t="shared" si="1406"/>
        <v>4600</v>
      </c>
      <c r="O569" s="304">
        <f t="shared" si="1434"/>
        <v>4600</v>
      </c>
      <c r="P569" s="501">
        <f t="shared" si="1408"/>
        <v>4560</v>
      </c>
      <c r="Q569" s="304">
        <f t="shared" si="1435"/>
        <v>4560</v>
      </c>
      <c r="R569" s="501">
        <f t="shared" si="1410"/>
        <v>4540</v>
      </c>
      <c r="S569" s="304">
        <f t="shared" si="1436"/>
        <v>4540</v>
      </c>
      <c r="T569" s="501">
        <f t="shared" si="1412"/>
        <v>4525</v>
      </c>
      <c r="U569" s="304">
        <f t="shared" si="1437"/>
        <v>4525</v>
      </c>
      <c r="V569" s="501">
        <f t="shared" si="1414"/>
        <v>4515</v>
      </c>
      <c r="W569" s="304">
        <f t="shared" si="1438"/>
        <v>4515</v>
      </c>
      <c r="X569" s="151"/>
      <c r="Y569" s="152"/>
      <c r="Z569" s="152"/>
      <c r="AA569" s="152"/>
      <c r="AB569" s="442" t="s">
        <v>833</v>
      </c>
    </row>
    <row r="570" spans="1:34" ht="12.6" customHeight="1" x14ac:dyDescent="0.2">
      <c r="A570" s="18"/>
      <c r="B570" s="926" t="s">
        <v>815</v>
      </c>
      <c r="C570" s="927"/>
      <c r="D570" s="927"/>
      <c r="E570" s="928"/>
      <c r="F570" s="326">
        <v>6510</v>
      </c>
      <c r="G570" s="268"/>
      <c r="H570" s="337">
        <f t="shared" si="1422"/>
        <v>7080</v>
      </c>
      <c r="I570" s="303">
        <f t="shared" si="1423"/>
        <v>7080</v>
      </c>
      <c r="J570" s="337">
        <f t="shared" si="1424"/>
        <v>6800</v>
      </c>
      <c r="K570" s="303">
        <f t="shared" ref="K570:K574" si="1439">+J570*$X$1</f>
        <v>6800</v>
      </c>
      <c r="L570" s="337">
        <f t="shared" si="1404"/>
        <v>6750</v>
      </c>
      <c r="M570" s="303">
        <f t="shared" ref="M570:M574" si="1440">+L570*$X$1</f>
        <v>6750</v>
      </c>
      <c r="N570" s="337">
        <f t="shared" si="1406"/>
        <v>6700</v>
      </c>
      <c r="O570" s="303">
        <f t="shared" ref="O570:O574" si="1441">+N570*$X$1</f>
        <v>6700</v>
      </c>
      <c r="P570" s="337">
        <f t="shared" si="1408"/>
        <v>6660</v>
      </c>
      <c r="Q570" s="303">
        <f t="shared" ref="Q570:Q574" si="1442">+P570*$X$1</f>
        <v>6660</v>
      </c>
      <c r="R570" s="337">
        <f t="shared" si="1410"/>
        <v>6640</v>
      </c>
      <c r="S570" s="303">
        <f t="shared" ref="S570:S574" si="1443">+R570*$X$1</f>
        <v>6640</v>
      </c>
      <c r="T570" s="337">
        <f t="shared" si="1412"/>
        <v>6625</v>
      </c>
      <c r="U570" s="303">
        <f t="shared" ref="U570:U574" si="1444">+T570*$X$1</f>
        <v>6625</v>
      </c>
      <c r="V570" s="337">
        <f t="shared" si="1414"/>
        <v>6615</v>
      </c>
      <c r="W570" s="303">
        <f t="shared" ref="W570:W574" si="1445">+V570*$X$1</f>
        <v>6615</v>
      </c>
      <c r="X570" s="151"/>
      <c r="Y570" s="152"/>
      <c r="Z570" s="152"/>
      <c r="AA570" s="152"/>
      <c r="AB570" s="32"/>
    </row>
    <row r="571" spans="1:34" ht="12.6" customHeight="1" x14ac:dyDescent="0.2">
      <c r="A571" s="18"/>
      <c r="B571" s="682" t="s">
        <v>527</v>
      </c>
      <c r="C571" s="683"/>
      <c r="D571" s="683"/>
      <c r="E571" s="684"/>
      <c r="F571" s="340">
        <v>6410</v>
      </c>
      <c r="G571" s="325"/>
      <c r="H571" s="486">
        <f t="shared" si="1422"/>
        <v>6980</v>
      </c>
      <c r="I571" s="304">
        <f t="shared" si="1423"/>
        <v>6980</v>
      </c>
      <c r="J571" s="486">
        <f t="shared" si="1424"/>
        <v>6700</v>
      </c>
      <c r="K571" s="304">
        <f t="shared" si="1439"/>
        <v>6700</v>
      </c>
      <c r="L571" s="486">
        <f t="shared" si="1404"/>
        <v>6650</v>
      </c>
      <c r="M571" s="304">
        <f t="shared" si="1440"/>
        <v>6650</v>
      </c>
      <c r="N571" s="486">
        <f t="shared" si="1406"/>
        <v>6600</v>
      </c>
      <c r="O571" s="304">
        <f t="shared" si="1441"/>
        <v>6600</v>
      </c>
      <c r="P571" s="486">
        <f t="shared" si="1408"/>
        <v>6560</v>
      </c>
      <c r="Q571" s="304">
        <f t="shared" si="1442"/>
        <v>6560</v>
      </c>
      <c r="R571" s="486">
        <f t="shared" si="1410"/>
        <v>6540</v>
      </c>
      <c r="S571" s="304">
        <f t="shared" si="1443"/>
        <v>6540</v>
      </c>
      <c r="T571" s="486">
        <f t="shared" si="1412"/>
        <v>6525</v>
      </c>
      <c r="U571" s="304">
        <f t="shared" si="1444"/>
        <v>6525</v>
      </c>
      <c r="V571" s="486">
        <f t="shared" si="1414"/>
        <v>6515</v>
      </c>
      <c r="W571" s="304">
        <f t="shared" si="1445"/>
        <v>6515</v>
      </c>
      <c r="X571" s="151"/>
      <c r="Y571" s="152"/>
      <c r="Z571" s="152"/>
      <c r="AA571" s="152"/>
      <c r="AB571" s="32"/>
    </row>
    <row r="572" spans="1:34" ht="12.6" customHeight="1" x14ac:dyDescent="0.2">
      <c r="A572" s="4"/>
      <c r="B572" s="750" t="s">
        <v>472</v>
      </c>
      <c r="C572" s="623"/>
      <c r="D572" s="623"/>
      <c r="E572" s="624"/>
      <c r="F572" s="303">
        <v>1785</v>
      </c>
      <c r="G572" s="268"/>
      <c r="H572" s="337"/>
      <c r="I572" s="303"/>
      <c r="J572" s="337">
        <f t="shared" si="1424"/>
        <v>2075</v>
      </c>
      <c r="K572" s="303">
        <f t="shared" si="1439"/>
        <v>2075</v>
      </c>
      <c r="L572" s="337">
        <f t="shared" si="1404"/>
        <v>2025</v>
      </c>
      <c r="M572" s="303">
        <f t="shared" si="1440"/>
        <v>2025</v>
      </c>
      <c r="N572" s="337">
        <f t="shared" si="1406"/>
        <v>1975</v>
      </c>
      <c r="O572" s="303">
        <f t="shared" si="1441"/>
        <v>1975</v>
      </c>
      <c r="P572" s="337">
        <f t="shared" si="1408"/>
        <v>1935</v>
      </c>
      <c r="Q572" s="303">
        <f t="shared" si="1442"/>
        <v>1935</v>
      </c>
      <c r="R572" s="337">
        <f t="shared" si="1410"/>
        <v>1915</v>
      </c>
      <c r="S572" s="303">
        <f t="shared" si="1443"/>
        <v>1915</v>
      </c>
      <c r="T572" s="337">
        <f t="shared" si="1412"/>
        <v>1900</v>
      </c>
      <c r="U572" s="303">
        <f t="shared" si="1444"/>
        <v>1900</v>
      </c>
      <c r="V572" s="337">
        <f t="shared" si="1414"/>
        <v>1890</v>
      </c>
      <c r="W572" s="303">
        <f t="shared" si="1445"/>
        <v>1890</v>
      </c>
      <c r="X572" s="151"/>
      <c r="Y572" s="136"/>
      <c r="Z572" s="153"/>
      <c r="AA572" s="153"/>
      <c r="AB572" s="442" t="s">
        <v>471</v>
      </c>
    </row>
    <row r="573" spans="1:34" ht="12.6" customHeight="1" x14ac:dyDescent="0.2">
      <c r="A573" s="4"/>
      <c r="B573" s="669" t="s">
        <v>470</v>
      </c>
      <c r="C573" s="683"/>
      <c r="D573" s="683"/>
      <c r="E573" s="684"/>
      <c r="F573" s="304">
        <v>1785</v>
      </c>
      <c r="G573" s="325"/>
      <c r="H573" s="486"/>
      <c r="I573" s="304"/>
      <c r="J573" s="486">
        <f t="shared" si="1424"/>
        <v>2075</v>
      </c>
      <c r="K573" s="304">
        <f t="shared" si="1439"/>
        <v>2075</v>
      </c>
      <c r="L573" s="486">
        <f t="shared" si="1404"/>
        <v>2025</v>
      </c>
      <c r="M573" s="304">
        <f t="shared" si="1440"/>
        <v>2025</v>
      </c>
      <c r="N573" s="486">
        <f t="shared" si="1406"/>
        <v>1975</v>
      </c>
      <c r="O573" s="304">
        <f t="shared" si="1441"/>
        <v>1975</v>
      </c>
      <c r="P573" s="486">
        <f t="shared" si="1408"/>
        <v>1935</v>
      </c>
      <c r="Q573" s="304">
        <f t="shared" si="1442"/>
        <v>1935</v>
      </c>
      <c r="R573" s="486">
        <f t="shared" si="1410"/>
        <v>1915</v>
      </c>
      <c r="S573" s="304">
        <f t="shared" si="1443"/>
        <v>1915</v>
      </c>
      <c r="T573" s="486">
        <f t="shared" si="1412"/>
        <v>1900</v>
      </c>
      <c r="U573" s="304">
        <f t="shared" si="1444"/>
        <v>1900</v>
      </c>
      <c r="V573" s="486">
        <f t="shared" si="1414"/>
        <v>1890</v>
      </c>
      <c r="W573" s="304">
        <f t="shared" si="1445"/>
        <v>1890</v>
      </c>
      <c r="X573" s="151"/>
      <c r="Y573" s="136"/>
      <c r="Z573" s="153"/>
      <c r="AA573" s="153"/>
      <c r="AB573" s="442" t="s">
        <v>467</v>
      </c>
    </row>
    <row r="574" spans="1:34" ht="12.6" customHeight="1" x14ac:dyDescent="0.2">
      <c r="A574" s="4"/>
      <c r="B574" s="750" t="s">
        <v>468</v>
      </c>
      <c r="C574" s="623"/>
      <c r="D574" s="623"/>
      <c r="E574" s="624"/>
      <c r="F574" s="303">
        <v>2625</v>
      </c>
      <c r="G574" s="268"/>
      <c r="H574" s="337"/>
      <c r="I574" s="303"/>
      <c r="J574" s="337">
        <f t="shared" si="1424"/>
        <v>2915</v>
      </c>
      <c r="K574" s="303">
        <f t="shared" si="1439"/>
        <v>2915</v>
      </c>
      <c r="L574" s="337">
        <f t="shared" si="1404"/>
        <v>2865</v>
      </c>
      <c r="M574" s="303">
        <f t="shared" si="1440"/>
        <v>2865</v>
      </c>
      <c r="N574" s="337">
        <f t="shared" si="1406"/>
        <v>2815</v>
      </c>
      <c r="O574" s="303">
        <f t="shared" si="1441"/>
        <v>2815</v>
      </c>
      <c r="P574" s="337">
        <f t="shared" si="1408"/>
        <v>2775</v>
      </c>
      <c r="Q574" s="303">
        <f t="shared" si="1442"/>
        <v>2775</v>
      </c>
      <c r="R574" s="337">
        <f t="shared" si="1410"/>
        <v>2755</v>
      </c>
      <c r="S574" s="303">
        <f t="shared" si="1443"/>
        <v>2755</v>
      </c>
      <c r="T574" s="337">
        <f t="shared" si="1412"/>
        <v>2740</v>
      </c>
      <c r="U574" s="303">
        <f t="shared" si="1444"/>
        <v>2740</v>
      </c>
      <c r="V574" s="337">
        <f t="shared" si="1414"/>
        <v>2730</v>
      </c>
      <c r="W574" s="303">
        <f t="shared" si="1445"/>
        <v>2730</v>
      </c>
      <c r="X574" s="151"/>
      <c r="Y574" s="136"/>
      <c r="Z574" s="153"/>
      <c r="AA574" s="153"/>
      <c r="AB574" s="442" t="s">
        <v>469</v>
      </c>
    </row>
    <row r="575" spans="1:34" ht="12.6" customHeight="1" x14ac:dyDescent="0.2">
      <c r="A575" s="4"/>
      <c r="B575" s="669" t="s">
        <v>304</v>
      </c>
      <c r="C575" s="683"/>
      <c r="D575" s="683"/>
      <c r="E575" s="684"/>
      <c r="F575" s="341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151"/>
      <c r="Y575" s="136"/>
      <c r="Z575" s="153"/>
      <c r="AA575" s="153"/>
      <c r="AB575" s="442" t="s">
        <v>305</v>
      </c>
    </row>
    <row r="576" spans="1:34" ht="12.6" customHeight="1" x14ac:dyDescent="0.2">
      <c r="A576" s="4"/>
      <c r="B576" s="750" t="s">
        <v>306</v>
      </c>
      <c r="C576" s="623"/>
      <c r="D576" s="623"/>
      <c r="E576" s="624"/>
      <c r="F576" s="245"/>
      <c r="G576" s="97"/>
      <c r="H576" s="245"/>
      <c r="I576" s="245"/>
      <c r="J576" s="245"/>
      <c r="K576" s="245"/>
      <c r="L576" s="245"/>
      <c r="M576" s="245"/>
      <c r="N576" s="245"/>
      <c r="O576" s="245"/>
      <c r="P576" s="245"/>
      <c r="Q576" s="245"/>
      <c r="R576" s="245"/>
      <c r="S576" s="245"/>
      <c r="T576" s="245"/>
      <c r="U576" s="245"/>
      <c r="V576" s="245"/>
      <c r="W576" s="245"/>
      <c r="X576" s="151"/>
      <c r="Y576" s="136"/>
      <c r="Z576" s="153"/>
      <c r="AA576" s="153"/>
      <c r="AB576" s="442"/>
    </row>
    <row r="577" spans="1:34" ht="12.6" customHeight="1" x14ac:dyDescent="0.2">
      <c r="A577" s="4"/>
      <c r="B577" s="730" t="s">
        <v>307</v>
      </c>
      <c r="C577" s="675"/>
      <c r="D577" s="675"/>
      <c r="E577" s="675"/>
      <c r="F577" s="94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151"/>
      <c r="Y577" s="136"/>
      <c r="Z577" s="153"/>
      <c r="AA577" s="153"/>
      <c r="AB577" s="442">
        <v>730</v>
      </c>
    </row>
    <row r="578" spans="1:34" ht="12.6" customHeight="1" x14ac:dyDescent="0.2">
      <c r="A578" s="4"/>
      <c r="B578" s="703" t="s">
        <v>308</v>
      </c>
      <c r="C578" s="629"/>
      <c r="D578" s="629"/>
      <c r="E578" s="629"/>
      <c r="F578" s="245"/>
      <c r="G578" s="97"/>
      <c r="H578" s="245"/>
      <c r="I578" s="245"/>
      <c r="J578" s="245"/>
      <c r="K578" s="245"/>
      <c r="L578" s="245"/>
      <c r="M578" s="245"/>
      <c r="N578" s="245"/>
      <c r="O578" s="245"/>
      <c r="P578" s="245"/>
      <c r="Q578" s="245"/>
      <c r="R578" s="245"/>
      <c r="S578" s="245"/>
      <c r="T578" s="245"/>
      <c r="U578" s="245"/>
      <c r="V578" s="245"/>
      <c r="W578" s="245"/>
      <c r="X578" s="151"/>
      <c r="Y578" s="136"/>
      <c r="Z578" s="153"/>
      <c r="AA578" s="153"/>
      <c r="AB578" s="442">
        <v>731</v>
      </c>
    </row>
    <row r="579" spans="1:34" ht="12.6" customHeight="1" x14ac:dyDescent="0.2">
      <c r="A579" s="4"/>
      <c r="B579" s="730" t="s">
        <v>416</v>
      </c>
      <c r="C579" s="675"/>
      <c r="D579" s="675"/>
      <c r="E579" s="675"/>
      <c r="F579" s="94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145"/>
      <c r="Y579" s="140"/>
      <c r="Z579" s="146"/>
      <c r="AA579" s="147"/>
      <c r="AB579" s="442">
        <v>735</v>
      </c>
    </row>
    <row r="580" spans="1:34" ht="12.6" customHeight="1" x14ac:dyDescent="0.2">
      <c r="A580" s="4"/>
      <c r="B580" s="703" t="s">
        <v>415</v>
      </c>
      <c r="C580" s="629"/>
      <c r="D580" s="629"/>
      <c r="E580" s="629"/>
      <c r="F580" s="245"/>
      <c r="G580" s="97"/>
      <c r="H580" s="245"/>
      <c r="I580" s="245"/>
      <c r="J580" s="245"/>
      <c r="K580" s="245"/>
      <c r="L580" s="245"/>
      <c r="M580" s="245"/>
      <c r="N580" s="245"/>
      <c r="O580" s="245"/>
      <c r="P580" s="245"/>
      <c r="Q580" s="245"/>
      <c r="R580" s="245"/>
      <c r="S580" s="245"/>
      <c r="T580" s="245"/>
      <c r="U580" s="245"/>
      <c r="V580" s="245"/>
      <c r="W580" s="245"/>
      <c r="X580" s="145"/>
      <c r="Y580" s="140"/>
      <c r="Z580" s="146"/>
      <c r="AA580" s="147"/>
      <c r="AB580" s="442">
        <v>736</v>
      </c>
    </row>
    <row r="581" spans="1:34" ht="12.6" customHeight="1" x14ac:dyDescent="0.2">
      <c r="A581" s="4"/>
      <c r="B581" s="730" t="s">
        <v>309</v>
      </c>
      <c r="C581" s="734"/>
      <c r="D581" s="734"/>
      <c r="E581" s="734"/>
      <c r="F581" s="102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145"/>
      <c r="Y581" s="140"/>
      <c r="Z581" s="146"/>
      <c r="AA581" s="147"/>
      <c r="AB581" s="442">
        <v>986</v>
      </c>
    </row>
    <row r="582" spans="1:34" ht="12.6" customHeight="1" x14ac:dyDescent="0.2">
      <c r="A582" s="4"/>
      <c r="B582" s="703" t="s">
        <v>432</v>
      </c>
      <c r="C582" s="649"/>
      <c r="D582" s="649"/>
      <c r="E582" s="649"/>
      <c r="F582" s="245"/>
      <c r="G582" s="97"/>
      <c r="H582" s="245"/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5"/>
      <c r="U582" s="245"/>
      <c r="V582" s="245"/>
      <c r="W582" s="245"/>
      <c r="X582" s="145"/>
      <c r="Y582" s="140"/>
      <c r="Z582" s="146"/>
      <c r="AA582" s="147"/>
      <c r="AB582" s="442"/>
    </row>
    <row r="583" spans="1:34" ht="12.6" customHeight="1" x14ac:dyDescent="0.2">
      <c r="A583" s="4"/>
      <c r="B583" s="730" t="s">
        <v>378</v>
      </c>
      <c r="C583" s="734"/>
      <c r="D583" s="734"/>
      <c r="E583" s="734"/>
      <c r="F583" s="102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145"/>
      <c r="Y583" s="140"/>
      <c r="Z583" s="146"/>
      <c r="AA583" s="147"/>
      <c r="AB583" s="442">
        <v>987</v>
      </c>
    </row>
    <row r="584" spans="1:34" ht="12.6" customHeight="1" x14ac:dyDescent="0.2">
      <c r="A584" s="4"/>
      <c r="B584" s="703" t="s">
        <v>433</v>
      </c>
      <c r="C584" s="649"/>
      <c r="D584" s="649"/>
      <c r="E584" s="649"/>
      <c r="F584" s="245"/>
      <c r="G584" s="97"/>
      <c r="H584" s="245"/>
      <c r="I584" s="245"/>
      <c r="J584" s="245"/>
      <c r="K584" s="245"/>
      <c r="L584" s="245"/>
      <c r="M584" s="245"/>
      <c r="N584" s="245"/>
      <c r="O584" s="245"/>
      <c r="P584" s="245"/>
      <c r="Q584" s="245"/>
      <c r="R584" s="245"/>
      <c r="S584" s="245"/>
      <c r="T584" s="245"/>
      <c r="U584" s="245"/>
      <c r="V584" s="245"/>
      <c r="W584" s="245"/>
      <c r="X584" s="145"/>
      <c r="Y584" s="140"/>
      <c r="Z584" s="146"/>
      <c r="AA584" s="147"/>
      <c r="AB584" s="442"/>
    </row>
    <row r="585" spans="1:34" ht="12.6" customHeight="1" x14ac:dyDescent="0.2">
      <c r="A585" s="4"/>
      <c r="B585" s="730" t="s">
        <v>310</v>
      </c>
      <c r="C585" s="675"/>
      <c r="D585" s="675"/>
      <c r="E585" s="675"/>
      <c r="F585" s="94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145"/>
      <c r="Y585" s="140"/>
      <c r="Z585" s="146"/>
      <c r="AA585" s="147"/>
      <c r="AB585" s="442">
        <v>989</v>
      </c>
    </row>
    <row r="586" spans="1:34" ht="12.6" customHeight="1" x14ac:dyDescent="0.2">
      <c r="A586" s="4"/>
      <c r="B586" s="703" t="s">
        <v>311</v>
      </c>
      <c r="C586" s="629"/>
      <c r="D586" s="629"/>
      <c r="E586" s="629"/>
      <c r="F586" s="245"/>
      <c r="G586" s="97"/>
      <c r="H586" s="245"/>
      <c r="I586" s="245"/>
      <c r="J586" s="245"/>
      <c r="K586" s="245"/>
      <c r="L586" s="245"/>
      <c r="M586" s="245"/>
      <c r="N586" s="245"/>
      <c r="O586" s="245"/>
      <c r="P586" s="245"/>
      <c r="Q586" s="245"/>
      <c r="R586" s="245"/>
      <c r="S586" s="245"/>
      <c r="T586" s="245"/>
      <c r="U586" s="245"/>
      <c r="V586" s="245"/>
      <c r="W586" s="245"/>
      <c r="X586" s="145"/>
      <c r="Y586" s="140"/>
      <c r="Z586" s="146"/>
      <c r="AA586" s="147"/>
      <c r="AB586" s="461" t="s">
        <v>312</v>
      </c>
    </row>
    <row r="587" spans="1:34" ht="12.6" customHeight="1" x14ac:dyDescent="0.2">
      <c r="A587" s="4"/>
      <c r="B587" s="730" t="s">
        <v>313</v>
      </c>
      <c r="C587" s="734"/>
      <c r="D587" s="734"/>
      <c r="E587" s="734"/>
      <c r="F587" s="94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148"/>
      <c r="Y587" s="138"/>
      <c r="Z587" s="149"/>
      <c r="AA587" s="150"/>
      <c r="AB587" s="32"/>
    </row>
    <row r="588" spans="1:34" ht="9" customHeight="1" x14ac:dyDescent="0.2">
      <c r="A588" s="76"/>
      <c r="B588" s="112"/>
      <c r="C588" s="208"/>
      <c r="D588" s="208"/>
      <c r="E588" s="208"/>
      <c r="F588" s="134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209"/>
      <c r="Y588" s="76"/>
      <c r="Z588" s="210"/>
      <c r="AA588" s="210"/>
      <c r="AB588" s="211"/>
    </row>
    <row r="589" spans="1:34" ht="13.5" customHeight="1" x14ac:dyDescent="0.2">
      <c r="B589" s="1053" t="s">
        <v>314</v>
      </c>
      <c r="C589" s="1054"/>
      <c r="D589" s="1054"/>
      <c r="E589" s="1054"/>
      <c r="F589" s="1054"/>
      <c r="G589" s="1054"/>
      <c r="H589" s="1054"/>
      <c r="I589" s="1054"/>
      <c r="J589" s="1054"/>
      <c r="K589" s="1054"/>
      <c r="L589" s="1054"/>
      <c r="M589" s="1054"/>
      <c r="N589" s="1054"/>
      <c r="O589" s="1054"/>
      <c r="P589" s="1054"/>
      <c r="Q589" s="1054"/>
      <c r="R589" s="1054"/>
      <c r="S589" s="1054"/>
      <c r="T589" s="1073"/>
      <c r="U589" s="1073"/>
      <c r="V589" s="1074"/>
      <c r="W589" s="1074"/>
      <c r="AB589" s="4"/>
    </row>
    <row r="590" spans="1:34" ht="12" customHeight="1" x14ac:dyDescent="0.2">
      <c r="B590" s="920" t="s">
        <v>11</v>
      </c>
      <c r="C590" s="920" t="s">
        <v>12</v>
      </c>
      <c r="D590" s="921"/>
      <c r="E590" s="921"/>
      <c r="F590" s="806" t="s">
        <v>296</v>
      </c>
      <c r="G590" s="806" t="s">
        <v>13</v>
      </c>
      <c r="H590" s="660" t="s">
        <v>856</v>
      </c>
      <c r="I590" s="660"/>
      <c r="J590" s="661"/>
      <c r="K590" s="661"/>
      <c r="L590" s="661"/>
      <c r="M590" s="661"/>
      <c r="N590" s="661"/>
      <c r="O590" s="661"/>
      <c r="P590" s="661"/>
      <c r="Q590" s="661"/>
      <c r="R590" s="661"/>
      <c r="S590" s="661"/>
      <c r="T590" s="661"/>
      <c r="U590" s="661"/>
      <c r="V590" s="661"/>
      <c r="W590" s="661"/>
      <c r="X590" s="635" t="s">
        <v>14</v>
      </c>
      <c r="Y590" s="814"/>
      <c r="Z590" s="814"/>
      <c r="AA590" s="815"/>
      <c r="AB590" s="633" t="s">
        <v>15</v>
      </c>
      <c r="AF590" s="631" t="s">
        <v>3</v>
      </c>
      <c r="AG590" s="632"/>
      <c r="AH590" s="632"/>
    </row>
    <row r="591" spans="1:34" ht="12" customHeight="1" x14ac:dyDescent="0.2">
      <c r="B591" s="921"/>
      <c r="C591" s="921"/>
      <c r="D591" s="921"/>
      <c r="E591" s="921"/>
      <c r="F591" s="807"/>
      <c r="G591" s="807"/>
      <c r="H591" s="559"/>
      <c r="I591" s="560" t="s">
        <v>591</v>
      </c>
      <c r="J591" s="559"/>
      <c r="K591" s="560" t="s">
        <v>297</v>
      </c>
      <c r="L591" s="560"/>
      <c r="M591" s="560" t="s">
        <v>298</v>
      </c>
      <c r="N591" s="560"/>
      <c r="O591" s="560" t="s">
        <v>299</v>
      </c>
      <c r="P591" s="560"/>
      <c r="Q591" s="560" t="s">
        <v>18</v>
      </c>
      <c r="R591" s="560"/>
      <c r="S591" s="560" t="s">
        <v>19</v>
      </c>
      <c r="T591" s="560"/>
      <c r="U591" s="560" t="s">
        <v>300</v>
      </c>
      <c r="V591" s="560"/>
      <c r="W591" s="560" t="s">
        <v>20</v>
      </c>
      <c r="X591" s="816"/>
      <c r="Y591" s="817"/>
      <c r="Z591" s="817"/>
      <c r="AA591" s="818"/>
      <c r="AB591" s="634"/>
    </row>
    <row r="592" spans="1:34" ht="12.6" customHeight="1" x14ac:dyDescent="0.2">
      <c r="B592" s="861" t="s">
        <v>798</v>
      </c>
      <c r="C592" s="861"/>
      <c r="D592" s="861"/>
      <c r="E592" s="861"/>
      <c r="F592" s="1204">
        <f>21.73*X2</f>
        <v>21425.78</v>
      </c>
      <c r="G592" s="326">
        <f>+F592*$X$1</f>
        <v>21425.78</v>
      </c>
      <c r="H592" s="105">
        <f>F592+2400</f>
        <v>23825.78</v>
      </c>
      <c r="I592" s="326">
        <f t="shared" ref="I592" si="1446">+H592*$X$1</f>
        <v>23825.78</v>
      </c>
      <c r="J592" s="105">
        <f>F592+600</f>
        <v>22025.78</v>
      </c>
      <c r="K592" s="326">
        <f t="shared" ref="K592" si="1447">+J592*$X$1</f>
        <v>22025.78</v>
      </c>
      <c r="L592" s="105">
        <f>F592+350</f>
        <v>21775.78</v>
      </c>
      <c r="M592" s="326">
        <f t="shared" ref="M592" si="1448">+L592*$X$1</f>
        <v>21775.78</v>
      </c>
      <c r="N592" s="105">
        <f>F592+170</f>
        <v>21595.78</v>
      </c>
      <c r="O592" s="326">
        <f t="shared" ref="O592" si="1449">+N592*$X$1</f>
        <v>21595.78</v>
      </c>
      <c r="P592" s="105">
        <f>F592+130</f>
        <v>21555.78</v>
      </c>
      <c r="Q592" s="326">
        <f t="shared" ref="Q592" si="1450">+P592*$X$1</f>
        <v>21555.78</v>
      </c>
      <c r="R592" s="105">
        <f>F592+90</f>
        <v>21515.78</v>
      </c>
      <c r="S592" s="326">
        <f t="shared" ref="S592" si="1451">+R592*$X$1</f>
        <v>21515.78</v>
      </c>
      <c r="T592" s="105">
        <f>F592+75</f>
        <v>21500.78</v>
      </c>
      <c r="U592" s="326">
        <f t="shared" ref="U592" si="1452">+T592*$X$1</f>
        <v>21500.78</v>
      </c>
      <c r="V592" s="105">
        <f>F592+64</f>
        <v>21489.78</v>
      </c>
      <c r="W592" s="326">
        <f t="shared" ref="W592" si="1453">+V592*$X$1</f>
        <v>21489.78</v>
      </c>
      <c r="X592" s="517"/>
      <c r="Y592" s="142"/>
      <c r="Z592" s="140"/>
      <c r="AA592" s="143"/>
      <c r="AB592" s="462" t="s">
        <v>799</v>
      </c>
    </row>
    <row r="593" spans="1:38" ht="12.6" customHeight="1" x14ac:dyDescent="0.2">
      <c r="B593" s="730" t="s">
        <v>315</v>
      </c>
      <c r="C593" s="730"/>
      <c r="D593" s="730"/>
      <c r="E593" s="730"/>
      <c r="F593" s="508"/>
      <c r="G593" s="529"/>
      <c r="H593" s="109"/>
      <c r="I593" s="109"/>
      <c r="J593" s="529"/>
      <c r="K593" s="529"/>
      <c r="L593" s="529"/>
      <c r="M593" s="529"/>
      <c r="N593" s="120"/>
      <c r="O593" s="529"/>
      <c r="P593" s="529"/>
      <c r="Q593" s="529"/>
      <c r="R593" s="529"/>
      <c r="S593" s="529"/>
      <c r="T593" s="529"/>
      <c r="U593" s="529"/>
      <c r="V593" s="273"/>
      <c r="W593" s="515"/>
      <c r="X593" s="140"/>
      <c r="Y593" s="140"/>
      <c r="Z593" s="140"/>
      <c r="AA593" s="143"/>
      <c r="AB593" s="461" t="s">
        <v>316</v>
      </c>
    </row>
    <row r="594" spans="1:38" ht="12.6" customHeight="1" x14ac:dyDescent="0.2">
      <c r="B594" s="703" t="s">
        <v>317</v>
      </c>
      <c r="C594" s="703"/>
      <c r="D594" s="703"/>
      <c r="E594" s="703"/>
      <c r="F594" s="121"/>
      <c r="G594" s="621"/>
      <c r="H594" s="103"/>
      <c r="I594" s="103"/>
      <c r="J594" s="621"/>
      <c r="K594" s="621"/>
      <c r="L594" s="621"/>
      <c r="M594" s="621"/>
      <c r="N594" s="119"/>
      <c r="O594" s="621"/>
      <c r="P594" s="621"/>
      <c r="Q594" s="621"/>
      <c r="R594" s="621"/>
      <c r="S594" s="621"/>
      <c r="T594" s="621"/>
      <c r="U594" s="621"/>
      <c r="V594" s="1203"/>
      <c r="W594" s="512"/>
      <c r="X594" s="140"/>
      <c r="Y594" s="140"/>
      <c r="Z594" s="140"/>
      <c r="AA594" s="143"/>
      <c r="AB594" s="461" t="s">
        <v>318</v>
      </c>
    </row>
    <row r="595" spans="1:38" ht="12.6" customHeight="1" x14ac:dyDescent="0.2">
      <c r="B595" s="922" t="s">
        <v>763</v>
      </c>
      <c r="C595" s="922"/>
      <c r="D595" s="922"/>
      <c r="E595" s="922"/>
      <c r="F595" s="510">
        <f>20.59*X2</f>
        <v>20301.740000000002</v>
      </c>
      <c r="G595" s="304">
        <f>+F595*$X$1</f>
        <v>20301.740000000002</v>
      </c>
      <c r="H595" s="529">
        <f>F595+2400</f>
        <v>22701.74</v>
      </c>
      <c r="I595" s="304">
        <f t="shared" ref="I595" si="1454">+H595*$X$1</f>
        <v>22701.74</v>
      </c>
      <c r="J595" s="529">
        <f>F595+600</f>
        <v>20901.740000000002</v>
      </c>
      <c r="K595" s="304">
        <f t="shared" ref="K595" si="1455">+J595*$X$1</f>
        <v>20901.740000000002</v>
      </c>
      <c r="L595" s="529">
        <f>F595+350</f>
        <v>20651.740000000002</v>
      </c>
      <c r="M595" s="304">
        <f t="shared" ref="M595" si="1456">+L595*$X$1</f>
        <v>20651.740000000002</v>
      </c>
      <c r="N595" s="529">
        <f>F595+170</f>
        <v>20471.740000000002</v>
      </c>
      <c r="O595" s="304">
        <f t="shared" ref="O595" si="1457">+N595*$X$1</f>
        <v>20471.740000000002</v>
      </c>
      <c r="P595" s="529">
        <f>F595+130</f>
        <v>20431.740000000002</v>
      </c>
      <c r="Q595" s="304">
        <f t="shared" ref="Q595" si="1458">+P595*$X$1</f>
        <v>20431.740000000002</v>
      </c>
      <c r="R595" s="529">
        <f>F595+90</f>
        <v>20391.740000000002</v>
      </c>
      <c r="S595" s="304">
        <f t="shared" ref="S595" si="1459">+R595*$X$1</f>
        <v>20391.740000000002</v>
      </c>
      <c r="T595" s="529">
        <f>F595+75</f>
        <v>20376.740000000002</v>
      </c>
      <c r="U595" s="304">
        <f t="shared" ref="U595" si="1460">+T595*$X$1</f>
        <v>20376.740000000002</v>
      </c>
      <c r="V595" s="529">
        <f>F595+64</f>
        <v>20365.740000000002</v>
      </c>
      <c r="W595" s="304">
        <f t="shared" ref="W595" si="1461">+V595*$X$1</f>
        <v>20365.740000000002</v>
      </c>
      <c r="X595" s="500"/>
      <c r="Y595" s="142"/>
      <c r="Z595" s="140"/>
      <c r="AA595" s="143"/>
      <c r="AB595" s="461" t="s">
        <v>764</v>
      </c>
    </row>
    <row r="596" spans="1:38" ht="12.6" customHeight="1" x14ac:dyDescent="0.2">
      <c r="B596" s="922" t="s">
        <v>765</v>
      </c>
      <c r="C596" s="922"/>
      <c r="D596" s="922"/>
      <c r="E596" s="922"/>
      <c r="F596" s="509">
        <f>38.5*X2</f>
        <v>37961</v>
      </c>
      <c r="G596" s="303">
        <f>+F596*$X$1</f>
        <v>37961</v>
      </c>
      <c r="H596" s="337">
        <f>F596+2400</f>
        <v>40361</v>
      </c>
      <c r="I596" s="303">
        <f t="shared" ref="I596" si="1462">+H596*$X$1</f>
        <v>40361</v>
      </c>
      <c r="J596" s="337">
        <f>F596+600</f>
        <v>38561</v>
      </c>
      <c r="K596" s="303">
        <f t="shared" ref="K596" si="1463">+J596*$X$1</f>
        <v>38561</v>
      </c>
      <c r="L596" s="337">
        <f>F596+350</f>
        <v>38311</v>
      </c>
      <c r="M596" s="303">
        <f t="shared" ref="M596" si="1464">+L596*$X$1</f>
        <v>38311</v>
      </c>
      <c r="N596" s="337">
        <f>F596+170</f>
        <v>38131</v>
      </c>
      <c r="O596" s="303">
        <f t="shared" ref="O596" si="1465">+N596*$X$1</f>
        <v>38131</v>
      </c>
      <c r="P596" s="337">
        <f>F596+130</f>
        <v>38091</v>
      </c>
      <c r="Q596" s="303">
        <f t="shared" ref="Q596" si="1466">+P596*$X$1</f>
        <v>38091</v>
      </c>
      <c r="R596" s="337">
        <f>F596+90</f>
        <v>38051</v>
      </c>
      <c r="S596" s="303">
        <f t="shared" ref="S596" si="1467">+R596*$X$1</f>
        <v>38051</v>
      </c>
      <c r="T596" s="337">
        <f>F596+75</f>
        <v>38036</v>
      </c>
      <c r="U596" s="303">
        <f t="shared" ref="U596" si="1468">+T596*$X$1</f>
        <v>38036</v>
      </c>
      <c r="V596" s="337">
        <f>F596+64</f>
        <v>38025</v>
      </c>
      <c r="W596" s="303">
        <f t="shared" ref="W596" si="1469">+V596*$X$1</f>
        <v>38025</v>
      </c>
      <c r="X596" s="500"/>
      <c r="Y596" s="142"/>
      <c r="Z596" s="140"/>
      <c r="AA596" s="143"/>
      <c r="AB596" s="461" t="s">
        <v>766</v>
      </c>
    </row>
    <row r="597" spans="1:38" ht="12.6" customHeight="1" x14ac:dyDescent="0.2">
      <c r="B597" s="730" t="s">
        <v>319</v>
      </c>
      <c r="C597" s="730"/>
      <c r="D597" s="730"/>
      <c r="E597" s="730"/>
      <c r="F597" s="508"/>
      <c r="G597" s="504"/>
      <c r="H597" s="109"/>
      <c r="I597" s="109"/>
      <c r="J597" s="504"/>
      <c r="K597" s="504"/>
      <c r="L597" s="504"/>
      <c r="M597" s="504"/>
      <c r="N597" s="504"/>
      <c r="O597" s="504"/>
      <c r="P597" s="120"/>
      <c r="Q597" s="504"/>
      <c r="R597" s="120"/>
      <c r="S597" s="504"/>
      <c r="T597" s="120"/>
      <c r="U597" s="504"/>
      <c r="V597" s="273"/>
      <c r="W597" s="514"/>
      <c r="X597" s="171"/>
      <c r="Y597" s="171"/>
      <c r="Z597" s="171"/>
      <c r="AA597" s="172"/>
      <c r="AB597" s="461" t="s">
        <v>320</v>
      </c>
    </row>
    <row r="598" spans="1:38" ht="12.6" customHeight="1" x14ac:dyDescent="0.2">
      <c r="B598" s="703" t="s">
        <v>321</v>
      </c>
      <c r="C598" s="703"/>
      <c r="D598" s="703"/>
      <c r="E598" s="703"/>
      <c r="F598" s="121"/>
      <c r="G598" s="337"/>
      <c r="H598" s="103"/>
      <c r="I598" s="103"/>
      <c r="J598" s="337"/>
      <c r="K598" s="337"/>
      <c r="L598" s="337"/>
      <c r="M598" s="337"/>
      <c r="N598" s="337"/>
      <c r="O598" s="337"/>
      <c r="P598" s="119"/>
      <c r="Q598" s="337"/>
      <c r="R598" s="119"/>
      <c r="S598" s="337"/>
      <c r="T598" s="119"/>
      <c r="U598" s="337"/>
      <c r="V598" s="511"/>
      <c r="W598" s="513"/>
      <c r="X598" s="171"/>
      <c r="Y598" s="171"/>
      <c r="Z598" s="171"/>
      <c r="AA598" s="172"/>
      <c r="AB598" s="461" t="s">
        <v>322</v>
      </c>
    </row>
    <row r="599" spans="1:38" ht="12.6" customHeight="1" x14ac:dyDescent="0.2">
      <c r="B599" s="730" t="s">
        <v>323</v>
      </c>
      <c r="C599" s="730"/>
      <c r="D599" s="730"/>
      <c r="E599" s="730"/>
      <c r="F599" s="508"/>
      <c r="G599" s="504"/>
      <c r="H599" s="109"/>
      <c r="I599" s="109"/>
      <c r="J599" s="504"/>
      <c r="K599" s="504"/>
      <c r="L599" s="504"/>
      <c r="M599" s="504"/>
      <c r="N599" s="504"/>
      <c r="O599" s="504"/>
      <c r="P599" s="120"/>
      <c r="Q599" s="504"/>
      <c r="R599" s="120"/>
      <c r="S599" s="504"/>
      <c r="T599" s="120"/>
      <c r="U599" s="504"/>
      <c r="V599" s="273"/>
      <c r="W599" s="514"/>
      <c r="X599" s="142"/>
      <c r="Y599" s="142"/>
      <c r="Z599" s="142"/>
      <c r="AA599" s="142"/>
      <c r="AB599" s="461" t="s">
        <v>451</v>
      </c>
    </row>
    <row r="600" spans="1:38" ht="12.6" customHeight="1" x14ac:dyDescent="0.2">
      <c r="B600" s="703" t="s">
        <v>771</v>
      </c>
      <c r="C600" s="703"/>
      <c r="D600" s="703"/>
      <c r="E600" s="703"/>
      <c r="F600" s="509">
        <f>33.523*X2</f>
        <v>33053.678</v>
      </c>
      <c r="G600" s="303">
        <f t="shared" ref="G600:G618" si="1470">+F600*$X$1</f>
        <v>33053.678</v>
      </c>
      <c r="H600" s="337">
        <f>F600+2200</f>
        <v>35253.678</v>
      </c>
      <c r="I600" s="303">
        <f t="shared" ref="I600" si="1471">+H600*$X$1</f>
        <v>35253.678</v>
      </c>
      <c r="J600" s="337">
        <f>F600+500</f>
        <v>33553.678</v>
      </c>
      <c r="K600" s="303">
        <f t="shared" ref="K600" si="1472">+J600*$X$1</f>
        <v>33553.678</v>
      </c>
      <c r="L600" s="105">
        <f>F600+410</f>
        <v>33463.678</v>
      </c>
      <c r="M600" s="326">
        <f>+L600*$X$1</f>
        <v>33463.678</v>
      </c>
      <c r="N600" s="105">
        <f>F600+370</f>
        <v>33423.678</v>
      </c>
      <c r="O600" s="326">
        <f>+N600*$X$1</f>
        <v>33423.678</v>
      </c>
      <c r="P600" s="105">
        <f>F600+330</f>
        <v>33383.678</v>
      </c>
      <c r="Q600" s="326">
        <f>+P600*$X$1</f>
        <v>33383.678</v>
      </c>
      <c r="R600" s="105">
        <f>F600+290</f>
        <v>33343.678</v>
      </c>
      <c r="S600" s="326">
        <f>+R600*$X$1</f>
        <v>33343.678</v>
      </c>
      <c r="T600" s="337">
        <f>F600+240</f>
        <v>33293.678</v>
      </c>
      <c r="U600" s="303">
        <f t="shared" ref="U600" si="1473">+T600*$X$1</f>
        <v>33293.678</v>
      </c>
      <c r="V600" s="337">
        <f>F600+220</f>
        <v>33273.678</v>
      </c>
      <c r="W600" s="303">
        <f t="shared" ref="W600" si="1474">+V600*$X$1</f>
        <v>33273.678</v>
      </c>
      <c r="X600" s="503"/>
      <c r="Y600" s="142"/>
      <c r="Z600" s="140"/>
      <c r="AA600" s="143"/>
      <c r="AB600" s="461" t="s">
        <v>772</v>
      </c>
    </row>
    <row r="601" spans="1:38" s="1" customFormat="1" ht="12.6" customHeight="1" x14ac:dyDescent="0.2">
      <c r="A601" s="19"/>
      <c r="B601" s="674" t="s">
        <v>208</v>
      </c>
      <c r="C601" s="675"/>
      <c r="D601" s="675"/>
      <c r="E601" s="675"/>
      <c r="F601" s="304"/>
      <c r="G601" s="304"/>
      <c r="H601" s="529"/>
      <c r="I601" s="304"/>
      <c r="J601" s="90"/>
      <c r="K601" s="304"/>
      <c r="L601" s="529"/>
      <c r="M601" s="304"/>
      <c r="N601" s="529"/>
      <c r="O601" s="304"/>
      <c r="P601" s="529"/>
      <c r="Q601" s="304"/>
      <c r="R601" s="529"/>
      <c r="S601" s="304"/>
      <c r="T601" s="529"/>
      <c r="U601" s="304"/>
      <c r="V601" s="529"/>
      <c r="W601" s="304"/>
      <c r="X601" s="641"/>
      <c r="Y601" s="650"/>
      <c r="Z601" s="650"/>
      <c r="AA601" s="643"/>
      <c r="AB601" s="201">
        <v>965</v>
      </c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8" s="1" customFormat="1" ht="12.6" customHeight="1" x14ac:dyDescent="0.2">
      <c r="A602" s="19"/>
      <c r="B602" s="622" t="s">
        <v>209</v>
      </c>
      <c r="C602" s="623"/>
      <c r="D602" s="623"/>
      <c r="E602" s="624"/>
      <c r="F602" s="303"/>
      <c r="G602" s="303"/>
      <c r="H602" s="300"/>
      <c r="I602" s="368"/>
      <c r="J602" s="72"/>
      <c r="K602" s="303"/>
      <c r="L602" s="337"/>
      <c r="M602" s="303"/>
      <c r="N602" s="337"/>
      <c r="O602" s="303"/>
      <c r="P602" s="337"/>
      <c r="Q602" s="303"/>
      <c r="R602" s="337"/>
      <c r="S602" s="303"/>
      <c r="T602" s="337"/>
      <c r="U602" s="303"/>
      <c r="V602" s="337"/>
      <c r="W602" s="303"/>
      <c r="X602" s="162"/>
      <c r="Y602" s="163"/>
      <c r="Z602" s="163"/>
      <c r="AA602" s="164"/>
      <c r="AB602" s="454">
        <v>967</v>
      </c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s="1" customFormat="1" ht="12.6" customHeight="1" x14ac:dyDescent="0.2">
      <c r="A603" s="19"/>
      <c r="B603" s="682" t="s">
        <v>372</v>
      </c>
      <c r="C603" s="683"/>
      <c r="D603" s="683"/>
      <c r="E603" s="684"/>
      <c r="F603" s="304"/>
      <c r="G603" s="304"/>
      <c r="H603" s="485"/>
      <c r="I603" s="304"/>
      <c r="J603" s="90"/>
      <c r="K603" s="304"/>
      <c r="L603" s="485"/>
      <c r="M603" s="304"/>
      <c r="N603" s="485"/>
      <c r="O603" s="304"/>
      <c r="P603" s="485"/>
      <c r="Q603" s="304"/>
      <c r="R603" s="485"/>
      <c r="S603" s="304"/>
      <c r="T603" s="485"/>
      <c r="U603" s="304"/>
      <c r="V603" s="485"/>
      <c r="W603" s="304"/>
      <c r="X603" s="641"/>
      <c r="Y603" s="650"/>
      <c r="Z603" s="650"/>
      <c r="AA603" s="643"/>
      <c r="AB603" s="454">
        <v>968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s="1" customFormat="1" ht="12.6" customHeight="1" x14ac:dyDescent="0.2">
      <c r="A604" s="19"/>
      <c r="B604" s="628" t="s">
        <v>210</v>
      </c>
      <c r="C604" s="629"/>
      <c r="D604" s="629"/>
      <c r="E604" s="629"/>
      <c r="F604" s="303"/>
      <c r="G604" s="303"/>
      <c r="H604" s="337"/>
      <c r="I604" s="303"/>
      <c r="J604" s="72"/>
      <c r="K604" s="303"/>
      <c r="L604" s="337"/>
      <c r="M604" s="303"/>
      <c r="N604" s="337"/>
      <c r="O604" s="303"/>
      <c r="P604" s="337"/>
      <c r="Q604" s="303"/>
      <c r="R604" s="337"/>
      <c r="S604" s="303"/>
      <c r="T604" s="337"/>
      <c r="U604" s="303"/>
      <c r="V604" s="337"/>
      <c r="W604" s="303"/>
      <c r="X604" s="641"/>
      <c r="Y604" s="650"/>
      <c r="Z604" s="650"/>
      <c r="AA604" s="643"/>
      <c r="AB604" s="454">
        <v>969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s="1" customFormat="1" ht="12.6" customHeight="1" x14ac:dyDescent="0.2">
      <c r="A605" s="19"/>
      <c r="B605" s="682" t="s">
        <v>390</v>
      </c>
      <c r="C605" s="683"/>
      <c r="D605" s="683"/>
      <c r="E605" s="684"/>
      <c r="F605" s="304"/>
      <c r="G605" s="304"/>
      <c r="H605" s="102"/>
      <c r="I605" s="304"/>
      <c r="J605" s="90"/>
      <c r="K605" s="304"/>
      <c r="L605" s="485"/>
      <c r="M605" s="304"/>
      <c r="N605" s="485"/>
      <c r="O605" s="304"/>
      <c r="P605" s="485"/>
      <c r="Q605" s="304"/>
      <c r="R605" s="485"/>
      <c r="S605" s="304"/>
      <c r="T605" s="485"/>
      <c r="U605" s="304"/>
      <c r="V605" s="485"/>
      <c r="W605" s="304"/>
      <c r="X605" s="225"/>
      <c r="Y605" s="227"/>
      <c r="Z605" s="227"/>
      <c r="AA605" s="226"/>
      <c r="AB605" s="454" t="s">
        <v>478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s="1" customFormat="1" ht="12.6" customHeight="1" x14ac:dyDescent="0.2">
      <c r="A606" s="19"/>
      <c r="B606" s="628" t="s">
        <v>211</v>
      </c>
      <c r="C606" s="629"/>
      <c r="D606" s="629"/>
      <c r="E606" s="629"/>
      <c r="F606" s="303"/>
      <c r="G606" s="303"/>
      <c r="H606" s="429"/>
      <c r="I606" s="303"/>
      <c r="J606" s="72"/>
      <c r="K606" s="303"/>
      <c r="L606" s="337"/>
      <c r="M606" s="303"/>
      <c r="N606" s="337"/>
      <c r="O606" s="303"/>
      <c r="P606" s="337"/>
      <c r="Q606" s="303"/>
      <c r="R606" s="337"/>
      <c r="S606" s="303"/>
      <c r="T606" s="337"/>
      <c r="U606" s="303"/>
      <c r="V606" s="337"/>
      <c r="W606" s="303"/>
      <c r="X606" s="641"/>
      <c r="Y606" s="650"/>
      <c r="Z606" s="650"/>
      <c r="AA606" s="643"/>
      <c r="AB606" s="454">
        <v>970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s="1" customFormat="1" ht="12.6" customHeight="1" x14ac:dyDescent="0.2">
      <c r="A607" s="19"/>
      <c r="B607" s="674" t="s">
        <v>212</v>
      </c>
      <c r="C607" s="675"/>
      <c r="D607" s="675"/>
      <c r="E607" s="675"/>
      <c r="F607" s="304"/>
      <c r="G607" s="304"/>
      <c r="H607" s="102"/>
      <c r="I607" s="304"/>
      <c r="J607" s="90"/>
      <c r="K607" s="304"/>
      <c r="L607" s="485"/>
      <c r="M607" s="304"/>
      <c r="N607" s="485"/>
      <c r="O607" s="304"/>
      <c r="P607" s="485"/>
      <c r="Q607" s="304"/>
      <c r="R607" s="485"/>
      <c r="S607" s="304"/>
      <c r="T607" s="485"/>
      <c r="U607" s="304"/>
      <c r="V607" s="485"/>
      <c r="W607" s="304"/>
      <c r="X607" s="641"/>
      <c r="Y607" s="650"/>
      <c r="Z607" s="650"/>
      <c r="AA607" s="643"/>
      <c r="AB607" s="454">
        <v>971</v>
      </c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s="1" customFormat="1" ht="12.6" customHeight="1" x14ac:dyDescent="0.2">
      <c r="A608" s="19"/>
      <c r="B608" s="622" t="s">
        <v>391</v>
      </c>
      <c r="C608" s="623"/>
      <c r="D608" s="623"/>
      <c r="E608" s="624"/>
      <c r="F608" s="303"/>
      <c r="G608" s="303"/>
      <c r="H608" s="429"/>
      <c r="I608" s="303"/>
      <c r="J608" s="72"/>
      <c r="K608" s="303"/>
      <c r="L608" s="337"/>
      <c r="M608" s="303"/>
      <c r="N608" s="337"/>
      <c r="O608" s="303"/>
      <c r="P608" s="337"/>
      <c r="Q608" s="303"/>
      <c r="R608" s="337"/>
      <c r="S608" s="303"/>
      <c r="T608" s="337"/>
      <c r="U608" s="303"/>
      <c r="V608" s="337"/>
      <c r="W608" s="303"/>
      <c r="X608" s="162"/>
      <c r="Y608" s="163"/>
      <c r="Z608" s="163"/>
      <c r="AA608" s="164"/>
      <c r="AB608" s="454">
        <v>972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1" customFormat="1" ht="12.6" customHeight="1" x14ac:dyDescent="0.2">
      <c r="A609" s="19"/>
      <c r="B609" s="674" t="s">
        <v>213</v>
      </c>
      <c r="C609" s="675"/>
      <c r="D609" s="675"/>
      <c r="E609" s="675"/>
      <c r="F609" s="94"/>
      <c r="G609" s="474"/>
      <c r="H609" s="294"/>
      <c r="I609" s="294"/>
      <c r="J609" s="90"/>
      <c r="K609" s="94"/>
      <c r="L609" s="94"/>
      <c r="M609" s="94"/>
      <c r="N609" s="94"/>
      <c r="O609" s="485"/>
      <c r="P609" s="485"/>
      <c r="Q609" s="485"/>
      <c r="R609" s="485"/>
      <c r="S609" s="485"/>
      <c r="T609" s="485"/>
      <c r="U609" s="485"/>
      <c r="V609" s="485"/>
      <c r="W609" s="485"/>
      <c r="X609" s="646"/>
      <c r="Y609" s="647"/>
      <c r="Z609" s="647"/>
      <c r="AA609" s="648"/>
      <c r="AB609" s="201">
        <v>980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1" customFormat="1" ht="12.6" customHeight="1" x14ac:dyDescent="0.2">
      <c r="A610" s="19"/>
      <c r="B610" s="628" t="s">
        <v>214</v>
      </c>
      <c r="C610" s="649"/>
      <c r="D610" s="649"/>
      <c r="E610" s="649"/>
      <c r="F610" s="105"/>
      <c r="G610" s="337"/>
      <c r="H610" s="295"/>
      <c r="I610" s="295"/>
      <c r="J610" s="72"/>
      <c r="K610" s="298"/>
      <c r="L610" s="298"/>
      <c r="M610" s="298"/>
      <c r="N610" s="298"/>
      <c r="O610" s="337"/>
      <c r="P610" s="337"/>
      <c r="Q610" s="337"/>
      <c r="R610" s="337"/>
      <c r="S610" s="337"/>
      <c r="T610" s="337"/>
      <c r="U610" s="337"/>
      <c r="V610" s="337"/>
      <c r="W610" s="337"/>
      <c r="X610" s="646"/>
      <c r="Y610" s="647"/>
      <c r="Z610" s="647"/>
      <c r="AA610" s="648"/>
      <c r="AB610" s="201">
        <v>981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1" customFormat="1" ht="12.6" customHeight="1" x14ac:dyDescent="0.2">
      <c r="A611" s="19"/>
      <c r="B611" s="682" t="s">
        <v>494</v>
      </c>
      <c r="C611" s="889"/>
      <c r="D611" s="889"/>
      <c r="E611" s="890"/>
      <c r="F611" s="104"/>
      <c r="G611" s="474"/>
      <c r="H611" s="294"/>
      <c r="I611" s="294"/>
      <c r="J611" s="90"/>
      <c r="K611" s="94"/>
      <c r="L611" s="94"/>
      <c r="M611" s="94"/>
      <c r="N611" s="94"/>
      <c r="O611" s="485"/>
      <c r="P611" s="485"/>
      <c r="Q611" s="485"/>
      <c r="R611" s="485"/>
      <c r="S611" s="485"/>
      <c r="T611" s="485"/>
      <c r="U611" s="485"/>
      <c r="V611" s="485"/>
      <c r="W611" s="485"/>
      <c r="X611" s="646"/>
      <c r="Y611" s="647"/>
      <c r="Z611" s="647"/>
      <c r="AA611" s="648"/>
      <c r="AB611" s="201">
        <v>982</v>
      </c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1" customFormat="1" ht="12.6" customHeight="1" x14ac:dyDescent="0.2">
      <c r="A612" s="19"/>
      <c r="B612" s="622" t="s">
        <v>529</v>
      </c>
      <c r="C612" s="644"/>
      <c r="D612" s="644"/>
      <c r="E612" s="645"/>
      <c r="F612" s="105"/>
      <c r="G612" s="337"/>
      <c r="H612" s="300"/>
      <c r="I612" s="295"/>
      <c r="J612" s="72"/>
      <c r="K612" s="298"/>
      <c r="L612" s="298"/>
      <c r="M612" s="298"/>
      <c r="N612" s="298"/>
      <c r="O612" s="337"/>
      <c r="P612" s="337"/>
      <c r="Q612" s="337"/>
      <c r="R612" s="337"/>
      <c r="S612" s="337"/>
      <c r="T612" s="337"/>
      <c r="U612" s="337"/>
      <c r="V612" s="337"/>
      <c r="W612" s="337"/>
      <c r="X612" s="646"/>
      <c r="Y612" s="647"/>
      <c r="Z612" s="647"/>
      <c r="AA612" s="648"/>
      <c r="AB612" s="201">
        <v>983</v>
      </c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1" customFormat="1" ht="12.6" customHeight="1" x14ac:dyDescent="0.2">
      <c r="A613" s="19"/>
      <c r="B613" s="682" t="s">
        <v>215</v>
      </c>
      <c r="C613" s="889"/>
      <c r="D613" s="889"/>
      <c r="E613" s="890"/>
      <c r="F613" s="94"/>
      <c r="G613" s="474"/>
      <c r="H613" s="294"/>
      <c r="I613" s="294"/>
      <c r="J613" s="90"/>
      <c r="K613" s="94"/>
      <c r="L613" s="94"/>
      <c r="M613" s="94"/>
      <c r="N613" s="94"/>
      <c r="O613" s="485"/>
      <c r="P613" s="485"/>
      <c r="Q613" s="485"/>
      <c r="R613" s="485"/>
      <c r="S613" s="485"/>
      <c r="T613" s="485"/>
      <c r="U613" s="485"/>
      <c r="V613" s="485"/>
      <c r="W613" s="485"/>
      <c r="X613" s="646"/>
      <c r="Y613" s="647"/>
      <c r="Z613" s="647"/>
      <c r="AA613" s="648"/>
      <c r="AB613" s="201">
        <v>984</v>
      </c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1" customFormat="1" ht="12.6" customHeight="1" x14ac:dyDescent="0.2">
      <c r="A614" s="19"/>
      <c r="B614" s="622" t="s">
        <v>216</v>
      </c>
      <c r="C614" s="644"/>
      <c r="D614" s="644"/>
      <c r="E614" s="645"/>
      <c r="F614" s="329"/>
      <c r="G614" s="337"/>
      <c r="H614" s="300"/>
      <c r="I614" s="295"/>
      <c r="J614" s="72"/>
      <c r="K614" s="298"/>
      <c r="L614" s="298"/>
      <c r="M614" s="298"/>
      <c r="N614" s="298"/>
      <c r="O614" s="337"/>
      <c r="P614" s="337"/>
      <c r="Q614" s="337"/>
      <c r="R614" s="337"/>
      <c r="S614" s="337"/>
      <c r="T614" s="337"/>
      <c r="U614" s="337"/>
      <c r="V614" s="337"/>
      <c r="W614" s="337"/>
      <c r="X614" s="646"/>
      <c r="Y614" s="647"/>
      <c r="Z614" s="647"/>
      <c r="AA614" s="648"/>
      <c r="AB614" s="201">
        <v>985</v>
      </c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ht="12.6" customHeight="1" x14ac:dyDescent="0.2">
      <c r="B615" s="730" t="s">
        <v>768</v>
      </c>
      <c r="C615" s="730"/>
      <c r="D615" s="730"/>
      <c r="E615" s="730"/>
      <c r="F615" s="510">
        <f>23.2*X2</f>
        <v>22875.200000000001</v>
      </c>
      <c r="G615" s="304">
        <f t="shared" si="1470"/>
        <v>22875.200000000001</v>
      </c>
      <c r="H615" s="273"/>
      <c r="I615" s="273"/>
      <c r="J615" s="504">
        <f>F615+600</f>
        <v>23475.200000000001</v>
      </c>
      <c r="K615" s="304">
        <f t="shared" ref="K615" si="1475">+J615*$X$1</f>
        <v>23475.200000000001</v>
      </c>
      <c r="L615" s="504">
        <f>F615+350</f>
        <v>23225.200000000001</v>
      </c>
      <c r="M615" s="304">
        <f t="shared" ref="M615" si="1476">+L615*$X$1</f>
        <v>23225.200000000001</v>
      </c>
      <c r="N615" s="504">
        <f>F615+170</f>
        <v>23045.200000000001</v>
      </c>
      <c r="O615" s="304">
        <f t="shared" ref="O615" si="1477">+N615*$X$1</f>
        <v>23045.200000000001</v>
      </c>
      <c r="P615" s="504">
        <f>F615+130</f>
        <v>23005.200000000001</v>
      </c>
      <c r="Q615" s="304">
        <f t="shared" ref="Q615" si="1478">+P615*$X$1</f>
        <v>23005.200000000001</v>
      </c>
      <c r="R615" s="504">
        <f>F615+90</f>
        <v>22965.200000000001</v>
      </c>
      <c r="S615" s="304">
        <f t="shared" ref="S615" si="1479">+R615*$X$1</f>
        <v>22965.200000000001</v>
      </c>
      <c r="T615" s="504">
        <f>F615+75</f>
        <v>22950.2</v>
      </c>
      <c r="U615" s="304">
        <f t="shared" ref="U615" si="1480">+T615*$X$1</f>
        <v>22950.2</v>
      </c>
      <c r="V615" s="504">
        <f>F615+64</f>
        <v>22939.200000000001</v>
      </c>
      <c r="W615" s="304">
        <f t="shared" ref="W615" si="1481">+V615*$X$1</f>
        <v>22939.200000000001</v>
      </c>
      <c r="X615" s="503"/>
      <c r="Y615" s="142"/>
      <c r="Z615" s="140"/>
      <c r="AA615" s="143"/>
      <c r="AB615" s="461" t="s">
        <v>767</v>
      </c>
    </row>
    <row r="616" spans="1:38" ht="12.6" customHeight="1" x14ac:dyDescent="0.2">
      <c r="B616" s="703" t="s">
        <v>769</v>
      </c>
      <c r="C616" s="703"/>
      <c r="D616" s="703"/>
      <c r="E616" s="703"/>
      <c r="F616" s="509">
        <f>36.297*X2</f>
        <v>35788.841999999997</v>
      </c>
      <c r="G616" s="303">
        <f t="shared" si="1470"/>
        <v>35788.841999999997</v>
      </c>
      <c r="H616" s="276"/>
      <c r="I616" s="276"/>
      <c r="J616" s="621">
        <f>F616+600</f>
        <v>36388.841999999997</v>
      </c>
      <c r="K616" s="303">
        <f t="shared" ref="K616" si="1482">+J616*$X$1</f>
        <v>36388.841999999997</v>
      </c>
      <c r="L616" s="621">
        <f>F616+350</f>
        <v>36138.841999999997</v>
      </c>
      <c r="M616" s="303">
        <f t="shared" ref="M616:M617" si="1483">+L616*$X$1</f>
        <v>36138.841999999997</v>
      </c>
      <c r="N616" s="621">
        <f>F616+170</f>
        <v>35958.841999999997</v>
      </c>
      <c r="O616" s="303">
        <f t="shared" ref="O616:O617" si="1484">+N616*$X$1</f>
        <v>35958.841999999997</v>
      </c>
      <c r="P616" s="621">
        <f>F616+130</f>
        <v>35918.841999999997</v>
      </c>
      <c r="Q616" s="303">
        <f t="shared" ref="Q616:Q617" si="1485">+P616*$X$1</f>
        <v>35918.841999999997</v>
      </c>
      <c r="R616" s="621">
        <f>F616+90</f>
        <v>35878.841999999997</v>
      </c>
      <c r="S616" s="303">
        <f t="shared" ref="S616:S617" si="1486">+R616*$X$1</f>
        <v>35878.841999999997</v>
      </c>
      <c r="T616" s="621">
        <f>F616+75</f>
        <v>35863.841999999997</v>
      </c>
      <c r="U616" s="303">
        <f t="shared" ref="U616:U617" si="1487">+T616*$X$1</f>
        <v>35863.841999999997</v>
      </c>
      <c r="V616" s="621">
        <f>F616+64</f>
        <v>35852.841999999997</v>
      </c>
      <c r="W616" s="303">
        <f t="shared" ref="W616:W617" si="1488">+V616*$X$1</f>
        <v>35852.841999999997</v>
      </c>
      <c r="X616" s="503"/>
      <c r="Y616" s="142"/>
      <c r="Z616" s="140"/>
      <c r="AA616" s="143"/>
      <c r="AB616" s="461" t="s">
        <v>770</v>
      </c>
    </row>
    <row r="617" spans="1:38" s="1" customFormat="1" ht="12.6" customHeight="1" x14ac:dyDescent="0.2">
      <c r="A617" s="19"/>
      <c r="B617" s="682" t="s">
        <v>584</v>
      </c>
      <c r="C617" s="683"/>
      <c r="D617" s="683"/>
      <c r="E617" s="684"/>
      <c r="F617" s="1196">
        <v>8330</v>
      </c>
      <c r="G617" s="306">
        <f t="shared" si="1470"/>
        <v>8330</v>
      </c>
      <c r="H617" s="529">
        <f>F617+2200</f>
        <v>10530</v>
      </c>
      <c r="I617" s="304">
        <f t="shared" ref="I617" si="1489">+H617*$X$1</f>
        <v>10530</v>
      </c>
      <c r="J617" s="90">
        <f>F617+500</f>
        <v>8830</v>
      </c>
      <c r="K617" s="304">
        <f>+J617*$X$1</f>
        <v>8830</v>
      </c>
      <c r="L617" s="529">
        <f>F617+250</f>
        <v>8580</v>
      </c>
      <c r="M617" s="304">
        <f t="shared" si="1483"/>
        <v>8580</v>
      </c>
      <c r="N617" s="529">
        <f>F617+100</f>
        <v>8430</v>
      </c>
      <c r="O617" s="304">
        <f t="shared" si="1484"/>
        <v>8430</v>
      </c>
      <c r="P617" s="529">
        <f>F617+80</f>
        <v>8410</v>
      </c>
      <c r="Q617" s="304">
        <f t="shared" si="1485"/>
        <v>8410</v>
      </c>
      <c r="R617" s="529">
        <f>F617+60</f>
        <v>8390</v>
      </c>
      <c r="S617" s="304">
        <f t="shared" si="1486"/>
        <v>8390</v>
      </c>
      <c r="T617" s="529">
        <f>F617+50</f>
        <v>8380</v>
      </c>
      <c r="U617" s="304">
        <f t="shared" si="1487"/>
        <v>8380</v>
      </c>
      <c r="V617" s="529">
        <f>F617+44</f>
        <v>8374</v>
      </c>
      <c r="W617" s="304">
        <f t="shared" si="1488"/>
        <v>8374</v>
      </c>
      <c r="X617" s="641"/>
      <c r="Y617" s="642"/>
      <c r="Z617" s="642"/>
      <c r="AA617" s="643"/>
      <c r="AB617" s="201">
        <v>1010</v>
      </c>
      <c r="AC617" s="4"/>
      <c r="AD617" s="4"/>
      <c r="AE617" s="4"/>
      <c r="AF617" s="4"/>
      <c r="AG617" s="4"/>
      <c r="AH617" s="133"/>
      <c r="AI617" s="4"/>
      <c r="AJ617" s="4"/>
      <c r="AK617" s="4"/>
      <c r="AL617" s="4"/>
    </row>
    <row r="618" spans="1:38" s="1" customFormat="1" ht="12.6" customHeight="1" x14ac:dyDescent="0.2">
      <c r="A618" s="19"/>
      <c r="B618" s="622" t="s">
        <v>585</v>
      </c>
      <c r="C618" s="623"/>
      <c r="D618" s="623"/>
      <c r="E618" s="624"/>
      <c r="F618" s="352">
        <v>20824</v>
      </c>
      <c r="G618" s="303">
        <f t="shared" si="1470"/>
        <v>20824</v>
      </c>
      <c r="H618" s="621">
        <f>F618+2200</f>
        <v>23024</v>
      </c>
      <c r="I618" s="303">
        <f t="shared" ref="I618" si="1490">+H618*$X$1</f>
        <v>23024</v>
      </c>
      <c r="J618" s="72">
        <f>F618+500</f>
        <v>21324</v>
      </c>
      <c r="K618" s="303">
        <f>+J618*$X$1</f>
        <v>21324</v>
      </c>
      <c r="L618" s="621">
        <f>F618+250</f>
        <v>21074</v>
      </c>
      <c r="M618" s="303">
        <f t="shared" ref="M618" si="1491">+L618*$X$1</f>
        <v>21074</v>
      </c>
      <c r="N618" s="621">
        <f>F618+100</f>
        <v>20924</v>
      </c>
      <c r="O618" s="303">
        <f t="shared" ref="O618" si="1492">+N618*$X$1</f>
        <v>20924</v>
      </c>
      <c r="P618" s="621">
        <f>F618+80</f>
        <v>20904</v>
      </c>
      <c r="Q618" s="303">
        <f t="shared" ref="Q618" si="1493">+P618*$X$1</f>
        <v>20904</v>
      </c>
      <c r="R618" s="621">
        <f>F618+60</f>
        <v>20884</v>
      </c>
      <c r="S618" s="303">
        <f t="shared" ref="S618" si="1494">+R618*$X$1</f>
        <v>20884</v>
      </c>
      <c r="T618" s="621">
        <f>F618+50</f>
        <v>20874</v>
      </c>
      <c r="U618" s="303">
        <f t="shared" ref="U618" si="1495">+T618*$X$1</f>
        <v>20874</v>
      </c>
      <c r="V618" s="621">
        <f>F618+44</f>
        <v>20868</v>
      </c>
      <c r="W618" s="303">
        <f t="shared" ref="W618" si="1496">+V618*$X$1</f>
        <v>20868</v>
      </c>
      <c r="X618" s="641"/>
      <c r="Y618" s="642"/>
      <c r="Z618" s="642"/>
      <c r="AA618" s="643"/>
      <c r="AB618" s="201">
        <v>1011</v>
      </c>
      <c r="AC618" s="4"/>
      <c r="AD618" s="4"/>
      <c r="AE618" s="4"/>
      <c r="AF618" s="4"/>
      <c r="AG618" s="4"/>
      <c r="AH618" s="133"/>
      <c r="AI618" s="4"/>
      <c r="AJ618" s="4"/>
      <c r="AK618" s="4"/>
      <c r="AL618" s="4"/>
    </row>
    <row r="619" spans="1:38" ht="12.6" customHeight="1" x14ac:dyDescent="0.2">
      <c r="B619" s="730" t="s">
        <v>692</v>
      </c>
      <c r="C619" s="730"/>
      <c r="D619" s="730"/>
      <c r="E619" s="730"/>
      <c r="F619" s="413">
        <f>3.04*X2</f>
        <v>2997.44</v>
      </c>
      <c r="G619" s="304">
        <f>+F619*$X$1</f>
        <v>2997.44</v>
      </c>
      <c r="H619" s="109"/>
      <c r="I619" s="109"/>
      <c r="J619" s="273"/>
      <c r="K619" s="273"/>
      <c r="L619" s="529">
        <f>F619+250</f>
        <v>3247.44</v>
      </c>
      <c r="M619" s="304">
        <f t="shared" ref="M619" si="1497">+L619*$X$1</f>
        <v>3247.44</v>
      </c>
      <c r="N619" s="529">
        <f>F619+100</f>
        <v>3097.44</v>
      </c>
      <c r="O619" s="304">
        <f t="shared" ref="O619" si="1498">+N619*$X$1</f>
        <v>3097.44</v>
      </c>
      <c r="P619" s="529">
        <f>F619+80</f>
        <v>3077.44</v>
      </c>
      <c r="Q619" s="304">
        <f t="shared" ref="Q619" si="1499">+P619*$X$1</f>
        <v>3077.44</v>
      </c>
      <c r="R619" s="529">
        <f>F619+60</f>
        <v>3057.44</v>
      </c>
      <c r="S619" s="304">
        <f t="shared" ref="S619" si="1500">+R619*$X$1</f>
        <v>3057.44</v>
      </c>
      <c r="T619" s="529">
        <f>F619+50</f>
        <v>3047.44</v>
      </c>
      <c r="U619" s="304">
        <f t="shared" ref="U619" si="1501">+T619*$X$1</f>
        <v>3047.44</v>
      </c>
      <c r="V619" s="529">
        <f>F619+44</f>
        <v>3041.44</v>
      </c>
      <c r="W619" s="304">
        <f t="shared" ref="W619" si="1502">+V619*$X$1</f>
        <v>3041.44</v>
      </c>
      <c r="X619" s="463"/>
      <c r="Y619" s="142"/>
      <c r="Z619" s="140"/>
      <c r="AA619" s="143"/>
      <c r="AB619" s="461" t="s">
        <v>693</v>
      </c>
    </row>
    <row r="620" spans="1:38" ht="12.6" customHeight="1" x14ac:dyDescent="0.2">
      <c r="B620" s="703" t="s">
        <v>698</v>
      </c>
      <c r="C620" s="703"/>
      <c r="D620" s="703"/>
      <c r="E620" s="703"/>
      <c r="F620" s="412">
        <f>11.3*X2</f>
        <v>11141.800000000001</v>
      </c>
      <c r="G620" s="303">
        <f>+F620*$X$1</f>
        <v>11141.800000000001</v>
      </c>
      <c r="H620" s="103"/>
      <c r="I620" s="103"/>
      <c r="J620" s="276"/>
      <c r="K620" s="276"/>
      <c r="L620" s="621">
        <f>F620+250</f>
        <v>11391.800000000001</v>
      </c>
      <c r="M620" s="303">
        <f t="shared" ref="M620" si="1503">+L620*$X$1</f>
        <v>11391.800000000001</v>
      </c>
      <c r="N620" s="621">
        <f>F620+100</f>
        <v>11241.800000000001</v>
      </c>
      <c r="O620" s="303">
        <f t="shared" ref="O620" si="1504">+N620*$X$1</f>
        <v>11241.800000000001</v>
      </c>
      <c r="P620" s="621">
        <f>F620+80</f>
        <v>11221.800000000001</v>
      </c>
      <c r="Q620" s="303">
        <f t="shared" ref="Q620" si="1505">+P620*$X$1</f>
        <v>11221.800000000001</v>
      </c>
      <c r="R620" s="621">
        <f>F620+60</f>
        <v>11201.800000000001</v>
      </c>
      <c r="S620" s="303">
        <f t="shared" ref="S620" si="1506">+R620*$X$1</f>
        <v>11201.800000000001</v>
      </c>
      <c r="T620" s="621">
        <f>F620+50</f>
        <v>11191.800000000001</v>
      </c>
      <c r="U620" s="303">
        <f t="shared" ref="U620" si="1507">+T620*$X$1</f>
        <v>11191.800000000001</v>
      </c>
      <c r="V620" s="621">
        <f>F620+44</f>
        <v>11185.800000000001</v>
      </c>
      <c r="W620" s="303">
        <f t="shared" ref="W620" si="1508">+V620*$X$1</f>
        <v>11185.800000000001</v>
      </c>
      <c r="X620" s="464"/>
      <c r="Y620" s="142"/>
      <c r="Z620" s="140"/>
      <c r="AA620" s="143"/>
      <c r="AB620" s="461" t="s">
        <v>699</v>
      </c>
    </row>
    <row r="621" spans="1:38" ht="12.6" customHeight="1" x14ac:dyDescent="0.2">
      <c r="B621" s="730" t="s">
        <v>517</v>
      </c>
      <c r="C621" s="730"/>
      <c r="D621" s="730"/>
      <c r="E621" s="730"/>
      <c r="F621" s="413">
        <f>4.7*X2</f>
        <v>4634.2</v>
      </c>
      <c r="G621" s="304">
        <f>+F621*$X$1</f>
        <v>4634.2</v>
      </c>
      <c r="H621" s="109"/>
      <c r="I621" s="109"/>
      <c r="J621" s="273"/>
      <c r="K621" s="273"/>
      <c r="L621" s="529">
        <f>F621+250</f>
        <v>4884.2</v>
      </c>
      <c r="M621" s="304">
        <f t="shared" ref="M621" si="1509">+L621*$X$1</f>
        <v>4884.2</v>
      </c>
      <c r="N621" s="529">
        <f>F621+100</f>
        <v>4734.2</v>
      </c>
      <c r="O621" s="304">
        <f t="shared" ref="O621" si="1510">+N621*$X$1</f>
        <v>4734.2</v>
      </c>
      <c r="P621" s="529">
        <f>F621+80</f>
        <v>4714.2</v>
      </c>
      <c r="Q621" s="304">
        <f t="shared" ref="Q621" si="1511">+P621*$X$1</f>
        <v>4714.2</v>
      </c>
      <c r="R621" s="529">
        <f>F621+60</f>
        <v>4694.2</v>
      </c>
      <c r="S621" s="304">
        <f t="shared" ref="S621" si="1512">+R621*$X$1</f>
        <v>4694.2</v>
      </c>
      <c r="T621" s="529">
        <f>F621+50</f>
        <v>4684.2</v>
      </c>
      <c r="U621" s="304">
        <f t="shared" ref="U621" si="1513">+T621*$X$1</f>
        <v>4684.2</v>
      </c>
      <c r="V621" s="529">
        <f>F621+44</f>
        <v>4678.2</v>
      </c>
      <c r="W621" s="304">
        <f t="shared" ref="W621" si="1514">+V621*$X$1</f>
        <v>4678.2</v>
      </c>
      <c r="X621" s="243"/>
      <c r="Y621" s="142"/>
      <c r="Z621" s="140"/>
      <c r="AA621" s="143"/>
      <c r="AB621" s="461" t="s">
        <v>445</v>
      </c>
    </row>
    <row r="622" spans="1:38" ht="12.6" customHeight="1" x14ac:dyDescent="0.2">
      <c r="B622" s="703" t="s">
        <v>700</v>
      </c>
      <c r="C622" s="703"/>
      <c r="D622" s="703"/>
      <c r="E622" s="703"/>
      <c r="F622" s="412"/>
      <c r="G622" s="303"/>
      <c r="H622" s="621"/>
      <c r="I622" s="303"/>
      <c r="J622" s="276"/>
      <c r="K622" s="276"/>
      <c r="L622" s="621"/>
      <c r="M622" s="303"/>
      <c r="N622" s="621"/>
      <c r="O622" s="303"/>
      <c r="P622" s="621"/>
      <c r="Q622" s="303"/>
      <c r="R622" s="621"/>
      <c r="S622" s="303"/>
      <c r="T622" s="621"/>
      <c r="U622" s="303"/>
      <c r="V622" s="621"/>
      <c r="W622" s="303"/>
      <c r="X622" s="265"/>
      <c r="Y622" s="142"/>
      <c r="Z622" s="140"/>
      <c r="AA622" s="143"/>
      <c r="AB622" s="461" t="s">
        <v>701</v>
      </c>
    </row>
    <row r="623" spans="1:38" ht="12.6" customHeight="1" x14ac:dyDescent="0.2">
      <c r="A623" s="10"/>
      <c r="B623" s="1065" t="s">
        <v>324</v>
      </c>
      <c r="C623" s="1065"/>
      <c r="D623" s="1065"/>
      <c r="E623" s="1065"/>
      <c r="F623" s="413">
        <f>35.2*X2</f>
        <v>34707.200000000004</v>
      </c>
      <c r="G623" s="304">
        <f t="shared" ref="G623" si="1515">+F623*$X$1</f>
        <v>34707.200000000004</v>
      </c>
      <c r="H623" s="109"/>
      <c r="I623" s="109"/>
      <c r="J623" s="273"/>
      <c r="K623" s="273"/>
      <c r="L623" s="529">
        <f>F623+220</f>
        <v>34927.200000000004</v>
      </c>
      <c r="M623" s="304">
        <f t="shared" ref="M623" si="1516">+L623*$X$1</f>
        <v>34927.200000000004</v>
      </c>
      <c r="N623" s="529">
        <f>F623+100</f>
        <v>34807.200000000004</v>
      </c>
      <c r="O623" s="304">
        <f t="shared" ref="O623" si="1517">+N623*$X$1</f>
        <v>34807.200000000004</v>
      </c>
      <c r="P623" s="529">
        <f>F623+80</f>
        <v>34787.200000000004</v>
      </c>
      <c r="Q623" s="304">
        <f t="shared" ref="Q623" si="1518">+P623*$X$1</f>
        <v>34787.200000000004</v>
      </c>
      <c r="R623" s="529">
        <f>F623+60</f>
        <v>34767.200000000004</v>
      </c>
      <c r="S623" s="304">
        <f t="shared" ref="S623" si="1519">+R623*$X$1</f>
        <v>34767.200000000004</v>
      </c>
      <c r="T623" s="529">
        <f>F623+50</f>
        <v>34757.200000000004</v>
      </c>
      <c r="U623" s="304">
        <f t="shared" ref="U623" si="1520">+T623*$X$1</f>
        <v>34757.200000000004</v>
      </c>
      <c r="V623" s="529"/>
      <c r="W623" s="304"/>
      <c r="X623" s="140"/>
      <c r="Y623" s="144"/>
      <c r="Z623" s="140"/>
      <c r="AA623" s="143"/>
      <c r="AB623" s="461" t="s">
        <v>461</v>
      </c>
    </row>
    <row r="624" spans="1:38" ht="12.6" customHeight="1" x14ac:dyDescent="0.2">
      <c r="A624" s="10"/>
      <c r="B624" s="1014" t="s">
        <v>460</v>
      </c>
      <c r="C624" s="1014"/>
      <c r="D624" s="1014"/>
      <c r="E624" s="1014"/>
      <c r="F624" s="303"/>
      <c r="G624" s="303"/>
      <c r="H624" s="103"/>
      <c r="I624" s="103"/>
      <c r="J624" s="621"/>
      <c r="K624" s="303"/>
      <c r="L624" s="621"/>
      <c r="M624" s="303"/>
      <c r="N624" s="621"/>
      <c r="O624" s="303"/>
      <c r="P624" s="621"/>
      <c r="Q624" s="303"/>
      <c r="R624" s="621"/>
      <c r="S624" s="303"/>
      <c r="T624" s="621"/>
      <c r="U624" s="303"/>
      <c r="V624" s="1205"/>
      <c r="W624" s="1206"/>
      <c r="X624" s="140"/>
      <c r="Y624" s="144"/>
      <c r="Z624" s="140"/>
      <c r="AA624" s="143"/>
      <c r="AB624" s="461" t="s">
        <v>325</v>
      </c>
    </row>
    <row r="625" spans="1:38" s="1" customFormat="1" ht="12.6" customHeight="1" x14ac:dyDescent="0.2">
      <c r="A625" s="19"/>
      <c r="B625" s="706" t="s">
        <v>909</v>
      </c>
      <c r="C625" s="840"/>
      <c r="D625" s="840"/>
      <c r="E625" s="840"/>
      <c r="F625" s="351">
        <v>20176</v>
      </c>
      <c r="G625" s="304">
        <f t="shared" ref="G625" si="1521">+F625*$X$1</f>
        <v>20176</v>
      </c>
      <c r="H625" s="529"/>
      <c r="I625" s="304"/>
      <c r="J625" s="90">
        <f>F625+500</f>
        <v>20676</v>
      </c>
      <c r="K625" s="304">
        <f>+J625*$X$1</f>
        <v>20676</v>
      </c>
      <c r="L625" s="529">
        <f>F625+250</f>
        <v>20426</v>
      </c>
      <c r="M625" s="304">
        <f t="shared" ref="M625" si="1522">+L625*$X$1</f>
        <v>20426</v>
      </c>
      <c r="N625" s="529">
        <f>F625+100</f>
        <v>20276</v>
      </c>
      <c r="O625" s="304">
        <f t="shared" ref="O625" si="1523">+N625*$X$1</f>
        <v>20276</v>
      </c>
      <c r="P625" s="529">
        <f>F625+80</f>
        <v>20256</v>
      </c>
      <c r="Q625" s="304">
        <f t="shared" ref="Q625" si="1524">+P625*$X$1</f>
        <v>20256</v>
      </c>
      <c r="R625" s="529">
        <f>F625+60</f>
        <v>20236</v>
      </c>
      <c r="S625" s="304">
        <f t="shared" ref="S625" si="1525">+R625*$X$1</f>
        <v>20236</v>
      </c>
      <c r="T625" s="529">
        <f>F625+50</f>
        <v>20226</v>
      </c>
      <c r="U625" s="304">
        <f t="shared" ref="U625" si="1526">+T625*$X$1</f>
        <v>20226</v>
      </c>
      <c r="V625" s="529"/>
      <c r="W625" s="304"/>
      <c r="X625" s="641"/>
      <c r="Y625" s="642"/>
      <c r="Z625" s="642"/>
      <c r="AA625" s="643"/>
      <c r="AB625" s="201" t="s">
        <v>907</v>
      </c>
      <c r="AC625" s="4"/>
      <c r="AD625" s="4"/>
      <c r="AE625" s="4"/>
      <c r="AF625" s="4"/>
      <c r="AG625" s="4"/>
      <c r="AH625" s="133"/>
      <c r="AI625" s="4"/>
      <c r="AJ625" s="4"/>
      <c r="AK625" s="4"/>
      <c r="AL625" s="4"/>
    </row>
    <row r="626" spans="1:38" s="1" customFormat="1" ht="12.6" customHeight="1" x14ac:dyDescent="0.2">
      <c r="A626" s="19"/>
      <c r="B626" s="706" t="s">
        <v>910</v>
      </c>
      <c r="C626" s="840"/>
      <c r="D626" s="840"/>
      <c r="E626" s="840"/>
      <c r="F626" s="352">
        <v>11058</v>
      </c>
      <c r="G626" s="303">
        <f t="shared" ref="G626" si="1527">+F626*$X$1</f>
        <v>11058</v>
      </c>
      <c r="H626" s="621"/>
      <c r="I626" s="303"/>
      <c r="J626" s="72">
        <f>F626+500</f>
        <v>11558</v>
      </c>
      <c r="K626" s="303">
        <f>+J626*$X$1</f>
        <v>11558</v>
      </c>
      <c r="L626" s="621">
        <f>F626+250</f>
        <v>11308</v>
      </c>
      <c r="M626" s="303">
        <f t="shared" ref="M626" si="1528">+L626*$X$1</f>
        <v>11308</v>
      </c>
      <c r="N626" s="621">
        <f>F626+100</f>
        <v>11158</v>
      </c>
      <c r="O626" s="303">
        <f t="shared" ref="O626" si="1529">+N626*$X$1</f>
        <v>11158</v>
      </c>
      <c r="P626" s="621">
        <f>F626+80</f>
        <v>11138</v>
      </c>
      <c r="Q626" s="303">
        <f t="shared" ref="Q626" si="1530">+P626*$X$1</f>
        <v>11138</v>
      </c>
      <c r="R626" s="621">
        <f>F626+60</f>
        <v>11118</v>
      </c>
      <c r="S626" s="303">
        <f t="shared" ref="S626" si="1531">+R626*$X$1</f>
        <v>11118</v>
      </c>
      <c r="T626" s="621">
        <f>F626+50</f>
        <v>11108</v>
      </c>
      <c r="U626" s="303">
        <f t="shared" ref="U626" si="1532">+T626*$X$1</f>
        <v>11108</v>
      </c>
      <c r="V626" s="621"/>
      <c r="W626" s="303"/>
      <c r="X626" s="641"/>
      <c r="Y626" s="642"/>
      <c r="Z626" s="642"/>
      <c r="AA626" s="643"/>
      <c r="AB626" s="201" t="s">
        <v>908</v>
      </c>
      <c r="AC626" s="4"/>
      <c r="AD626" s="4"/>
      <c r="AE626" s="4"/>
      <c r="AF626" s="4"/>
      <c r="AG626" s="4"/>
      <c r="AH626" s="133"/>
      <c r="AI626" s="4"/>
      <c r="AJ626" s="4"/>
      <c r="AK626" s="4"/>
      <c r="AL626" s="4"/>
    </row>
    <row r="627" spans="1:38" ht="12.6" customHeight="1" x14ac:dyDescent="0.2">
      <c r="A627" s="212"/>
      <c r="B627" s="730" t="s">
        <v>564</v>
      </c>
      <c r="C627" s="675"/>
      <c r="D627" s="675"/>
      <c r="E627" s="675"/>
      <c r="F627" s="351">
        <v>14100</v>
      </c>
      <c r="G627" s="304">
        <f t="shared" ref="G627" si="1533">+F627*$X$1</f>
        <v>14100</v>
      </c>
      <c r="H627" s="273"/>
      <c r="I627" s="273"/>
      <c r="J627" s="529">
        <f t="shared" ref="J627:J635" si="1534">F627+500</f>
        <v>14600</v>
      </c>
      <c r="K627" s="304">
        <f t="shared" ref="K627:K629" si="1535">+J627*$X$1</f>
        <v>14600</v>
      </c>
      <c r="L627" s="529">
        <f>F627+410</f>
        <v>14510</v>
      </c>
      <c r="M627" s="304">
        <f>+L627*$X$1</f>
        <v>14510</v>
      </c>
      <c r="N627" s="529">
        <f>F627+370</f>
        <v>14470</v>
      </c>
      <c r="O627" s="304">
        <f>+N627*$X$1</f>
        <v>14470</v>
      </c>
      <c r="P627" s="529">
        <f>F627+330</f>
        <v>14430</v>
      </c>
      <c r="Q627" s="304">
        <f>+P627*$X$1</f>
        <v>14430</v>
      </c>
      <c r="R627" s="529">
        <f>F627+290</f>
        <v>14390</v>
      </c>
      <c r="S627" s="304">
        <f>+R627*$X$1</f>
        <v>14390</v>
      </c>
      <c r="T627" s="529">
        <f>F627+240</f>
        <v>14340</v>
      </c>
      <c r="U627" s="304">
        <f t="shared" ref="U627" si="1536">+T627*$X$1</f>
        <v>14340</v>
      </c>
      <c r="V627" s="1207"/>
      <c r="W627" s="304"/>
      <c r="X627" s="328"/>
      <c r="Y627" s="328"/>
      <c r="Z627" s="328"/>
      <c r="AA627" s="328"/>
      <c r="AB627" s="461" t="s">
        <v>702</v>
      </c>
    </row>
    <row r="628" spans="1:38" ht="12.6" customHeight="1" x14ac:dyDescent="0.2">
      <c r="A628" s="212"/>
      <c r="B628" s="881" t="s">
        <v>441</v>
      </c>
      <c r="C628" s="715"/>
      <c r="D628" s="715"/>
      <c r="E628" s="715"/>
      <c r="F628" s="352">
        <v>15920</v>
      </c>
      <c r="G628" s="303">
        <f t="shared" ref="G628:G633" si="1537">+F628*$X$1</f>
        <v>15920</v>
      </c>
      <c r="H628" s="276"/>
      <c r="I628" s="276"/>
      <c r="J628" s="621"/>
      <c r="K628" s="303"/>
      <c r="L628" s="621">
        <f>F628+250</f>
        <v>16170</v>
      </c>
      <c r="M628" s="303">
        <f t="shared" ref="M628" si="1538">+L628*$X$1</f>
        <v>16170</v>
      </c>
      <c r="N628" s="621">
        <f>F628+100</f>
        <v>16020</v>
      </c>
      <c r="O628" s="303">
        <f t="shared" ref="O628" si="1539">+N628*$X$1</f>
        <v>16020</v>
      </c>
      <c r="P628" s="621">
        <f>F628+80</f>
        <v>16000</v>
      </c>
      <c r="Q628" s="303">
        <f t="shared" ref="Q628" si="1540">+P628*$X$1</f>
        <v>16000</v>
      </c>
      <c r="R628" s="621">
        <f>F628+60</f>
        <v>15980</v>
      </c>
      <c r="S628" s="303">
        <f t="shared" ref="S628" si="1541">+R628*$X$1</f>
        <v>15980</v>
      </c>
      <c r="T628" s="621">
        <f>F628+50</f>
        <v>15970</v>
      </c>
      <c r="U628" s="303">
        <f t="shared" ref="U628" si="1542">+T628*$X$1</f>
        <v>15970</v>
      </c>
      <c r="V628" s="621"/>
      <c r="W628" s="303"/>
      <c r="X628" s="160"/>
      <c r="Y628" s="160"/>
      <c r="Z628" s="160"/>
      <c r="AA628" s="160"/>
      <c r="AB628" s="461" t="s">
        <v>444</v>
      </c>
    </row>
    <row r="629" spans="1:38" ht="12.6" customHeight="1" x14ac:dyDescent="0.2">
      <c r="A629" s="212"/>
      <c r="B629" s="872" t="s">
        <v>563</v>
      </c>
      <c r="C629" s="681"/>
      <c r="D629" s="681"/>
      <c r="E629" s="681"/>
      <c r="F629" s="351">
        <v>21780</v>
      </c>
      <c r="G629" s="304">
        <f t="shared" ref="G629:G630" si="1543">+F629*$X$1</f>
        <v>21780</v>
      </c>
      <c r="H629" s="529">
        <f>F629+2400</f>
        <v>24180</v>
      </c>
      <c r="I629" s="304">
        <f t="shared" ref="I629" si="1544">+H629*$X$1</f>
        <v>24180</v>
      </c>
      <c r="J629" s="529">
        <f t="shared" si="1534"/>
        <v>22280</v>
      </c>
      <c r="K629" s="304">
        <f t="shared" si="1535"/>
        <v>22280</v>
      </c>
      <c r="L629" s="529">
        <f>F629+250</f>
        <v>22030</v>
      </c>
      <c r="M629" s="304">
        <f t="shared" ref="M629:M630" si="1545">+L629*$X$1</f>
        <v>22030</v>
      </c>
      <c r="N629" s="529">
        <f>F629+100</f>
        <v>21880</v>
      </c>
      <c r="O629" s="304">
        <f t="shared" ref="O629:O630" si="1546">+N629*$X$1</f>
        <v>21880</v>
      </c>
      <c r="P629" s="529">
        <f>F629+80</f>
        <v>21860</v>
      </c>
      <c r="Q629" s="304">
        <f t="shared" ref="Q629:Q630" si="1547">+P629*$X$1</f>
        <v>21860</v>
      </c>
      <c r="R629" s="529">
        <f>F629+60</f>
        <v>21840</v>
      </c>
      <c r="S629" s="304">
        <f t="shared" ref="S629:S630" si="1548">+R629*$X$1</f>
        <v>21840</v>
      </c>
      <c r="T629" s="529">
        <f>F629+50</f>
        <v>21830</v>
      </c>
      <c r="U629" s="304">
        <f t="shared" ref="U629:U635" si="1549">+T629*$X$1</f>
        <v>21830</v>
      </c>
      <c r="V629" s="529"/>
      <c r="W629" s="304"/>
      <c r="X629" s="328"/>
      <c r="Y629" s="328"/>
      <c r="Z629" s="328"/>
      <c r="AA629" s="328"/>
      <c r="AB629" s="461" t="s">
        <v>565</v>
      </c>
    </row>
    <row r="630" spans="1:38" ht="12.6" customHeight="1" x14ac:dyDescent="0.2">
      <c r="A630" s="212"/>
      <c r="B630" s="881" t="s">
        <v>802</v>
      </c>
      <c r="C630" s="715"/>
      <c r="D630" s="715"/>
      <c r="E630" s="715"/>
      <c r="F630" s="352">
        <v>16570</v>
      </c>
      <c r="G630" s="303">
        <f t="shared" si="1543"/>
        <v>16570</v>
      </c>
      <c r="H630" s="621">
        <f>F630+2400</f>
        <v>18970</v>
      </c>
      <c r="I630" s="303">
        <f t="shared" ref="I630" si="1550">+H630*$X$1</f>
        <v>18970</v>
      </c>
      <c r="J630" s="621">
        <f t="shared" ref="J630" si="1551">F630+500</f>
        <v>17070</v>
      </c>
      <c r="K630" s="303">
        <f t="shared" ref="K630" si="1552">+J630*$X$1</f>
        <v>17070</v>
      </c>
      <c r="L630" s="621">
        <f>F630+250</f>
        <v>16820</v>
      </c>
      <c r="M630" s="303">
        <f t="shared" si="1545"/>
        <v>16820</v>
      </c>
      <c r="N630" s="621">
        <f>F630+100</f>
        <v>16670</v>
      </c>
      <c r="O630" s="303">
        <f t="shared" si="1546"/>
        <v>16670</v>
      </c>
      <c r="P630" s="621">
        <f>F630+80</f>
        <v>16650</v>
      </c>
      <c r="Q630" s="303">
        <f t="shared" si="1547"/>
        <v>16650</v>
      </c>
      <c r="R630" s="621">
        <f>F630+60</f>
        <v>16630</v>
      </c>
      <c r="S630" s="303">
        <f t="shared" si="1548"/>
        <v>16630</v>
      </c>
      <c r="T630" s="621">
        <f>F630+50</f>
        <v>16620</v>
      </c>
      <c r="U630" s="303">
        <f t="shared" si="1549"/>
        <v>16620</v>
      </c>
      <c r="V630" s="621"/>
      <c r="W630" s="303"/>
      <c r="X630" s="521"/>
      <c r="Y630" s="521"/>
      <c r="Z630" s="521"/>
      <c r="AA630" s="521"/>
      <c r="AB630" s="461" t="s">
        <v>803</v>
      </c>
    </row>
    <row r="631" spans="1:38" ht="12.6" customHeight="1" x14ac:dyDescent="0.2">
      <c r="A631" s="212"/>
      <c r="B631" s="872" t="s">
        <v>440</v>
      </c>
      <c r="C631" s="681"/>
      <c r="D631" s="681"/>
      <c r="E631" s="681"/>
      <c r="F631" s="351">
        <v>16540</v>
      </c>
      <c r="G631" s="304">
        <f t="shared" si="1537"/>
        <v>16540</v>
      </c>
      <c r="H631" s="273"/>
      <c r="I631" s="273"/>
      <c r="J631" s="529">
        <f t="shared" si="1534"/>
        <v>17040</v>
      </c>
      <c r="K631" s="304">
        <f t="shared" ref="K631:K635" si="1553">+J631*$X$1</f>
        <v>17040</v>
      </c>
      <c r="L631" s="104">
        <f>F631+410</f>
        <v>16950</v>
      </c>
      <c r="M631" s="340">
        <f>+L631*$X$1</f>
        <v>16950</v>
      </c>
      <c r="N631" s="104">
        <f>F631+370</f>
        <v>16910</v>
      </c>
      <c r="O631" s="340">
        <f>+N631*$X$1</f>
        <v>16910</v>
      </c>
      <c r="P631" s="104">
        <f>F631+330</f>
        <v>16870</v>
      </c>
      <c r="Q631" s="340">
        <f>+P631*$X$1</f>
        <v>16870</v>
      </c>
      <c r="R631" s="104">
        <f>F631+290</f>
        <v>16830</v>
      </c>
      <c r="S631" s="340">
        <f>+R631*$X$1</f>
        <v>16830</v>
      </c>
      <c r="T631" s="529">
        <f>F631+240</f>
        <v>16780</v>
      </c>
      <c r="U631" s="304">
        <f t="shared" si="1549"/>
        <v>16780</v>
      </c>
      <c r="V631" s="596"/>
      <c r="W631" s="304"/>
      <c r="X631" s="160"/>
      <c r="Y631" s="160"/>
      <c r="Z631" s="160"/>
      <c r="AA631" s="160"/>
      <c r="AB631" s="461" t="s">
        <v>443</v>
      </c>
    </row>
    <row r="632" spans="1:38" ht="12.6" customHeight="1" x14ac:dyDescent="0.2">
      <c r="A632" s="212"/>
      <c r="B632" s="881" t="s">
        <v>566</v>
      </c>
      <c r="C632" s="715"/>
      <c r="D632" s="715"/>
      <c r="E632" s="715"/>
      <c r="F632" s="412">
        <f>12.31*X2</f>
        <v>12137.66</v>
      </c>
      <c r="G632" s="303">
        <f t="shared" ref="G632" si="1554">+F632*$X$1</f>
        <v>12137.66</v>
      </c>
      <c r="H632" s="276"/>
      <c r="I632" s="276"/>
      <c r="J632" s="621">
        <f t="shared" si="1534"/>
        <v>12637.66</v>
      </c>
      <c r="K632" s="303">
        <f t="shared" si="1553"/>
        <v>12637.66</v>
      </c>
      <c r="L632" s="105">
        <f>F632+410</f>
        <v>12547.66</v>
      </c>
      <c r="M632" s="326">
        <f>+L632*$X$1</f>
        <v>12547.66</v>
      </c>
      <c r="N632" s="105">
        <f>F632+370</f>
        <v>12507.66</v>
      </c>
      <c r="O632" s="326">
        <f>+N632*$X$1</f>
        <v>12507.66</v>
      </c>
      <c r="P632" s="105">
        <f>F632+330</f>
        <v>12467.66</v>
      </c>
      <c r="Q632" s="326">
        <f>+P632*$X$1</f>
        <v>12467.66</v>
      </c>
      <c r="R632" s="105">
        <f>F632+290</f>
        <v>12427.66</v>
      </c>
      <c r="S632" s="326">
        <f>+R632*$X$1</f>
        <v>12427.66</v>
      </c>
      <c r="T632" s="621">
        <f>F632+240</f>
        <v>12377.66</v>
      </c>
      <c r="U632" s="303">
        <f t="shared" si="1549"/>
        <v>12377.66</v>
      </c>
      <c r="V632" s="330"/>
      <c r="W632" s="303"/>
      <c r="X632" s="331"/>
      <c r="Y632" s="331"/>
      <c r="Z632" s="331"/>
      <c r="AA632" s="331"/>
      <c r="AB632" s="461" t="s">
        <v>703</v>
      </c>
    </row>
    <row r="633" spans="1:38" ht="12.6" customHeight="1" x14ac:dyDescent="0.2">
      <c r="A633" s="212"/>
      <c r="B633" s="872" t="s">
        <v>491</v>
      </c>
      <c r="C633" s="681"/>
      <c r="D633" s="681"/>
      <c r="E633" s="681"/>
      <c r="F633" s="413">
        <f>8.75*X2</f>
        <v>8627.5</v>
      </c>
      <c r="G633" s="304">
        <f t="shared" si="1537"/>
        <v>8627.5</v>
      </c>
      <c r="H633" s="273"/>
      <c r="I633" s="273"/>
      <c r="J633" s="529">
        <f t="shared" si="1534"/>
        <v>9127.5</v>
      </c>
      <c r="K633" s="304">
        <f t="shared" si="1553"/>
        <v>9127.5</v>
      </c>
      <c r="L633" s="104">
        <f>F633+410</f>
        <v>9037.5</v>
      </c>
      <c r="M633" s="340">
        <f>+L633*$X$1</f>
        <v>9037.5</v>
      </c>
      <c r="N633" s="104">
        <f>F633+370</f>
        <v>8997.5</v>
      </c>
      <c r="O633" s="340">
        <f>+N633*$X$1</f>
        <v>8997.5</v>
      </c>
      <c r="P633" s="104">
        <f>F633+330</f>
        <v>8957.5</v>
      </c>
      <c r="Q633" s="340">
        <f>+P633*$X$1</f>
        <v>8957.5</v>
      </c>
      <c r="R633" s="104">
        <f>F633+290</f>
        <v>8917.5</v>
      </c>
      <c r="S633" s="340">
        <f>+R633*$X$1</f>
        <v>8917.5</v>
      </c>
      <c r="T633" s="529">
        <f>F633+240</f>
        <v>8867.5</v>
      </c>
      <c r="U633" s="304">
        <f t="shared" si="1549"/>
        <v>8867.5</v>
      </c>
      <c r="V633" s="529"/>
      <c r="W633" s="304"/>
      <c r="X633" s="160"/>
      <c r="Y633" s="160"/>
      <c r="Z633" s="160"/>
      <c r="AA633" s="160"/>
      <c r="AB633" s="461" t="s">
        <v>680</v>
      </c>
    </row>
    <row r="634" spans="1:38" ht="12.6" customHeight="1" x14ac:dyDescent="0.2">
      <c r="A634" s="212"/>
      <c r="B634" s="881" t="s">
        <v>706</v>
      </c>
      <c r="C634" s="715"/>
      <c r="D634" s="715"/>
      <c r="E634" s="715"/>
      <c r="F634" s="412">
        <f>14.53*X2</f>
        <v>14326.58</v>
      </c>
      <c r="G634" s="303">
        <f t="shared" ref="G634" si="1555">+F634*$X$1</f>
        <v>14326.58</v>
      </c>
      <c r="H634" s="276"/>
      <c r="I634" s="276"/>
      <c r="J634" s="621">
        <f t="shared" si="1534"/>
        <v>14826.58</v>
      </c>
      <c r="K634" s="303">
        <f t="shared" si="1553"/>
        <v>14826.58</v>
      </c>
      <c r="L634" s="105">
        <f>F634+410</f>
        <v>14736.58</v>
      </c>
      <c r="M634" s="326">
        <f>+L634*$X$1</f>
        <v>14736.58</v>
      </c>
      <c r="N634" s="105">
        <f>F634+370</f>
        <v>14696.58</v>
      </c>
      <c r="O634" s="326">
        <f>+N634*$X$1</f>
        <v>14696.58</v>
      </c>
      <c r="P634" s="105">
        <f>F634+330</f>
        <v>14656.58</v>
      </c>
      <c r="Q634" s="326">
        <f>+P634*$X$1</f>
        <v>14656.58</v>
      </c>
      <c r="R634" s="105">
        <f>F634+290</f>
        <v>14616.58</v>
      </c>
      <c r="S634" s="326">
        <f>+R634*$X$1</f>
        <v>14616.58</v>
      </c>
      <c r="T634" s="621">
        <f>F634+240</f>
        <v>14566.58</v>
      </c>
      <c r="U634" s="303">
        <f t="shared" si="1549"/>
        <v>14566.58</v>
      </c>
      <c r="V634" s="621"/>
      <c r="W634" s="303"/>
      <c r="X634" s="430"/>
      <c r="Y634" s="430"/>
      <c r="Z634" s="430"/>
      <c r="AA634" s="430"/>
      <c r="AB634" s="461" t="s">
        <v>681</v>
      </c>
    </row>
    <row r="635" spans="1:38" ht="12.6" customHeight="1" x14ac:dyDescent="0.2">
      <c r="A635" s="212"/>
      <c r="B635" s="872" t="s">
        <v>490</v>
      </c>
      <c r="C635" s="681"/>
      <c r="D635" s="681"/>
      <c r="E635" s="681"/>
      <c r="F635" s="413">
        <f>10.53*X2</f>
        <v>10382.58</v>
      </c>
      <c r="G635" s="304">
        <f t="shared" ref="G635" si="1556">+F635*$X$1</f>
        <v>10382.58</v>
      </c>
      <c r="H635" s="273"/>
      <c r="I635" s="273"/>
      <c r="J635" s="529">
        <f t="shared" si="1534"/>
        <v>10882.58</v>
      </c>
      <c r="K635" s="304">
        <f t="shared" si="1553"/>
        <v>10882.58</v>
      </c>
      <c r="L635" s="104">
        <f>F635+410</f>
        <v>10792.58</v>
      </c>
      <c r="M635" s="340">
        <f>+L635*$X$1</f>
        <v>10792.58</v>
      </c>
      <c r="N635" s="104">
        <f>F635+370</f>
        <v>10752.58</v>
      </c>
      <c r="O635" s="340">
        <f>+N635*$X$1</f>
        <v>10752.58</v>
      </c>
      <c r="P635" s="104">
        <f>F635+330</f>
        <v>10712.58</v>
      </c>
      <c r="Q635" s="340">
        <f>+P635*$X$1</f>
        <v>10712.58</v>
      </c>
      <c r="R635" s="104">
        <f>F635+290</f>
        <v>10672.58</v>
      </c>
      <c r="S635" s="340">
        <f>+R635*$X$1</f>
        <v>10672.58</v>
      </c>
      <c r="T635" s="529">
        <f>F635+240</f>
        <v>10622.58</v>
      </c>
      <c r="U635" s="304">
        <f t="shared" si="1549"/>
        <v>10622.58</v>
      </c>
      <c r="V635" s="529"/>
      <c r="W635" s="304"/>
      <c r="X635" s="160"/>
      <c r="Y635" s="160"/>
      <c r="Z635" s="160"/>
      <c r="AA635" s="160"/>
      <c r="AB635" s="461" t="s">
        <v>682</v>
      </c>
    </row>
    <row r="636" spans="1:38" ht="12.6" customHeight="1" x14ac:dyDescent="0.2">
      <c r="A636" s="212"/>
      <c r="B636" s="112"/>
      <c r="C636" s="465"/>
      <c r="D636" s="465"/>
      <c r="E636" s="465"/>
      <c r="F636" s="469"/>
      <c r="G636" s="357"/>
      <c r="H636" s="122"/>
      <c r="I636" s="357"/>
      <c r="J636" s="122"/>
      <c r="K636" s="357"/>
      <c r="L636" s="122"/>
      <c r="M636" s="357"/>
      <c r="N636" s="122"/>
      <c r="O636" s="357"/>
      <c r="P636" s="122"/>
      <c r="Q636" s="357"/>
      <c r="R636" s="122"/>
      <c r="S636" s="357"/>
      <c r="T636" s="122"/>
      <c r="U636" s="357"/>
      <c r="V636" s="76"/>
      <c r="W636" s="468"/>
      <c r="X636" s="466"/>
      <c r="Y636" s="466"/>
      <c r="Z636" s="466"/>
      <c r="AA636" s="466"/>
      <c r="AB636" s="470"/>
    </row>
    <row r="637" spans="1:38" ht="12.6" customHeight="1" x14ac:dyDescent="0.2">
      <c r="A637" s="212"/>
      <c r="B637" s="112"/>
      <c r="C637" s="620"/>
      <c r="D637" s="620"/>
      <c r="E637" s="620"/>
      <c r="F637" s="469"/>
      <c r="G637" s="357"/>
      <c r="H637" s="122"/>
      <c r="I637" s="357"/>
      <c r="J637" s="122"/>
      <c r="K637" s="357"/>
      <c r="L637" s="122"/>
      <c r="M637" s="357"/>
      <c r="N637" s="122"/>
      <c r="O637" s="357"/>
      <c r="P637" s="122"/>
      <c r="Q637" s="357"/>
      <c r="R637" s="122"/>
      <c r="S637" s="357"/>
      <c r="T637" s="122"/>
      <c r="U637" s="357"/>
      <c r="V637" s="76"/>
      <c r="W637" s="540"/>
      <c r="X637" s="619"/>
      <c r="Y637" s="619"/>
      <c r="Z637" s="619"/>
      <c r="AA637" s="619"/>
      <c r="AB637" s="470"/>
    </row>
    <row r="638" spans="1:38" ht="12.6" customHeight="1" x14ac:dyDescent="0.2">
      <c r="A638" s="212"/>
      <c r="B638" s="112"/>
      <c r="C638" s="522"/>
      <c r="D638" s="522"/>
      <c r="E638" s="522"/>
      <c r="F638" s="469"/>
      <c r="G638" s="357"/>
      <c r="H638" s="122"/>
      <c r="I638" s="357"/>
      <c r="J638" s="122"/>
      <c r="K638" s="357"/>
      <c r="L638" s="122"/>
      <c r="M638" s="357"/>
      <c r="N638" s="122"/>
      <c r="O638" s="357"/>
      <c r="P638" s="122"/>
      <c r="Q638" s="357"/>
      <c r="R638" s="122"/>
      <c r="S638" s="357"/>
      <c r="T638" s="122"/>
      <c r="U638" s="357"/>
      <c r="V638" s="76"/>
      <c r="W638" s="519"/>
      <c r="X638" s="520"/>
      <c r="Y638" s="520"/>
      <c r="Z638" s="520"/>
      <c r="AA638" s="520"/>
      <c r="AB638" s="470"/>
    </row>
    <row r="639" spans="1:38" ht="12.6" customHeight="1" x14ac:dyDescent="0.2">
      <c r="A639" s="212"/>
      <c r="B639" s="112"/>
      <c r="C639" s="465"/>
      <c r="D639" s="465"/>
      <c r="E639" s="465"/>
      <c r="F639" s="469"/>
      <c r="G639" s="357"/>
      <c r="H639" s="122"/>
      <c r="I639" s="357"/>
      <c r="J639" s="122"/>
      <c r="K639" s="357"/>
      <c r="L639" s="122"/>
      <c r="M639" s="357"/>
      <c r="N639" s="122"/>
      <c r="O639" s="357"/>
      <c r="P639" s="122"/>
      <c r="Q639" s="357"/>
      <c r="R639" s="122"/>
      <c r="S639" s="357"/>
      <c r="T639" s="122"/>
      <c r="U639" s="357"/>
      <c r="V639" s="76"/>
      <c r="W639" s="468"/>
      <c r="X639" s="466"/>
      <c r="Y639" s="466"/>
      <c r="Z639" s="466"/>
      <c r="AA639" s="466"/>
      <c r="AB639" s="470"/>
    </row>
    <row r="640" spans="1:38" ht="20.25" customHeight="1" x14ac:dyDescent="0.2">
      <c r="A640" s="28"/>
      <c r="B640" s="1057" t="s">
        <v>326</v>
      </c>
      <c r="C640" s="1058"/>
      <c r="D640" s="1058"/>
      <c r="E640" s="1058"/>
      <c r="F640" s="1058"/>
      <c r="G640" s="1058"/>
      <c r="H640" s="1058"/>
      <c r="I640" s="1058"/>
      <c r="J640" s="1058"/>
      <c r="K640" s="1058"/>
      <c r="L640" s="1058"/>
      <c r="M640" s="1058"/>
      <c r="N640" s="1058"/>
      <c r="O640" s="1058"/>
      <c r="P640" s="1058"/>
      <c r="Q640" s="1058"/>
      <c r="R640" s="1058"/>
      <c r="S640" s="1058"/>
      <c r="T640" s="1058"/>
      <c r="U640" s="1058"/>
      <c r="V640" s="1058"/>
      <c r="W640" s="1059"/>
      <c r="AF640" s="631"/>
      <c r="AG640" s="632"/>
      <c r="AH640" s="632"/>
    </row>
    <row r="641" spans="1:35" ht="12.6" customHeight="1" x14ac:dyDescent="0.2">
      <c r="A641" s="18"/>
      <c r="B641" s="936"/>
      <c r="C641" s="937"/>
      <c r="D641" s="937"/>
      <c r="E641" s="937"/>
      <c r="F641" s="937"/>
      <c r="G641" s="938"/>
      <c r="H641" s="575"/>
      <c r="I641" s="576" t="s">
        <v>298</v>
      </c>
      <c r="J641" s="576"/>
      <c r="K641" s="576" t="s">
        <v>17</v>
      </c>
      <c r="L641" s="576"/>
      <c r="M641" s="576" t="s">
        <v>18</v>
      </c>
      <c r="N641" s="576"/>
      <c r="O641" s="576" t="s">
        <v>19</v>
      </c>
      <c r="P641" s="576"/>
      <c r="Q641" s="576" t="s">
        <v>300</v>
      </c>
      <c r="R641" s="576"/>
      <c r="S641" s="576" t="s">
        <v>20</v>
      </c>
      <c r="T641" s="576"/>
      <c r="U641" s="576" t="s">
        <v>21</v>
      </c>
      <c r="V641" s="576"/>
      <c r="W641" s="576" t="s">
        <v>22</v>
      </c>
    </row>
    <row r="642" spans="1:35" ht="12.6" customHeight="1" x14ac:dyDescent="0.2">
      <c r="A642" s="929"/>
      <c r="B642" s="917" t="s">
        <v>534</v>
      </c>
      <c r="C642" s="918"/>
      <c r="D642" s="918"/>
      <c r="E642" s="918"/>
      <c r="F642" s="918"/>
      <c r="G642" s="919"/>
      <c r="H642" s="312"/>
      <c r="I642" s="431"/>
      <c r="J642" s="432"/>
      <c r="K642" s="394"/>
      <c r="L642" s="311">
        <v>90</v>
      </c>
      <c r="M642" s="394">
        <f>+L642*$X$1</f>
        <v>90</v>
      </c>
      <c r="N642" s="529">
        <v>50</v>
      </c>
      <c r="O642" s="394">
        <f>+N642*$X$1</f>
        <v>50</v>
      </c>
      <c r="P642" s="529">
        <v>40</v>
      </c>
      <c r="Q642" s="394">
        <f>+P642*$X$1</f>
        <v>40</v>
      </c>
      <c r="R642" s="529">
        <v>35</v>
      </c>
      <c r="S642" s="394">
        <f>+R642*$X$1</f>
        <v>35</v>
      </c>
      <c r="T642" s="529">
        <v>31</v>
      </c>
      <c r="U642" s="395">
        <f>+T642*$X$1</f>
        <v>31</v>
      </c>
      <c r="V642" s="529">
        <v>28</v>
      </c>
      <c r="W642" s="394">
        <f>+V642*$X$1</f>
        <v>28</v>
      </c>
    </row>
    <row r="643" spans="1:35" ht="12.6" customHeight="1" x14ac:dyDescent="0.2">
      <c r="A643" s="929"/>
      <c r="B643" s="1062" t="s">
        <v>327</v>
      </c>
      <c r="C643" s="1063"/>
      <c r="D643" s="1063"/>
      <c r="E643" s="1063"/>
      <c r="F643" s="1063"/>
      <c r="G643" s="1064"/>
      <c r="H643" s="76"/>
      <c r="I643" s="433"/>
      <c r="J643" s="434">
        <v>120</v>
      </c>
      <c r="K643" s="396">
        <f>+J643*$X$1</f>
        <v>120</v>
      </c>
      <c r="L643" s="435">
        <v>90</v>
      </c>
      <c r="M643" s="436">
        <f>+L643*$X$1</f>
        <v>90</v>
      </c>
      <c r="N643" s="116">
        <v>70</v>
      </c>
      <c r="O643" s="436">
        <f>+N643*$X$1</f>
        <v>70</v>
      </c>
      <c r="P643" s="116">
        <v>60</v>
      </c>
      <c r="Q643" s="436">
        <f>+P643*$X$1</f>
        <v>60</v>
      </c>
      <c r="R643" s="116">
        <v>50</v>
      </c>
      <c r="S643" s="436">
        <f>+R643*$X$1</f>
        <v>50</v>
      </c>
      <c r="T643" s="116">
        <v>45</v>
      </c>
      <c r="U643" s="436">
        <f>+T643*$X$1</f>
        <v>45</v>
      </c>
      <c r="V643" s="116">
        <v>40</v>
      </c>
      <c r="W643" s="436">
        <f>+V643*$X$1</f>
        <v>40</v>
      </c>
    </row>
    <row r="644" spans="1:35" ht="12.6" customHeight="1" x14ac:dyDescent="0.2">
      <c r="A644" s="929"/>
      <c r="B644" s="917" t="s">
        <v>535</v>
      </c>
      <c r="C644" s="918"/>
      <c r="D644" s="918"/>
      <c r="E644" s="918"/>
      <c r="F644" s="918"/>
      <c r="G644" s="919"/>
      <c r="H644" s="311"/>
      <c r="I644" s="394"/>
      <c r="J644" s="311"/>
      <c r="K644" s="394"/>
      <c r="L644" s="311">
        <v>80</v>
      </c>
      <c r="M644" s="394">
        <f>+L644*$X$1</f>
        <v>80</v>
      </c>
      <c r="N644" s="529">
        <v>60</v>
      </c>
      <c r="O644" s="394">
        <f>+N644*$X$1</f>
        <v>60</v>
      </c>
      <c r="P644" s="529">
        <v>55</v>
      </c>
      <c r="Q644" s="394">
        <f>+P644*$X$1</f>
        <v>55</v>
      </c>
      <c r="R644" s="529">
        <v>50</v>
      </c>
      <c r="S644" s="394">
        <f>+R644*$X$1</f>
        <v>50</v>
      </c>
      <c r="T644" s="529">
        <v>46</v>
      </c>
      <c r="U644" s="395">
        <f>+T644*$X$1</f>
        <v>46</v>
      </c>
      <c r="V644" s="529">
        <v>42</v>
      </c>
      <c r="W644" s="394">
        <f>+V644*$X$1</f>
        <v>42</v>
      </c>
    </row>
    <row r="645" spans="1:35" ht="12.6" customHeight="1" x14ac:dyDescent="0.2">
      <c r="A645" s="929"/>
      <c r="B645" s="907" t="s">
        <v>533</v>
      </c>
      <c r="C645" s="908"/>
      <c r="D645" s="908"/>
      <c r="E645" s="908"/>
      <c r="F645" s="908"/>
      <c r="G645" s="909"/>
      <c r="H645" s="437">
        <v>290</v>
      </c>
      <c r="I645" s="396">
        <f>+H645*$X$1</f>
        <v>290</v>
      </c>
      <c r="J645" s="437">
        <v>150</v>
      </c>
      <c r="K645" s="396">
        <f>+J645*$X$1</f>
        <v>150</v>
      </c>
      <c r="L645" s="437">
        <v>120</v>
      </c>
      <c r="M645" s="396">
        <f>+L645*$X$1</f>
        <v>120</v>
      </c>
      <c r="N645" s="558">
        <v>100</v>
      </c>
      <c r="O645" s="396">
        <f>+N645*$X$1</f>
        <v>100</v>
      </c>
      <c r="P645" s="558">
        <v>85</v>
      </c>
      <c r="Q645" s="396">
        <f>+P645*$X$1</f>
        <v>85</v>
      </c>
      <c r="R645" s="558">
        <v>78</v>
      </c>
      <c r="S645" s="396">
        <f>+R645*$X$1</f>
        <v>78</v>
      </c>
      <c r="T645" s="558">
        <v>73</v>
      </c>
      <c r="U645" s="436">
        <f>+T645*$X$1</f>
        <v>73</v>
      </c>
      <c r="V645" s="558">
        <v>68</v>
      </c>
      <c r="W645" s="396">
        <f>+V645*$X$1</f>
        <v>68</v>
      </c>
    </row>
    <row r="646" spans="1:35" ht="12.75" customHeight="1" x14ac:dyDescent="0.2">
      <c r="A646" s="929"/>
      <c r="B646" s="1070" t="s">
        <v>898</v>
      </c>
      <c r="C646" s="1071"/>
      <c r="D646" s="1071"/>
      <c r="E646" s="1071"/>
      <c r="F646" s="1071"/>
      <c r="G646" s="1071"/>
      <c r="H646" s="1071"/>
      <c r="I646" s="1071"/>
      <c r="J646" s="1071"/>
      <c r="K646" s="1071"/>
      <c r="L646" s="1071"/>
      <c r="M646" s="1071"/>
      <c r="N646" s="1071"/>
      <c r="O646" s="1071"/>
      <c r="P646" s="1071"/>
      <c r="Q646" s="1071"/>
      <c r="R646" s="1071"/>
      <c r="S646" s="1071"/>
      <c r="T646" s="1071"/>
      <c r="U646" s="1071"/>
      <c r="V646" s="1071"/>
      <c r="W646" s="1072"/>
    </row>
    <row r="647" spans="1:35" ht="13.5" customHeight="1" x14ac:dyDescent="0.2">
      <c r="A647" s="929"/>
      <c r="B647" s="1101" t="s">
        <v>607</v>
      </c>
      <c r="C647" s="1076"/>
      <c r="D647" s="1076"/>
      <c r="E647" s="1076"/>
      <c r="F647" s="1076"/>
      <c r="G647" s="1102"/>
      <c r="H647" s="1012"/>
      <c r="I647" s="910" t="s">
        <v>298</v>
      </c>
      <c r="J647" s="1012"/>
      <c r="K647" s="910" t="s">
        <v>17</v>
      </c>
      <c r="L647" s="910"/>
      <c r="M647" s="910" t="s">
        <v>18</v>
      </c>
      <c r="N647" s="910"/>
      <c r="O647" s="910" t="s">
        <v>19</v>
      </c>
      <c r="P647" s="910"/>
      <c r="Q647" s="910" t="s">
        <v>300</v>
      </c>
      <c r="R647" s="910"/>
      <c r="S647" s="910" t="s">
        <v>20</v>
      </c>
      <c r="T647" s="910"/>
      <c r="U647" s="910" t="s">
        <v>21</v>
      </c>
      <c r="V647" s="910"/>
      <c r="W647" s="910" t="s">
        <v>22</v>
      </c>
    </row>
    <row r="648" spans="1:35" ht="11.25" customHeight="1" x14ac:dyDescent="0.2">
      <c r="A648" s="929"/>
      <c r="B648" s="1079"/>
      <c r="C648" s="1080"/>
      <c r="D648" s="1080"/>
      <c r="E648" s="1080"/>
      <c r="F648" s="1080"/>
      <c r="G648" s="1103"/>
      <c r="H648" s="1013"/>
      <c r="I648" s="911"/>
      <c r="J648" s="1013"/>
      <c r="K648" s="911"/>
      <c r="L648" s="1008"/>
      <c r="M648" s="1008"/>
      <c r="N648" s="1008"/>
      <c r="O648" s="1008"/>
      <c r="P648" s="1008"/>
      <c r="Q648" s="1008"/>
      <c r="R648" s="1008"/>
      <c r="S648" s="1008"/>
      <c r="T648" s="1008"/>
      <c r="U648" s="1008"/>
      <c r="V648" s="1008"/>
      <c r="W648" s="1008"/>
      <c r="AB648" s="60"/>
      <c r="AC648" s="60"/>
      <c r="AD648" s="60"/>
      <c r="AE648" s="60"/>
      <c r="AF648" s="60"/>
      <c r="AG648" s="60"/>
      <c r="AH648" s="60"/>
      <c r="AI648" s="60"/>
    </row>
    <row r="649" spans="1:35" ht="12.6" customHeight="1" x14ac:dyDescent="0.2">
      <c r="A649" s="929"/>
      <c r="B649" s="933" t="s">
        <v>605</v>
      </c>
      <c r="C649" s="934"/>
      <c r="D649" s="934"/>
      <c r="E649" s="934"/>
      <c r="F649" s="934"/>
      <c r="G649" s="935"/>
      <c r="H649" s="313">
        <v>510</v>
      </c>
      <c r="I649" s="397">
        <f>+H649*$X$1</f>
        <v>510</v>
      </c>
      <c r="J649" s="90">
        <v>410</v>
      </c>
      <c r="K649" s="397">
        <f>+J649*$X$1</f>
        <v>410</v>
      </c>
      <c r="L649" s="529">
        <v>360</v>
      </c>
      <c r="M649" s="394">
        <f>+L649*$X$1</f>
        <v>360</v>
      </c>
      <c r="N649" s="529">
        <v>320</v>
      </c>
      <c r="O649" s="394">
        <f>+N649*$X$1</f>
        <v>320</v>
      </c>
      <c r="P649" s="529">
        <v>270</v>
      </c>
      <c r="Q649" s="394">
        <f>+P649*$X$1</f>
        <v>270</v>
      </c>
      <c r="R649" s="529">
        <v>250</v>
      </c>
      <c r="S649" s="394">
        <f>+R649*$X$1</f>
        <v>250</v>
      </c>
      <c r="T649" s="529">
        <v>230</v>
      </c>
      <c r="U649" s="394">
        <f>+T649*$X$1</f>
        <v>230</v>
      </c>
      <c r="V649" s="529">
        <v>220</v>
      </c>
      <c r="W649" s="394">
        <f>+V649*$X$1</f>
        <v>220</v>
      </c>
    </row>
    <row r="650" spans="1:35" ht="12.6" customHeight="1" x14ac:dyDescent="0.2">
      <c r="A650" s="929"/>
      <c r="B650" s="930" t="s">
        <v>602</v>
      </c>
      <c r="C650" s="931"/>
      <c r="D650" s="931"/>
      <c r="E650" s="931"/>
      <c r="F650" s="931"/>
      <c r="G650" s="932"/>
      <c r="H650" s="93">
        <v>570</v>
      </c>
      <c r="I650" s="438">
        <f>+H650*$X$1</f>
        <v>570</v>
      </c>
      <c r="J650" s="72">
        <v>480</v>
      </c>
      <c r="K650" s="438">
        <f>+J650*$X$1</f>
        <v>480</v>
      </c>
      <c r="L650" s="558">
        <v>450</v>
      </c>
      <c r="M650" s="396">
        <f>+L650*$X$1</f>
        <v>450</v>
      </c>
      <c r="N650" s="558">
        <v>410</v>
      </c>
      <c r="O650" s="396">
        <f>+N650*$X$1</f>
        <v>410</v>
      </c>
      <c r="P650" s="558">
        <v>380</v>
      </c>
      <c r="Q650" s="396">
        <f>+P650*$X$1</f>
        <v>380</v>
      </c>
      <c r="R650" s="558">
        <v>350</v>
      </c>
      <c r="S650" s="396">
        <f>+R650*$X$1</f>
        <v>350</v>
      </c>
      <c r="T650" s="558">
        <v>330</v>
      </c>
      <c r="U650" s="396">
        <f>+T650*$X$1</f>
        <v>330</v>
      </c>
      <c r="V650" s="558">
        <v>310</v>
      </c>
      <c r="W650" s="396">
        <f>+V650*$X$1</f>
        <v>310</v>
      </c>
    </row>
    <row r="651" spans="1:35" ht="12.6" customHeight="1" x14ac:dyDescent="0.2">
      <c r="A651" s="929"/>
      <c r="B651" s="933" t="s">
        <v>604</v>
      </c>
      <c r="C651" s="934"/>
      <c r="D651" s="934"/>
      <c r="E651" s="934"/>
      <c r="F651" s="934"/>
      <c r="G651" s="935"/>
      <c r="H651" s="313">
        <v>780</v>
      </c>
      <c r="I651" s="397">
        <f>+H651*$X$1</f>
        <v>780</v>
      </c>
      <c r="J651" s="90">
        <v>700</v>
      </c>
      <c r="K651" s="397">
        <f>+J651*$X$1</f>
        <v>700</v>
      </c>
      <c r="L651" s="529">
        <v>600</v>
      </c>
      <c r="M651" s="394">
        <f>+L651*$X$1</f>
        <v>600</v>
      </c>
      <c r="N651" s="529">
        <v>550</v>
      </c>
      <c r="O651" s="394">
        <f>+N651*$X$1</f>
        <v>550</v>
      </c>
      <c r="P651" s="529">
        <v>510</v>
      </c>
      <c r="Q651" s="394">
        <f>+P651*$X$1</f>
        <v>510</v>
      </c>
      <c r="R651" s="529">
        <v>490</v>
      </c>
      <c r="S651" s="394">
        <f>+R651*$X$1</f>
        <v>490</v>
      </c>
      <c r="T651" s="529">
        <v>480</v>
      </c>
      <c r="U651" s="394">
        <f>+T651*$X$1</f>
        <v>480</v>
      </c>
      <c r="V651" s="529">
        <v>460</v>
      </c>
      <c r="W651" s="394">
        <f>+V651*$X$1</f>
        <v>460</v>
      </c>
    </row>
    <row r="652" spans="1:35" ht="12.6" customHeight="1" x14ac:dyDescent="0.2">
      <c r="A652" s="929"/>
      <c r="B652" s="930" t="s">
        <v>603</v>
      </c>
      <c r="C652" s="931"/>
      <c r="D652" s="931"/>
      <c r="E652" s="931"/>
      <c r="F652" s="931"/>
      <c r="G652" s="932"/>
      <c r="H652" s="93">
        <v>1060</v>
      </c>
      <c r="I652" s="573">
        <f>+H652*$X$1</f>
        <v>1060</v>
      </c>
      <c r="J652" s="72">
        <v>920</v>
      </c>
      <c r="K652" s="574">
        <f>+J652*$X$1</f>
        <v>920</v>
      </c>
      <c r="L652" s="558">
        <v>800</v>
      </c>
      <c r="M652" s="396">
        <f>+L652*$X$1</f>
        <v>800</v>
      </c>
      <c r="N652" s="558">
        <v>740</v>
      </c>
      <c r="O652" s="396">
        <f>+N652*$X$1</f>
        <v>740</v>
      </c>
      <c r="P652" s="558">
        <v>710</v>
      </c>
      <c r="Q652" s="396">
        <f>+P652*$X$1</f>
        <v>710</v>
      </c>
      <c r="R652" s="558">
        <v>690</v>
      </c>
      <c r="S652" s="396">
        <f>+R652*$X$1</f>
        <v>690</v>
      </c>
      <c r="T652" s="558">
        <v>670</v>
      </c>
      <c r="U652" s="396">
        <f>+T652*$X$1</f>
        <v>670</v>
      </c>
      <c r="V652" s="558">
        <v>650</v>
      </c>
      <c r="W652" s="396">
        <f>+V652*$X$1</f>
        <v>650</v>
      </c>
    </row>
    <row r="653" spans="1:35" ht="8.25" customHeight="1" x14ac:dyDescent="0.2">
      <c r="A653" s="212"/>
      <c r="B653" s="213"/>
      <c r="C653" s="213"/>
      <c r="D653" s="213"/>
      <c r="E653" s="213"/>
      <c r="F653" s="214"/>
      <c r="G653" s="214"/>
      <c r="H653" s="76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76"/>
      <c r="W653" s="207"/>
      <c r="X653" s="206"/>
      <c r="Y653" s="206"/>
      <c r="Z653" s="206"/>
      <c r="AA653" s="206"/>
      <c r="AB653" s="216"/>
    </row>
    <row r="654" spans="1:35" ht="13.5" customHeight="1" x14ac:dyDescent="0.2">
      <c r="B654" s="1097" t="s">
        <v>542</v>
      </c>
      <c r="C654" s="1098"/>
      <c r="D654" s="1098"/>
      <c r="E654" s="1098"/>
      <c r="F654" s="1098"/>
      <c r="G654" s="1098"/>
      <c r="H654" s="1098"/>
      <c r="I654" s="1098"/>
      <c r="J654" s="1098"/>
      <c r="K654" s="70" t="s">
        <v>536</v>
      </c>
      <c r="L654" s="71">
        <v>22</v>
      </c>
      <c r="M654" s="393">
        <f>+L654*$X$1</f>
        <v>22</v>
      </c>
      <c r="N654" s="69"/>
      <c r="O654" s="70" t="s">
        <v>537</v>
      </c>
      <c r="P654" s="71">
        <v>20</v>
      </c>
      <c r="Q654" s="393">
        <f>+P654*$X$1</f>
        <v>20</v>
      </c>
      <c r="R654" s="47"/>
      <c r="S654" s="47"/>
      <c r="T654" s="47"/>
      <c r="U654" s="47"/>
      <c r="V654" s="47"/>
      <c r="W654" s="47"/>
    </row>
    <row r="655" spans="1:35" ht="9.75" customHeight="1" x14ac:dyDescent="0.2">
      <c r="B655" s="50"/>
      <c r="C655" s="180"/>
      <c r="D655" s="180"/>
      <c r="E655" s="180"/>
      <c r="F655" s="180"/>
      <c r="G655" s="180"/>
      <c r="H655" s="180"/>
      <c r="I655" s="180"/>
      <c r="J655" s="180"/>
      <c r="K655" s="51"/>
      <c r="L655" s="52"/>
      <c r="M655" s="53"/>
      <c r="N655" s="47"/>
      <c r="O655" s="51"/>
      <c r="P655" s="52"/>
      <c r="Q655" s="53"/>
      <c r="R655" s="47"/>
      <c r="S655" s="47"/>
      <c r="T655" s="47"/>
      <c r="U655" s="47"/>
      <c r="V655" s="47"/>
      <c r="W655" s="47"/>
    </row>
    <row r="656" spans="1:35" x14ac:dyDescent="0.2">
      <c r="B656" s="3"/>
      <c r="C656" s="1095" t="s">
        <v>328</v>
      </c>
      <c r="D656" s="1096"/>
      <c r="E656" s="1096"/>
      <c r="F656" s="1096"/>
      <c r="G656" s="1096"/>
      <c r="H656" s="1096"/>
      <c r="I656" s="1096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7"/>
      <c r="W656" s="7"/>
    </row>
    <row r="657" spans="2:34" ht="12.6" customHeight="1" x14ac:dyDescent="0.2">
      <c r="B657" s="3"/>
      <c r="C657" s="1009" t="s">
        <v>329</v>
      </c>
      <c r="D657" s="1010"/>
      <c r="E657" s="1010"/>
      <c r="F657" s="1010"/>
      <c r="G657" s="1011"/>
      <c r="H657" s="471"/>
      <c r="I657" s="467"/>
      <c r="J657" s="4"/>
      <c r="K657" s="4"/>
      <c r="L657" s="37"/>
      <c r="M657" s="3"/>
      <c r="N657" s="3"/>
      <c r="O657" s="3"/>
      <c r="P657" s="3"/>
      <c r="Q657" s="3"/>
      <c r="R657" s="3"/>
      <c r="S657" s="3"/>
      <c r="T657" s="3"/>
      <c r="U657" s="3"/>
      <c r="V657" s="7"/>
      <c r="W657" s="7"/>
    </row>
    <row r="658" spans="2:34" ht="12.6" customHeight="1" x14ac:dyDescent="0.2">
      <c r="B658" s="3"/>
      <c r="C658" s="1092" t="s">
        <v>330</v>
      </c>
      <c r="D658" s="1093"/>
      <c r="E658" s="1093"/>
      <c r="F658" s="1093"/>
      <c r="G658" s="1094"/>
      <c r="H658" s="42"/>
      <c r="I658" s="472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7"/>
      <c r="W658" s="7"/>
    </row>
    <row r="659" spans="2:34" ht="12.6" customHeight="1" x14ac:dyDescent="0.2">
      <c r="B659" s="3"/>
      <c r="C659" s="1092" t="s">
        <v>331</v>
      </c>
      <c r="D659" s="1093"/>
      <c r="E659" s="1093"/>
      <c r="F659" s="1093"/>
      <c r="G659" s="1094"/>
      <c r="H659" s="44"/>
      <c r="I659" s="392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"/>
      <c r="W659" s="7"/>
    </row>
    <row r="660" spans="2:34" ht="15.95" customHeight="1" x14ac:dyDescent="0.2">
      <c r="B660" s="3"/>
      <c r="C660" s="1075" t="s">
        <v>600</v>
      </c>
      <c r="D660" s="1076"/>
      <c r="E660" s="1076"/>
      <c r="F660" s="1076"/>
      <c r="G660" s="1076"/>
      <c r="H660" s="1077"/>
      <c r="I660" s="1078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"/>
      <c r="W660" s="7"/>
    </row>
    <row r="661" spans="2:34" ht="15.75" customHeight="1" x14ac:dyDescent="0.2">
      <c r="B661" s="3"/>
      <c r="C661" s="1079"/>
      <c r="D661" s="1080"/>
      <c r="E661" s="1080"/>
      <c r="F661" s="1080"/>
      <c r="G661" s="1080"/>
      <c r="H661" s="1081"/>
      <c r="I661" s="1082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"/>
      <c r="W661" s="7"/>
    </row>
    <row r="662" spans="2:34" ht="12.6" customHeight="1" thickBot="1" x14ac:dyDescent="0.25">
      <c r="B662" s="4"/>
      <c r="C662" s="49"/>
      <c r="D662" s="49"/>
      <c r="E662" s="49"/>
      <c r="F662" s="49"/>
      <c r="G662" s="49"/>
      <c r="H662" s="43"/>
      <c r="I662" s="365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"/>
      <c r="W662" s="7"/>
    </row>
    <row r="663" spans="2:34" ht="13.5" customHeight="1" x14ac:dyDescent="0.2">
      <c r="B663" s="1104" t="s">
        <v>881</v>
      </c>
      <c r="C663" s="1105"/>
      <c r="D663" s="1105"/>
      <c r="E663" s="1105"/>
      <c r="F663" s="1105"/>
      <c r="G663" s="1105"/>
      <c r="H663" s="1105"/>
      <c r="I663" s="1105"/>
      <c r="J663" s="1105"/>
      <c r="K663" s="1105"/>
      <c r="L663" s="1105"/>
      <c r="M663" s="1105"/>
      <c r="N663" s="1105"/>
      <c r="O663" s="1105"/>
      <c r="P663" s="1105"/>
      <c r="Q663" s="1105"/>
      <c r="R663" s="1105"/>
      <c r="S663" s="1105"/>
      <c r="T663" s="1105"/>
      <c r="U663" s="1105"/>
      <c r="V663" s="1105"/>
      <c r="W663" s="1106"/>
    </row>
    <row r="664" spans="2:34" ht="13.5" customHeight="1" x14ac:dyDescent="0.2">
      <c r="B664" s="1107"/>
      <c r="C664" s="1108"/>
      <c r="D664" s="1108"/>
      <c r="E664" s="1108"/>
      <c r="F664" s="1108"/>
      <c r="G664" s="1108"/>
      <c r="H664" s="1108"/>
      <c r="I664" s="1108"/>
      <c r="J664" s="1108"/>
      <c r="K664" s="1108"/>
      <c r="L664" s="1108"/>
      <c r="M664" s="1108"/>
      <c r="N664" s="1108"/>
      <c r="O664" s="1108"/>
      <c r="P664" s="1108"/>
      <c r="Q664" s="1108"/>
      <c r="R664" s="1108"/>
      <c r="S664" s="1108"/>
      <c r="T664" s="1108"/>
      <c r="U664" s="1108"/>
      <c r="V664" s="1108"/>
      <c r="W664" s="1109"/>
    </row>
    <row r="665" spans="2:34" ht="13.5" customHeight="1" thickBot="1" x14ac:dyDescent="0.25">
      <c r="B665" s="1110"/>
      <c r="C665" s="1111"/>
      <c r="D665" s="1111"/>
      <c r="E665" s="1111"/>
      <c r="F665" s="1111"/>
      <c r="G665" s="1111"/>
      <c r="H665" s="1111"/>
      <c r="I665" s="1111"/>
      <c r="J665" s="1111"/>
      <c r="K665" s="1111"/>
      <c r="L665" s="1111"/>
      <c r="M665" s="1111"/>
      <c r="N665" s="1111"/>
      <c r="O665" s="1111"/>
      <c r="P665" s="1111"/>
      <c r="Q665" s="1111"/>
      <c r="R665" s="1111"/>
      <c r="S665" s="1111"/>
      <c r="T665" s="1111"/>
      <c r="U665" s="1111"/>
      <c r="V665" s="1111"/>
      <c r="W665" s="1112"/>
    </row>
    <row r="666" spans="2:34" ht="12.6" customHeight="1" x14ac:dyDescent="0.2">
      <c r="B666" s="4"/>
      <c r="C666" s="41"/>
      <c r="D666" s="41"/>
      <c r="E666" s="41"/>
      <c r="F666" s="41"/>
      <c r="G666" s="41"/>
      <c r="H666" s="43"/>
      <c r="I666" s="43"/>
      <c r="J666" s="4"/>
      <c r="K666" s="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7"/>
      <c r="W666" s="7"/>
    </row>
    <row r="667" spans="2:34" ht="23.25" customHeight="1" x14ac:dyDescent="0.2">
      <c r="B667" s="3"/>
      <c r="C667" s="982" t="s">
        <v>704</v>
      </c>
      <c r="D667" s="983"/>
      <c r="E667" s="983"/>
      <c r="F667" s="983"/>
      <c r="G667" s="983"/>
      <c r="H667" s="983"/>
      <c r="I667" s="1066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AF667" s="631" t="s">
        <v>3</v>
      </c>
      <c r="AG667" s="632"/>
      <c r="AH667" s="632"/>
    </row>
    <row r="668" spans="2:34" ht="12.95" customHeight="1" x14ac:dyDescent="0.2">
      <c r="B668" s="3"/>
      <c r="C668" s="1083"/>
      <c r="D668" s="1084"/>
      <c r="E668" s="1084"/>
      <c r="F668" s="1084"/>
      <c r="G668" s="1084"/>
      <c r="H668" s="1084"/>
      <c r="I668" s="108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7"/>
      <c r="W668" s="7"/>
    </row>
    <row r="669" spans="2:34" ht="12.95" customHeight="1" x14ac:dyDescent="0.2">
      <c r="B669" s="3"/>
      <c r="C669" s="1086"/>
      <c r="D669" s="1087"/>
      <c r="E669" s="1087"/>
      <c r="F669" s="1087"/>
      <c r="G669" s="1087"/>
      <c r="H669" s="1087"/>
      <c r="I669" s="108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"/>
      <c r="W669" s="7"/>
    </row>
    <row r="670" spans="2:34" ht="12.95" customHeight="1" x14ac:dyDescent="0.2">
      <c r="B670" s="3"/>
      <c r="C670" s="1086"/>
      <c r="D670" s="1087"/>
      <c r="E670" s="1087"/>
      <c r="F670" s="1087"/>
      <c r="G670" s="1087"/>
      <c r="H670" s="1087"/>
      <c r="I670" s="108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"/>
      <c r="W670" s="7"/>
    </row>
    <row r="671" spans="2:34" ht="12.95" customHeight="1" x14ac:dyDescent="0.2">
      <c r="B671" s="3"/>
      <c r="C671" s="1086"/>
      <c r="D671" s="1087"/>
      <c r="E671" s="1087"/>
      <c r="F671" s="1087"/>
      <c r="G671" s="1087"/>
      <c r="H671" s="1087"/>
      <c r="I671" s="108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"/>
      <c r="W671" s="7"/>
    </row>
    <row r="672" spans="2:34" ht="12.95" customHeight="1" x14ac:dyDescent="0.2">
      <c r="B672" s="3"/>
      <c r="C672" s="1086"/>
      <c r="D672" s="1087"/>
      <c r="E672" s="1087"/>
      <c r="F672" s="1087"/>
      <c r="G672" s="1087"/>
      <c r="H672" s="1087"/>
      <c r="I672" s="108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"/>
      <c r="W672" s="7"/>
    </row>
    <row r="673" spans="2:34" ht="12.95" customHeight="1" x14ac:dyDescent="0.2">
      <c r="B673" s="3"/>
      <c r="C673" s="1086"/>
      <c r="D673" s="1087"/>
      <c r="E673" s="1087"/>
      <c r="F673" s="1087"/>
      <c r="G673" s="1087"/>
      <c r="H673" s="1087"/>
      <c r="I673" s="1088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"/>
      <c r="W673" s="7"/>
    </row>
    <row r="674" spans="2:34" ht="10.5" customHeight="1" x14ac:dyDescent="0.2">
      <c r="B674" s="3"/>
      <c r="C674" s="1089"/>
      <c r="D674" s="1090"/>
      <c r="E674" s="1090"/>
      <c r="F674" s="1090"/>
      <c r="G674" s="1090"/>
      <c r="H674" s="1090"/>
      <c r="I674" s="109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"/>
      <c r="W674" s="7"/>
    </row>
    <row r="675" spans="2:34" ht="12.6" customHeight="1" x14ac:dyDescent="0.2">
      <c r="B675" s="3"/>
      <c r="C675" s="1067" t="s">
        <v>434</v>
      </c>
      <c r="D675" s="1067"/>
      <c r="E675" s="1068"/>
      <c r="F675" s="1068"/>
      <c r="G675" s="1069"/>
      <c r="H675" s="44">
        <v>1100</v>
      </c>
      <c r="I675" s="396">
        <f>+H675*$X$1</f>
        <v>1100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"/>
      <c r="W675" s="7"/>
    </row>
    <row r="676" spans="2:34" ht="12.6" customHeight="1" x14ac:dyDescent="0.2">
      <c r="B676" s="3"/>
      <c r="C676" s="1067" t="s">
        <v>705</v>
      </c>
      <c r="D676" s="1067"/>
      <c r="E676" s="1068"/>
      <c r="F676" s="1068"/>
      <c r="G676" s="1069"/>
      <c r="H676" s="44">
        <v>1000</v>
      </c>
      <c r="I676" s="396">
        <f>+H676*$X$1</f>
        <v>1000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"/>
      <c r="W676" s="7"/>
    </row>
    <row r="677" spans="2:34" ht="12.6" customHeight="1" x14ac:dyDescent="0.2">
      <c r="B677" s="3"/>
      <c r="C677" s="48"/>
      <c r="D677" s="46"/>
      <c r="E677" s="46"/>
      <c r="F677" s="46"/>
      <c r="G677" s="41"/>
      <c r="H677" s="43"/>
      <c r="I677" s="4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"/>
      <c r="W677" s="7"/>
    </row>
    <row r="678" spans="2:34" ht="18" customHeight="1" x14ac:dyDescent="0.2">
      <c r="B678" s="963" t="s">
        <v>601</v>
      </c>
      <c r="C678" s="964"/>
      <c r="D678" s="964"/>
      <c r="E678" s="964"/>
      <c r="F678" s="964"/>
      <c r="G678" s="964"/>
      <c r="H678" s="964"/>
      <c r="I678" s="964"/>
      <c r="J678" s="964"/>
      <c r="K678" s="964"/>
      <c r="L678" s="964"/>
      <c r="M678" s="964"/>
      <c r="N678" s="964"/>
      <c r="O678" s="964"/>
      <c r="P678" s="964"/>
      <c r="Q678" s="964"/>
      <c r="R678" s="964"/>
      <c r="S678" s="964"/>
      <c r="T678" s="964"/>
      <c r="U678" s="964"/>
      <c r="V678" s="964"/>
      <c r="W678" s="965"/>
    </row>
    <row r="679" spans="2:34" ht="12.6" customHeight="1" x14ac:dyDescent="0.2">
      <c r="B679" s="26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</row>
    <row r="680" spans="2:34" ht="15.75" customHeight="1" x14ac:dyDescent="0.2">
      <c r="B680" s="961" t="s">
        <v>332</v>
      </c>
      <c r="C680" s="962"/>
      <c r="D680" s="962"/>
      <c r="E680" s="962"/>
      <c r="F680" s="962"/>
      <c r="G680" s="962"/>
      <c r="H680" s="962"/>
      <c r="I680" s="962"/>
      <c r="J680" s="962"/>
      <c r="K680" s="962"/>
      <c r="L680" s="962"/>
      <c r="M680" s="962"/>
      <c r="N680" s="962"/>
      <c r="O680" s="962"/>
      <c r="P680" s="962"/>
      <c r="Q680" s="962"/>
      <c r="R680" s="962"/>
      <c r="S680" s="962"/>
      <c r="T680" s="962"/>
      <c r="U680" s="962"/>
      <c r="V680" s="962"/>
      <c r="W680" s="962"/>
    </row>
    <row r="681" spans="2:34" ht="15.75" customHeight="1" x14ac:dyDescent="0.2">
      <c r="B681" s="961" t="s">
        <v>333</v>
      </c>
      <c r="C681" s="962"/>
      <c r="D681" s="962"/>
      <c r="E681" s="962"/>
      <c r="F681" s="962"/>
      <c r="G681" s="962"/>
      <c r="H681" s="962"/>
      <c r="I681" s="962"/>
      <c r="J681" s="962"/>
      <c r="K681" s="962"/>
      <c r="L681" s="962"/>
      <c r="M681" s="962"/>
      <c r="N681" s="962"/>
      <c r="O681" s="962"/>
      <c r="P681" s="962"/>
      <c r="Q681" s="962"/>
      <c r="R681" s="962"/>
      <c r="S681" s="962"/>
      <c r="T681" s="962"/>
      <c r="U681" s="962"/>
      <c r="V681" s="962"/>
      <c r="W681" s="962"/>
      <c r="AF681" s="631"/>
      <c r="AG681" s="632"/>
      <c r="AH681" s="632"/>
    </row>
    <row r="682" spans="2:34" ht="15.75" customHeight="1" x14ac:dyDescent="0.2">
      <c r="B682" s="961" t="s">
        <v>334</v>
      </c>
      <c r="C682" s="962"/>
      <c r="D682" s="962"/>
      <c r="E682" s="962"/>
      <c r="F682" s="962"/>
      <c r="G682" s="962"/>
      <c r="H682" s="962"/>
      <c r="I682" s="962"/>
      <c r="J682" s="962"/>
      <c r="K682" s="962"/>
      <c r="L682" s="962"/>
      <c r="M682" s="962"/>
      <c r="N682" s="962"/>
      <c r="O682" s="962"/>
      <c r="P682" s="962"/>
      <c r="Q682" s="962"/>
      <c r="R682" s="962"/>
      <c r="S682" s="962"/>
      <c r="T682" s="962"/>
      <c r="U682" s="962"/>
      <c r="V682" s="962"/>
      <c r="W682" s="962"/>
    </row>
    <row r="683" spans="2:34" ht="12.6" customHeight="1" x14ac:dyDescent="0.2">
      <c r="B683" s="11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2:34" ht="18" customHeight="1" thickBot="1" x14ac:dyDescent="0.25">
      <c r="B684" s="1005" t="s">
        <v>335</v>
      </c>
      <c r="C684" s="1006"/>
      <c r="D684" s="1006"/>
      <c r="E684" s="1006"/>
      <c r="F684" s="1006"/>
      <c r="G684" s="1006"/>
      <c r="H684" s="1006"/>
      <c r="I684" s="1006"/>
      <c r="J684" s="1006"/>
      <c r="K684" s="1006"/>
      <c r="L684" s="1006"/>
      <c r="M684" s="1006"/>
      <c r="N684" s="1006"/>
      <c r="O684" s="1006"/>
      <c r="P684" s="1006"/>
      <c r="Q684" s="1006"/>
      <c r="R684" s="1006"/>
      <c r="S684" s="1006"/>
      <c r="T684" s="1006"/>
      <c r="U684" s="1006"/>
      <c r="V684" s="1006"/>
      <c r="W684" s="1007"/>
    </row>
    <row r="685" spans="2:34" x14ac:dyDescent="0.2">
      <c r="B685" s="990" t="s">
        <v>336</v>
      </c>
      <c r="C685" s="991"/>
      <c r="D685" s="991"/>
      <c r="E685" s="991"/>
      <c r="F685" s="991"/>
      <c r="G685" s="991"/>
      <c r="H685" s="991"/>
      <c r="I685" s="991"/>
      <c r="J685" s="991"/>
      <c r="K685" s="991"/>
      <c r="L685" s="991"/>
      <c r="M685" s="991"/>
      <c r="N685" s="992"/>
      <c r="O685" s="992"/>
      <c r="P685" s="992"/>
      <c r="Q685" s="992"/>
      <c r="R685" s="992"/>
      <c r="S685" s="992"/>
      <c r="T685" s="992"/>
      <c r="U685" s="992"/>
      <c r="V685" s="992"/>
      <c r="W685" s="993"/>
    </row>
    <row r="686" spans="2:34" ht="12.75" customHeight="1" x14ac:dyDescent="0.2">
      <c r="B686" s="994"/>
      <c r="C686" s="991"/>
      <c r="D686" s="991"/>
      <c r="E686" s="991"/>
      <c r="F686" s="991"/>
      <c r="G686" s="991"/>
      <c r="H686" s="991"/>
      <c r="I686" s="991"/>
      <c r="J686" s="991"/>
      <c r="K686" s="991"/>
      <c r="L686" s="991"/>
      <c r="M686" s="991"/>
      <c r="N686" s="992"/>
      <c r="O686" s="992"/>
      <c r="P686" s="992"/>
      <c r="Q686" s="992"/>
      <c r="R686" s="992"/>
      <c r="S686" s="992"/>
      <c r="T686" s="992"/>
      <c r="U686" s="992"/>
      <c r="V686" s="992"/>
      <c r="W686" s="993"/>
    </row>
    <row r="687" spans="2:34" x14ac:dyDescent="0.2">
      <c r="B687" s="994"/>
      <c r="C687" s="991"/>
      <c r="D687" s="991"/>
      <c r="E687" s="991"/>
      <c r="F687" s="991"/>
      <c r="G687" s="991"/>
      <c r="H687" s="991"/>
      <c r="I687" s="991"/>
      <c r="J687" s="991"/>
      <c r="K687" s="991"/>
      <c r="L687" s="991"/>
      <c r="M687" s="991"/>
      <c r="N687" s="992"/>
      <c r="O687" s="992"/>
      <c r="P687" s="992"/>
      <c r="Q687" s="992"/>
      <c r="R687" s="992"/>
      <c r="S687" s="992"/>
      <c r="T687" s="992"/>
      <c r="U687" s="992"/>
      <c r="V687" s="992"/>
      <c r="W687" s="993"/>
    </row>
    <row r="688" spans="2:34" x14ac:dyDescent="0.2">
      <c r="B688" s="995"/>
      <c r="C688" s="996"/>
      <c r="D688" s="996"/>
      <c r="E688" s="996"/>
      <c r="F688" s="996"/>
      <c r="G688" s="996"/>
      <c r="H688" s="996"/>
      <c r="I688" s="996"/>
      <c r="J688" s="996"/>
      <c r="K688" s="996"/>
      <c r="L688" s="996"/>
      <c r="M688" s="996"/>
      <c r="N688" s="997"/>
      <c r="O688" s="997"/>
      <c r="P688" s="997"/>
      <c r="Q688" s="997"/>
      <c r="R688" s="997"/>
      <c r="S688" s="997"/>
      <c r="T688" s="997"/>
      <c r="U688" s="997"/>
      <c r="V688" s="997"/>
      <c r="W688" s="998"/>
    </row>
    <row r="689" spans="2:26" ht="12.6" customHeight="1" x14ac:dyDescent="0.2">
      <c r="B689" s="218"/>
      <c r="C689" s="218"/>
      <c r="D689" s="218"/>
      <c r="E689" s="218"/>
      <c r="F689" s="218"/>
      <c r="G689" s="218"/>
      <c r="H689" s="218"/>
      <c r="I689" s="218"/>
      <c r="J689" s="218"/>
      <c r="K689" s="218"/>
      <c r="L689" s="218"/>
      <c r="M689" s="219"/>
      <c r="N689" s="63"/>
      <c r="O689" s="63"/>
      <c r="P689" s="63"/>
      <c r="Q689" s="63"/>
      <c r="R689" s="63"/>
      <c r="S689" s="63"/>
      <c r="T689" s="63"/>
      <c r="U689" s="63"/>
      <c r="V689" s="63"/>
      <c r="W689" s="63"/>
    </row>
    <row r="690" spans="2:26" x14ac:dyDescent="0.2">
      <c r="B690" s="999" t="s">
        <v>337</v>
      </c>
      <c r="C690" s="1000"/>
      <c r="D690" s="1000"/>
      <c r="E690" s="1000"/>
      <c r="F690" s="1000"/>
      <c r="G690" s="1000"/>
      <c r="H690" s="1000"/>
      <c r="I690" s="1000"/>
      <c r="J690" s="1000"/>
      <c r="K690" s="1000"/>
      <c r="L690" s="1000"/>
      <c r="M690" s="1000"/>
      <c r="N690" s="1000"/>
      <c r="O690" s="1000"/>
      <c r="P690" s="1000"/>
      <c r="Q690" s="1000"/>
      <c r="R690" s="1000"/>
      <c r="S690" s="1000"/>
      <c r="T690" s="1000"/>
      <c r="U690" s="1000"/>
      <c r="V690" s="1000"/>
      <c r="W690" s="1001"/>
    </row>
    <row r="691" spans="2:26" x14ac:dyDescent="0.2">
      <c r="B691" s="1002"/>
      <c r="C691" s="1003"/>
      <c r="D691" s="1003"/>
      <c r="E691" s="1003"/>
      <c r="F691" s="1003"/>
      <c r="G691" s="1003"/>
      <c r="H691" s="1003"/>
      <c r="I691" s="1003"/>
      <c r="J691" s="1003"/>
      <c r="K691" s="1003"/>
      <c r="L691" s="1003"/>
      <c r="M691" s="1003"/>
      <c r="N691" s="1003"/>
      <c r="O691" s="1003"/>
      <c r="P691" s="1003"/>
      <c r="Q691" s="1003"/>
      <c r="R691" s="1003"/>
      <c r="S691" s="1003"/>
      <c r="T691" s="1003"/>
      <c r="U691" s="1003"/>
      <c r="V691" s="1003"/>
      <c r="W691" s="1004"/>
    </row>
    <row r="692" spans="2:26" x14ac:dyDescent="0.2">
      <c r="B692" s="985" t="s">
        <v>338</v>
      </c>
      <c r="C692" s="701"/>
      <c r="D692" s="701"/>
      <c r="E692" s="701"/>
      <c r="F692" s="701"/>
      <c r="G692" s="701"/>
      <c r="H692" s="701"/>
      <c r="I692" s="701"/>
      <c r="J692" s="701"/>
      <c r="K692" s="701"/>
      <c r="L692" s="701"/>
      <c r="M692" s="701"/>
      <c r="N692" s="701"/>
      <c r="O692" s="701"/>
      <c r="P692" s="701"/>
      <c r="Q692" s="701"/>
      <c r="R692" s="701"/>
      <c r="S692" s="701"/>
      <c r="T692" s="701"/>
      <c r="U692" s="701"/>
      <c r="V692" s="701"/>
      <c r="W692" s="702"/>
    </row>
    <row r="693" spans="2:26" ht="12.6" customHeight="1" x14ac:dyDescent="0.2">
      <c r="B693" s="244"/>
      <c r="C693" s="244"/>
      <c r="D693" s="244"/>
      <c r="E693" s="244"/>
      <c r="F693" s="244"/>
      <c r="G693" s="244"/>
      <c r="H693" s="244"/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66"/>
    </row>
    <row r="694" spans="2:26" ht="12.75" customHeight="1" thickBot="1" x14ac:dyDescent="0.25">
      <c r="B694" s="982" t="s">
        <v>339</v>
      </c>
      <c r="C694" s="983"/>
      <c r="D694" s="983"/>
      <c r="E694" s="983"/>
      <c r="F694" s="983"/>
      <c r="G694" s="983"/>
      <c r="H694" s="983"/>
      <c r="I694" s="983"/>
      <c r="J694" s="983"/>
      <c r="K694" s="983"/>
      <c r="L694" s="983"/>
      <c r="M694" s="983"/>
      <c r="N694" s="983"/>
      <c r="O694" s="983"/>
      <c r="P694" s="983"/>
      <c r="Q694" s="983"/>
      <c r="R694" s="983"/>
      <c r="S694" s="983"/>
      <c r="T694" s="983"/>
      <c r="U694" s="983"/>
      <c r="V694" s="983"/>
      <c r="W694" s="984"/>
    </row>
    <row r="695" spans="2:26" ht="15" customHeight="1" thickBot="1" x14ac:dyDescent="0.25">
      <c r="B695" s="958" t="s">
        <v>396</v>
      </c>
      <c r="C695" s="959"/>
      <c r="D695" s="959"/>
      <c r="E695" s="959"/>
      <c r="F695" s="959"/>
      <c r="G695" s="959"/>
      <c r="H695" s="959"/>
      <c r="I695" s="959"/>
      <c r="J695" s="959"/>
      <c r="K695" s="959"/>
      <c r="L695" s="959"/>
      <c r="M695" s="959"/>
      <c r="N695" s="959"/>
      <c r="O695" s="959"/>
      <c r="P695" s="959"/>
      <c r="Q695" s="959"/>
      <c r="R695" s="959"/>
      <c r="S695" s="959"/>
      <c r="T695" s="959"/>
      <c r="U695" s="959"/>
      <c r="V695" s="959"/>
      <c r="W695" s="960"/>
    </row>
    <row r="696" spans="2:26" ht="90" customHeight="1" x14ac:dyDescent="0.2">
      <c r="B696" s="986"/>
      <c r="C696" s="987"/>
      <c r="D696" s="987"/>
      <c r="E696" s="987"/>
      <c r="F696" s="987"/>
      <c r="G696" s="987"/>
      <c r="H696" s="987"/>
      <c r="I696" s="987"/>
      <c r="J696" s="987"/>
      <c r="K696" s="988"/>
      <c r="L696" s="988"/>
      <c r="M696" s="988"/>
      <c r="N696" s="988"/>
      <c r="O696" s="988"/>
      <c r="P696" s="988"/>
      <c r="Q696" s="988"/>
      <c r="R696" s="988"/>
      <c r="S696" s="988"/>
      <c r="T696" s="988"/>
      <c r="U696" s="988"/>
      <c r="V696" s="988"/>
      <c r="W696" s="989"/>
    </row>
    <row r="697" spans="2:26" ht="12.6" customHeight="1" x14ac:dyDescent="0.25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Z697" s="34"/>
    </row>
    <row r="698" spans="2:26" ht="8.25" customHeight="1" x14ac:dyDescent="0.2">
      <c r="B698" s="966" t="s">
        <v>340</v>
      </c>
      <c r="C698" s="967"/>
      <c r="D698" s="967"/>
      <c r="E698" s="967"/>
      <c r="F698" s="967"/>
      <c r="G698" s="967"/>
      <c r="H698" s="967"/>
      <c r="I698" s="967"/>
      <c r="J698" s="967"/>
      <c r="K698" s="968"/>
      <c r="L698" s="968"/>
      <c r="M698" s="968"/>
      <c r="N698" s="968"/>
      <c r="O698" s="968"/>
      <c r="P698" s="968"/>
      <c r="Q698" s="968"/>
      <c r="R698" s="968"/>
      <c r="S698" s="968"/>
      <c r="T698" s="968"/>
      <c r="U698" s="968"/>
      <c r="V698" s="968"/>
      <c r="W698" s="969"/>
    </row>
    <row r="699" spans="2:26" ht="12.75" customHeight="1" x14ac:dyDescent="0.2">
      <c r="B699" s="970"/>
      <c r="C699" s="971"/>
      <c r="D699" s="971"/>
      <c r="E699" s="971"/>
      <c r="F699" s="971"/>
      <c r="G699" s="971"/>
      <c r="H699" s="971"/>
      <c r="I699" s="971"/>
      <c r="J699" s="971"/>
      <c r="K699" s="972"/>
      <c r="L699" s="972"/>
      <c r="M699" s="972"/>
      <c r="N699" s="972"/>
      <c r="O699" s="972"/>
      <c r="P699" s="972"/>
      <c r="Q699" s="972"/>
      <c r="R699" s="972"/>
      <c r="S699" s="972"/>
      <c r="T699" s="972"/>
      <c r="U699" s="972"/>
      <c r="V699" s="972"/>
      <c r="W699" s="973"/>
    </row>
    <row r="700" spans="2:26" x14ac:dyDescent="0.2">
      <c r="B700" s="974"/>
      <c r="C700" s="975"/>
      <c r="D700" s="975"/>
      <c r="E700" s="975"/>
      <c r="F700" s="975"/>
      <c r="G700" s="975"/>
      <c r="H700" s="975"/>
      <c r="I700" s="975"/>
      <c r="J700" s="975"/>
      <c r="K700" s="972"/>
      <c r="L700" s="972"/>
      <c r="M700" s="972"/>
      <c r="N700" s="972"/>
      <c r="O700" s="972"/>
      <c r="P700" s="972"/>
      <c r="Q700" s="972"/>
      <c r="R700" s="972"/>
      <c r="S700" s="972"/>
      <c r="T700" s="972"/>
      <c r="U700" s="972"/>
      <c r="V700" s="972"/>
      <c r="W700" s="973"/>
    </row>
    <row r="701" spans="2:26" x14ac:dyDescent="0.2">
      <c r="B701" s="974"/>
      <c r="C701" s="975"/>
      <c r="D701" s="975"/>
      <c r="E701" s="975"/>
      <c r="F701" s="975"/>
      <c r="G701" s="975"/>
      <c r="H701" s="975"/>
      <c r="I701" s="975"/>
      <c r="J701" s="975"/>
      <c r="K701" s="972"/>
      <c r="L701" s="972"/>
      <c r="M701" s="972"/>
      <c r="N701" s="972"/>
      <c r="O701" s="972"/>
      <c r="P701" s="972"/>
      <c r="Q701" s="972"/>
      <c r="R701" s="972"/>
      <c r="S701" s="972"/>
      <c r="T701" s="972"/>
      <c r="U701" s="972"/>
      <c r="V701" s="972"/>
      <c r="W701" s="973"/>
    </row>
    <row r="702" spans="2:26" x14ac:dyDescent="0.2">
      <c r="B702" s="974"/>
      <c r="C702" s="975"/>
      <c r="D702" s="975"/>
      <c r="E702" s="975"/>
      <c r="F702" s="975"/>
      <c r="G702" s="975"/>
      <c r="H702" s="975"/>
      <c r="I702" s="975"/>
      <c r="J702" s="975"/>
      <c r="K702" s="972"/>
      <c r="L702" s="972"/>
      <c r="M702" s="972"/>
      <c r="N702" s="972"/>
      <c r="O702" s="972"/>
      <c r="P702" s="972"/>
      <c r="Q702" s="972"/>
      <c r="R702" s="972"/>
      <c r="S702" s="972"/>
      <c r="T702" s="972"/>
      <c r="U702" s="972"/>
      <c r="V702" s="972"/>
      <c r="W702" s="973"/>
    </row>
    <row r="703" spans="2:26" x14ac:dyDescent="0.2">
      <c r="B703" s="974"/>
      <c r="C703" s="975"/>
      <c r="D703" s="975"/>
      <c r="E703" s="975"/>
      <c r="F703" s="975"/>
      <c r="G703" s="975"/>
      <c r="H703" s="975"/>
      <c r="I703" s="975"/>
      <c r="J703" s="975"/>
      <c r="K703" s="972"/>
      <c r="L703" s="972"/>
      <c r="M703" s="972"/>
      <c r="N703" s="972"/>
      <c r="O703" s="972"/>
      <c r="P703" s="972"/>
      <c r="Q703" s="972"/>
      <c r="R703" s="972"/>
      <c r="S703" s="972"/>
      <c r="T703" s="972"/>
      <c r="U703" s="972"/>
      <c r="V703" s="972"/>
      <c r="W703" s="973"/>
    </row>
    <row r="704" spans="2:26" x14ac:dyDescent="0.2">
      <c r="B704" s="976"/>
      <c r="C704" s="977"/>
      <c r="D704" s="977"/>
      <c r="E704" s="977"/>
      <c r="F704" s="977"/>
      <c r="G704" s="977"/>
      <c r="H704" s="977"/>
      <c r="I704" s="977"/>
      <c r="J704" s="977"/>
      <c r="K704" s="977"/>
      <c r="L704" s="977"/>
      <c r="M704" s="977"/>
      <c r="N704" s="977"/>
      <c r="O704" s="977"/>
      <c r="P704" s="977"/>
      <c r="Q704" s="977"/>
      <c r="R704" s="977"/>
      <c r="S704" s="977"/>
      <c r="T704" s="977"/>
      <c r="U704" s="977"/>
      <c r="V704" s="977"/>
      <c r="W704" s="978"/>
    </row>
    <row r="705" spans="2:23" x14ac:dyDescent="0.2">
      <c r="B705" s="979"/>
      <c r="C705" s="980"/>
      <c r="D705" s="980"/>
      <c r="E705" s="980"/>
      <c r="F705" s="980"/>
      <c r="G705" s="980"/>
      <c r="H705" s="980"/>
      <c r="I705" s="980"/>
      <c r="J705" s="980"/>
      <c r="K705" s="980"/>
      <c r="L705" s="980"/>
      <c r="M705" s="980"/>
      <c r="N705" s="980"/>
      <c r="O705" s="980"/>
      <c r="P705" s="980"/>
      <c r="Q705" s="980"/>
      <c r="R705" s="980"/>
      <c r="S705" s="980"/>
      <c r="T705" s="980"/>
      <c r="U705" s="980"/>
      <c r="V705" s="980"/>
      <c r="W705" s="981"/>
    </row>
    <row r="706" spans="2:23" ht="12.6" customHeight="1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"/>
      <c r="W706" s="7"/>
    </row>
    <row r="707" spans="2:23" ht="18.75" customHeight="1" x14ac:dyDescent="0.2">
      <c r="B707" s="955" t="s">
        <v>341</v>
      </c>
      <c r="C707" s="956"/>
      <c r="D707" s="956"/>
      <c r="E707" s="956"/>
      <c r="F707" s="956"/>
      <c r="G707" s="956"/>
      <c r="H707" s="956"/>
      <c r="I707" s="956"/>
      <c r="J707" s="956"/>
      <c r="K707" s="956"/>
      <c r="L707" s="956"/>
      <c r="M707" s="956"/>
      <c r="N707" s="956"/>
      <c r="O707" s="956"/>
      <c r="P707" s="956"/>
      <c r="Q707" s="956"/>
      <c r="R707" s="956"/>
      <c r="S707" s="956"/>
      <c r="T707" s="956"/>
      <c r="U707" s="956"/>
      <c r="V707" s="956"/>
      <c r="W707" s="957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"/>
      <c r="W708" s="7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"/>
      <c r="W709" s="7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"/>
      <c r="W710" s="7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"/>
      <c r="W711" s="7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2:23" ht="12.75" customHeight="1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</sheetData>
  <mergeCells count="1026">
    <mergeCell ref="X625:AA625"/>
    <mergeCell ref="B626:E626"/>
    <mergeCell ref="X626:AA626"/>
    <mergeCell ref="B388:E388"/>
    <mergeCell ref="B373:E373"/>
    <mergeCell ref="X291:AA291"/>
    <mergeCell ref="B258:E258"/>
    <mergeCell ref="B184:E184"/>
    <mergeCell ref="AF10:AH10"/>
    <mergeCell ref="X378:AA378"/>
    <mergeCell ref="B356:E356"/>
    <mergeCell ref="B304:E304"/>
    <mergeCell ref="B353:E353"/>
    <mergeCell ref="B355:E355"/>
    <mergeCell ref="B363:E363"/>
    <mergeCell ref="X289:AA289"/>
    <mergeCell ref="B331:E331"/>
    <mergeCell ref="B332:E332"/>
    <mergeCell ref="X329:AA329"/>
    <mergeCell ref="B324:E324"/>
    <mergeCell ref="B370:E370"/>
    <mergeCell ref="B369:E369"/>
    <mergeCell ref="B376:E376"/>
    <mergeCell ref="B306:E306"/>
    <mergeCell ref="B293:E293"/>
    <mergeCell ref="B345:E345"/>
    <mergeCell ref="G318:G319"/>
    <mergeCell ref="F318:F319"/>
    <mergeCell ref="X290:AA290"/>
    <mergeCell ref="B367:E367"/>
    <mergeCell ref="B278:E278"/>
    <mergeCell ref="B279:E279"/>
    <mergeCell ref="X279:AA279"/>
    <mergeCell ref="B361:E361"/>
    <mergeCell ref="B337:E337"/>
    <mergeCell ref="B347:E347"/>
    <mergeCell ref="B366:E366"/>
    <mergeCell ref="B362:E362"/>
    <mergeCell ref="B352:E352"/>
    <mergeCell ref="B336:E336"/>
    <mergeCell ref="B285:E285"/>
    <mergeCell ref="B326:E326"/>
    <mergeCell ref="B323:E323"/>
    <mergeCell ref="B348:E348"/>
    <mergeCell ref="B321:E321"/>
    <mergeCell ref="B302:E302"/>
    <mergeCell ref="B312:E312"/>
    <mergeCell ref="B296:E296"/>
    <mergeCell ref="Q329:W329"/>
    <mergeCell ref="B287:E287"/>
    <mergeCell ref="B299:E299"/>
    <mergeCell ref="X353:AA353"/>
    <mergeCell ref="B334:E334"/>
    <mergeCell ref="B307:E307"/>
    <mergeCell ref="X285:AA285"/>
    <mergeCell ref="X288:AA288"/>
    <mergeCell ref="B286:E286"/>
    <mergeCell ref="B289:E289"/>
    <mergeCell ref="B320:E320"/>
    <mergeCell ref="B328:E328"/>
    <mergeCell ref="B309:E309"/>
    <mergeCell ref="B310:E310"/>
    <mergeCell ref="B329:E329"/>
    <mergeCell ref="B291:E291"/>
    <mergeCell ref="B351:E351"/>
    <mergeCell ref="B358:E358"/>
    <mergeCell ref="B313:E313"/>
    <mergeCell ref="B322:E322"/>
    <mergeCell ref="X357:AA357"/>
    <mergeCell ref="B297:E297"/>
    <mergeCell ref="C318:E319"/>
    <mergeCell ref="B292:E292"/>
    <mergeCell ref="B357:E357"/>
    <mergeCell ref="X352:AA352"/>
    <mergeCell ref="X355:AA355"/>
    <mergeCell ref="X356:AA356"/>
    <mergeCell ref="X286:AA286"/>
    <mergeCell ref="B342:E342"/>
    <mergeCell ref="B416:E416"/>
    <mergeCell ref="X426:AA426"/>
    <mergeCell ref="X417:AA417"/>
    <mergeCell ref="B378:E378"/>
    <mergeCell ref="B343:E343"/>
    <mergeCell ref="B338:E338"/>
    <mergeCell ref="B350:E350"/>
    <mergeCell ref="B341:E341"/>
    <mergeCell ref="B364:E364"/>
    <mergeCell ref="B308:E308"/>
    <mergeCell ref="B360:E360"/>
    <mergeCell ref="B346:E346"/>
    <mergeCell ref="B330:E330"/>
    <mergeCell ref="B333:E333"/>
    <mergeCell ref="B311:E311"/>
    <mergeCell ref="B303:E303"/>
    <mergeCell ref="B349:E349"/>
    <mergeCell ref="X354:AA354"/>
    <mergeCell ref="X328:AA328"/>
    <mergeCell ref="B379:E379"/>
    <mergeCell ref="B398:B399"/>
    <mergeCell ref="B394:E394"/>
    <mergeCell ref="B385:E385"/>
    <mergeCell ref="B383:E383"/>
    <mergeCell ref="B407:E407"/>
    <mergeCell ref="B382:E382"/>
    <mergeCell ref="B384:E384"/>
    <mergeCell ref="B402:E402"/>
    <mergeCell ref="B413:E413"/>
    <mergeCell ref="B381:E381"/>
    <mergeCell ref="B375:E375"/>
    <mergeCell ref="B403:E403"/>
    <mergeCell ref="X411:AA411"/>
    <mergeCell ref="G398:G399"/>
    <mergeCell ref="B404:E404"/>
    <mergeCell ref="X402:AA402"/>
    <mergeCell ref="X398:AA399"/>
    <mergeCell ref="X383:AA383"/>
    <mergeCell ref="B400:E400"/>
    <mergeCell ref="X400:AA400"/>
    <mergeCell ref="X381:AA381"/>
    <mergeCell ref="B401:E401"/>
    <mergeCell ref="B377:E377"/>
    <mergeCell ref="B393:E393"/>
    <mergeCell ref="B412:E412"/>
    <mergeCell ref="F398:F399"/>
    <mergeCell ref="X408:AA408"/>
    <mergeCell ref="X401:AA401"/>
    <mergeCell ref="X406:AA406"/>
    <mergeCell ref="B406:E406"/>
    <mergeCell ref="X380:AA380"/>
    <mergeCell ref="X382:AA382"/>
    <mergeCell ref="X451:AA451"/>
    <mergeCell ref="X479:AA480"/>
    <mergeCell ref="B374:E374"/>
    <mergeCell ref="B344:E344"/>
    <mergeCell ref="B325:E325"/>
    <mergeCell ref="B327:E327"/>
    <mergeCell ref="B380:E380"/>
    <mergeCell ref="B433:E433"/>
    <mergeCell ref="X407:AA407"/>
    <mergeCell ref="C398:E399"/>
    <mergeCell ref="X435:AA435"/>
    <mergeCell ref="X409:AA409"/>
    <mergeCell ref="B460:E460"/>
    <mergeCell ref="B449:E449"/>
    <mergeCell ref="H398:W398"/>
    <mergeCell ref="B389:E389"/>
    <mergeCell ref="B436:E436"/>
    <mergeCell ref="B359:E359"/>
    <mergeCell ref="B390:E390"/>
    <mergeCell ref="B391:E391"/>
    <mergeCell ref="B365:E365"/>
    <mergeCell ref="B409:E409"/>
    <mergeCell ref="I428:M433"/>
    <mergeCell ref="B372:E372"/>
    <mergeCell ref="X379:AA379"/>
    <mergeCell ref="X377:AA377"/>
    <mergeCell ref="X446:AA446"/>
    <mergeCell ref="X436:AA436"/>
    <mergeCell ref="B423:E423"/>
    <mergeCell ref="X448:AA448"/>
    <mergeCell ref="X439:AA439"/>
    <mergeCell ref="B419:E419"/>
    <mergeCell ref="X419:AA419"/>
    <mergeCell ref="B418:E418"/>
    <mergeCell ref="X418:AA418"/>
    <mergeCell ref="X437:AA437"/>
    <mergeCell ref="B437:E437"/>
    <mergeCell ref="B410:E410"/>
    <mergeCell ref="B438:E438"/>
    <mergeCell ref="X447:AA447"/>
    <mergeCell ref="B420:E420"/>
    <mergeCell ref="X427:AA427"/>
    <mergeCell ref="B427:E427"/>
    <mergeCell ref="B417:E417"/>
    <mergeCell ref="B429:E429"/>
    <mergeCell ref="B431:E431"/>
    <mergeCell ref="X416:AA416"/>
    <mergeCell ref="X420:AA420"/>
    <mergeCell ref="X412:AA412"/>
    <mergeCell ref="X410:AA410"/>
    <mergeCell ref="X421:AA421"/>
    <mergeCell ref="B422:E422"/>
    <mergeCell ref="X422:AA422"/>
    <mergeCell ref="I423:M425"/>
    <mergeCell ref="B428:E428"/>
    <mergeCell ref="B411:E411"/>
    <mergeCell ref="B415:E415"/>
    <mergeCell ref="X415:AA415"/>
    <mergeCell ref="B424:E424"/>
    <mergeCell ref="B430:E430"/>
    <mergeCell ref="B432:E432"/>
    <mergeCell ref="B442:E442"/>
    <mergeCell ref="X459:AA459"/>
    <mergeCell ref="X457:AA457"/>
    <mergeCell ref="B499:E499"/>
    <mergeCell ref="B426:E426"/>
    <mergeCell ref="X460:AA460"/>
    <mergeCell ref="B455:E455"/>
    <mergeCell ref="B441:E441"/>
    <mergeCell ref="B446:E446"/>
    <mergeCell ref="C479:E480"/>
    <mergeCell ref="B490:E490"/>
    <mergeCell ref="B450:E450"/>
    <mergeCell ref="B457:E457"/>
    <mergeCell ref="B456:E456"/>
    <mergeCell ref="B434:E434"/>
    <mergeCell ref="B459:E459"/>
    <mergeCell ref="X450:AA450"/>
    <mergeCell ref="X449:AA449"/>
    <mergeCell ref="B489:E489"/>
    <mergeCell ref="B439:E439"/>
    <mergeCell ref="B491:E491"/>
    <mergeCell ref="X438:AA438"/>
    <mergeCell ref="B453:E453"/>
    <mergeCell ref="X434:AA434"/>
    <mergeCell ref="B443:E443"/>
    <mergeCell ref="B458:E458"/>
    <mergeCell ref="B445:E445"/>
    <mergeCell ref="B492:E492"/>
    <mergeCell ref="B495:E495"/>
    <mergeCell ref="B481:E481"/>
    <mergeCell ref="X458:AA458"/>
    <mergeCell ref="F479:F480"/>
    <mergeCell ref="B452:E452"/>
    <mergeCell ref="B527:E527"/>
    <mergeCell ref="B525:E525"/>
    <mergeCell ref="B524:E524"/>
    <mergeCell ref="B547:E547"/>
    <mergeCell ref="B503:E503"/>
    <mergeCell ref="B440:E440"/>
    <mergeCell ref="B435:E435"/>
    <mergeCell ref="B493:E493"/>
    <mergeCell ref="B522:E522"/>
    <mergeCell ref="B515:W515"/>
    <mergeCell ref="B497:E497"/>
    <mergeCell ref="H561:W561"/>
    <mergeCell ref="B451:E451"/>
    <mergeCell ref="B538:E538"/>
    <mergeCell ref="B535:E535"/>
    <mergeCell ref="B528:E528"/>
    <mergeCell ref="B532:E532"/>
    <mergeCell ref="B484:E484"/>
    <mergeCell ref="B555:E555"/>
    <mergeCell ref="B541:E541"/>
    <mergeCell ref="B544:E544"/>
    <mergeCell ref="B552:E552"/>
    <mergeCell ref="B530:E530"/>
    <mergeCell ref="B531:E531"/>
    <mergeCell ref="B529:E529"/>
    <mergeCell ref="B533:E533"/>
    <mergeCell ref="B500:E500"/>
    <mergeCell ref="B501:E501"/>
    <mergeCell ref="B447:E447"/>
    <mergeCell ref="B502:E502"/>
    <mergeCell ref="B454:E454"/>
    <mergeCell ref="B549:E549"/>
    <mergeCell ref="X516:AA517"/>
    <mergeCell ref="B553:E553"/>
    <mergeCell ref="H516:W516"/>
    <mergeCell ref="B523:E523"/>
    <mergeCell ref="B521:E521"/>
    <mergeCell ref="AF478:AH478"/>
    <mergeCell ref="AB479:AB480"/>
    <mergeCell ref="AF479:AH479"/>
    <mergeCell ref="H479:W479"/>
    <mergeCell ref="AF590:AH590"/>
    <mergeCell ref="X590:AA591"/>
    <mergeCell ref="B486:E486"/>
    <mergeCell ref="B488:E488"/>
    <mergeCell ref="G479:G480"/>
    <mergeCell ref="B513:E513"/>
    <mergeCell ref="B512:E512"/>
    <mergeCell ref="B520:E520"/>
    <mergeCell ref="C516:E517"/>
    <mergeCell ref="B509:E509"/>
    <mergeCell ref="B510:E510"/>
    <mergeCell ref="B504:E504"/>
    <mergeCell ref="B487:E487"/>
    <mergeCell ref="X561:AA562"/>
    <mergeCell ref="B561:B562"/>
    <mergeCell ref="F561:F562"/>
    <mergeCell ref="G561:G562"/>
    <mergeCell ref="B566:E566"/>
    <mergeCell ref="B580:E580"/>
    <mergeCell ref="B550:E550"/>
    <mergeCell ref="AF561:AH561"/>
    <mergeCell ref="B560:W560"/>
    <mergeCell ref="B548:E548"/>
    <mergeCell ref="AF640:AH640"/>
    <mergeCell ref="X617:AA617"/>
    <mergeCell ref="B554:E554"/>
    <mergeCell ref="AF560:AH560"/>
    <mergeCell ref="B537:E537"/>
    <mergeCell ref="B577:E577"/>
    <mergeCell ref="AF667:AH667"/>
    <mergeCell ref="AF515:AH515"/>
    <mergeCell ref="B516:B517"/>
    <mergeCell ref="B647:G648"/>
    <mergeCell ref="B663:W665"/>
    <mergeCell ref="T647:T648"/>
    <mergeCell ref="B572:E572"/>
    <mergeCell ref="AB516:AB517"/>
    <mergeCell ref="AF516:AH516"/>
    <mergeCell ref="B540:E540"/>
    <mergeCell ref="B518:E518"/>
    <mergeCell ref="B545:E545"/>
    <mergeCell ref="B543:E543"/>
    <mergeCell ref="B546:E546"/>
    <mergeCell ref="B556:E556"/>
    <mergeCell ref="AB590:AB591"/>
    <mergeCell ref="B615:E615"/>
    <mergeCell ref="B616:E616"/>
    <mergeCell ref="H590:W590"/>
    <mergeCell ref="B599:E599"/>
    <mergeCell ref="B575:E575"/>
    <mergeCell ref="Q647:Q648"/>
    <mergeCell ref="AB561:AB562"/>
    <mergeCell ref="V647:V648"/>
    <mergeCell ref="B571:E571"/>
    <mergeCell ref="AF681:AH681"/>
    <mergeCell ref="O647:O648"/>
    <mergeCell ref="L647:L648"/>
    <mergeCell ref="P647:P648"/>
    <mergeCell ref="C667:I667"/>
    <mergeCell ref="C675:G675"/>
    <mergeCell ref="C676:G676"/>
    <mergeCell ref="M647:M648"/>
    <mergeCell ref="B635:E635"/>
    <mergeCell ref="B633:E633"/>
    <mergeCell ref="B646:W646"/>
    <mergeCell ref="B573:E573"/>
    <mergeCell ref="B621:E621"/>
    <mergeCell ref="B579:E579"/>
    <mergeCell ref="B584:E584"/>
    <mergeCell ref="B592:E592"/>
    <mergeCell ref="B589:W589"/>
    <mergeCell ref="B590:B591"/>
    <mergeCell ref="B598:E598"/>
    <mergeCell ref="B594:E594"/>
    <mergeCell ref="B576:E576"/>
    <mergeCell ref="B578:E578"/>
    <mergeCell ref="B586:E586"/>
    <mergeCell ref="B620:E620"/>
    <mergeCell ref="B649:G649"/>
    <mergeCell ref="C660:I661"/>
    <mergeCell ref="C668:I674"/>
    <mergeCell ref="C659:G659"/>
    <mergeCell ref="C658:G658"/>
    <mergeCell ref="C656:I656"/>
    <mergeCell ref="B654:J654"/>
    <mergeCell ref="B587:E587"/>
    <mergeCell ref="B542:E542"/>
    <mergeCell ref="B478:W478"/>
    <mergeCell ref="B511:E511"/>
    <mergeCell ref="B519:E519"/>
    <mergeCell ref="B526:E526"/>
    <mergeCell ref="B485:E485"/>
    <mergeCell ref="B498:E498"/>
    <mergeCell ref="B619:E619"/>
    <mergeCell ref="B640:W640"/>
    <mergeCell ref="R647:R648"/>
    <mergeCell ref="B444:E444"/>
    <mergeCell ref="B482:E482"/>
    <mergeCell ref="B483:E483"/>
    <mergeCell ref="B506:E506"/>
    <mergeCell ref="F516:F517"/>
    <mergeCell ref="B536:E536"/>
    <mergeCell ref="B600:E600"/>
    <mergeCell ref="B596:E596"/>
    <mergeCell ref="B597:E597"/>
    <mergeCell ref="B583:E583"/>
    <mergeCell ref="B563:E563"/>
    <mergeCell ref="F590:F591"/>
    <mergeCell ref="G516:G517"/>
    <mergeCell ref="J647:J648"/>
    <mergeCell ref="W647:W648"/>
    <mergeCell ref="B643:G643"/>
    <mergeCell ref="B624:E624"/>
    <mergeCell ref="B642:G642"/>
    <mergeCell ref="U647:U648"/>
    <mergeCell ref="B631:E631"/>
    <mergeCell ref="I647:I648"/>
    <mergeCell ref="B232:E232"/>
    <mergeCell ref="X224:AA224"/>
    <mergeCell ref="H200:M200"/>
    <mergeCell ref="X618:AA618"/>
    <mergeCell ref="B295:E295"/>
    <mergeCell ref="X238:AA239"/>
    <mergeCell ref="B301:E301"/>
    <mergeCell ref="X277:AA277"/>
    <mergeCell ref="F238:F239"/>
    <mergeCell ref="X280:AA280"/>
    <mergeCell ref="X295:AA295"/>
    <mergeCell ref="X614:AA614"/>
    <mergeCell ref="X293:AA293"/>
    <mergeCell ref="B290:E290"/>
    <mergeCell ref="X264:AA264"/>
    <mergeCell ref="B270:E270"/>
    <mergeCell ref="B314:E314"/>
    <mergeCell ref="B392:E392"/>
    <mergeCell ref="B425:E425"/>
    <mergeCell ref="B387:E387"/>
    <mergeCell ref="B386:E386"/>
    <mergeCell ref="B414:E414"/>
    <mergeCell ref="B421:E421"/>
    <mergeCell ref="B371:E371"/>
    <mergeCell ref="X283:AA283"/>
    <mergeCell ref="X278:AA278"/>
    <mergeCell ref="B273:E273"/>
    <mergeCell ref="B265:E265"/>
    <mergeCell ref="B250:E250"/>
    <mergeCell ref="X250:AA250"/>
    <mergeCell ref="B564:E564"/>
    <mergeCell ref="B479:B480"/>
    <mergeCell ref="X604:AA604"/>
    <mergeCell ref="X260:AA260"/>
    <mergeCell ref="X261:AA261"/>
    <mergeCell ref="X613:AA613"/>
    <mergeCell ref="B244:E244"/>
    <mergeCell ref="B254:E254"/>
    <mergeCell ref="B267:E267"/>
    <mergeCell ref="B266:E266"/>
    <mergeCell ref="X243:AA243"/>
    <mergeCell ref="B261:E261"/>
    <mergeCell ref="B606:E606"/>
    <mergeCell ref="B614:E614"/>
    <mergeCell ref="B608:E608"/>
    <mergeCell ref="B609:E609"/>
    <mergeCell ref="X252:AA252"/>
    <mergeCell ref="B281:E281"/>
    <mergeCell ref="B284:E284"/>
    <mergeCell ref="X275:AA275"/>
    <mergeCell ref="X256:AA256"/>
    <mergeCell ref="B274:E274"/>
    <mergeCell ref="X276:AA276"/>
    <mergeCell ref="X274:AA274"/>
    <mergeCell ref="X612:AA612"/>
    <mergeCell ref="B272:E272"/>
    <mergeCell ref="X255:AA255"/>
    <mergeCell ref="X265:AA265"/>
    <mergeCell ref="B276:E276"/>
    <mergeCell ref="B277:E277"/>
    <mergeCell ref="B256:E256"/>
    <mergeCell ref="B271:E271"/>
    <mergeCell ref="B280:E280"/>
    <mergeCell ref="X281:AA281"/>
    <mergeCell ref="X282:AA282"/>
    <mergeCell ref="X603:AA603"/>
    <mergeCell ref="X601:AA601"/>
    <mergeCell ref="B283:E283"/>
    <mergeCell ref="B259:E259"/>
    <mergeCell ref="X273:AA273"/>
    <mergeCell ref="X263:AA263"/>
    <mergeCell ref="X262:AA262"/>
    <mergeCell ref="B282:E282"/>
    <mergeCell ref="B275:E275"/>
    <mergeCell ref="B603:E603"/>
    <mergeCell ref="B611:E611"/>
    <mergeCell ref="B269:E269"/>
    <mergeCell ref="B264:E264"/>
    <mergeCell ref="B260:E260"/>
    <mergeCell ref="B605:E605"/>
    <mergeCell ref="C238:E239"/>
    <mergeCell ref="X242:AA242"/>
    <mergeCell ref="X244:AA244"/>
    <mergeCell ref="X257:AA257"/>
    <mergeCell ref="X249:AA249"/>
    <mergeCell ref="B241:E241"/>
    <mergeCell ref="B534:E534"/>
    <mergeCell ref="B405:E405"/>
    <mergeCell ref="B408:E408"/>
    <mergeCell ref="B339:E339"/>
    <mergeCell ref="B300:E300"/>
    <mergeCell ref="B263:E263"/>
    <mergeCell ref="B288:E288"/>
    <mergeCell ref="X247:AA247"/>
    <mergeCell ref="X294:AA294"/>
    <mergeCell ref="H260:M265"/>
    <mergeCell ref="B150:E150"/>
    <mergeCell ref="G158:G159"/>
    <mergeCell ref="X161:AA161"/>
    <mergeCell ref="X146:AA146"/>
    <mergeCell ref="G238:G239"/>
    <mergeCell ref="X162:AA162"/>
    <mergeCell ref="B230:E230"/>
    <mergeCell ref="X140:AA140"/>
    <mergeCell ref="F237:J237"/>
    <mergeCell ref="X141:AA141"/>
    <mergeCell ref="B206:E206"/>
    <mergeCell ref="B169:E169"/>
    <mergeCell ref="X182:AA182"/>
    <mergeCell ref="Q214:W214"/>
    <mergeCell ref="B193:E193"/>
    <mergeCell ref="B177:E177"/>
    <mergeCell ref="X171:AA171"/>
    <mergeCell ref="X168:AA168"/>
    <mergeCell ref="B149:E149"/>
    <mergeCell ref="X225:AA225"/>
    <mergeCell ref="B198:E198"/>
    <mergeCell ref="B175:E175"/>
    <mergeCell ref="B219:E219"/>
    <mergeCell ref="X234:AA234"/>
    <mergeCell ref="X226:AA226"/>
    <mergeCell ref="B204:E204"/>
    <mergeCell ref="X164:AA164"/>
    <mergeCell ref="X154:AA154"/>
    <mergeCell ref="X163:AA163"/>
    <mergeCell ref="X158:AA159"/>
    <mergeCell ref="B197:E197"/>
    <mergeCell ref="B181:E181"/>
    <mergeCell ref="X248:AA248"/>
    <mergeCell ref="B192:E192"/>
    <mergeCell ref="B166:E166"/>
    <mergeCell ref="B194:E194"/>
    <mergeCell ref="B224:E224"/>
    <mergeCell ref="B123:E123"/>
    <mergeCell ref="B84:E84"/>
    <mergeCell ref="B112:E112"/>
    <mergeCell ref="B138:E138"/>
    <mergeCell ref="X178:AA178"/>
    <mergeCell ref="X179:AA179"/>
    <mergeCell ref="B233:E233"/>
    <mergeCell ref="B217:E217"/>
    <mergeCell ref="B213:E213"/>
    <mergeCell ref="B228:E228"/>
    <mergeCell ref="B187:E187"/>
    <mergeCell ref="B220:E220"/>
    <mergeCell ref="B190:E190"/>
    <mergeCell ref="B218:E218"/>
    <mergeCell ref="B202:E202"/>
    <mergeCell ref="B211:E211"/>
    <mergeCell ref="B174:E174"/>
    <mergeCell ref="B180:E180"/>
    <mergeCell ref="B164:E164"/>
    <mergeCell ref="B163:E163"/>
    <mergeCell ref="X233:AA233"/>
    <mergeCell ref="B170:E170"/>
    <mergeCell ref="B203:E203"/>
    <mergeCell ref="C158:E159"/>
    <mergeCell ref="H158:W158"/>
    <mergeCell ref="B167:E167"/>
    <mergeCell ref="B185:E185"/>
    <mergeCell ref="B176:E176"/>
    <mergeCell ref="B22:E22"/>
    <mergeCell ref="AF28:AJ28"/>
    <mergeCell ref="X40:AA40"/>
    <mergeCell ref="X33:AA33"/>
    <mergeCell ref="X35:AA35"/>
    <mergeCell ref="X36:AA36"/>
    <mergeCell ref="X31:AA31"/>
    <mergeCell ref="AF26:AJ26"/>
    <mergeCell ref="AF25:AI25"/>
    <mergeCell ref="AF22:AI22"/>
    <mergeCell ref="B38:E38"/>
    <mergeCell ref="B27:E27"/>
    <mergeCell ref="B37:E37"/>
    <mergeCell ref="B40:E40"/>
    <mergeCell ref="B45:E45"/>
    <mergeCell ref="H45:K45"/>
    <mergeCell ref="X45:AA45"/>
    <mergeCell ref="X32:AA32"/>
    <mergeCell ref="H44:K44"/>
    <mergeCell ref="H40:K40"/>
    <mergeCell ref="X166:AA166"/>
    <mergeCell ref="B55:E55"/>
    <mergeCell ref="B144:E144"/>
    <mergeCell ref="X70:AA70"/>
    <mergeCell ref="B161:E161"/>
    <mergeCell ref="X129:AA129"/>
    <mergeCell ref="B28:E28"/>
    <mergeCell ref="B82:E82"/>
    <mergeCell ref="H41:K41"/>
    <mergeCell ref="X34:AA34"/>
    <mergeCell ref="B56:E56"/>
    <mergeCell ref="AF17:AJ17"/>
    <mergeCell ref="B18:E18"/>
    <mergeCell ref="H30:K30"/>
    <mergeCell ref="H33:K33"/>
    <mergeCell ref="X19:AA19"/>
    <mergeCell ref="B19:E19"/>
    <mergeCell ref="AF15:AI15"/>
    <mergeCell ref="AF18:AI18"/>
    <mergeCell ref="AF19:AJ19"/>
    <mergeCell ref="B14:E14"/>
    <mergeCell ref="B707:W707"/>
    <mergeCell ref="B695:W695"/>
    <mergeCell ref="B680:W680"/>
    <mergeCell ref="B678:W678"/>
    <mergeCell ref="B698:W705"/>
    <mergeCell ref="B681:W681"/>
    <mergeCell ref="B694:W694"/>
    <mergeCell ref="B692:W692"/>
    <mergeCell ref="B696:W696"/>
    <mergeCell ref="B685:W688"/>
    <mergeCell ref="B690:W691"/>
    <mergeCell ref="B684:W684"/>
    <mergeCell ref="B682:W682"/>
    <mergeCell ref="S647:S648"/>
    <mergeCell ref="C657:G657"/>
    <mergeCell ref="B622:E622"/>
    <mergeCell ref="B627:E627"/>
    <mergeCell ref="N647:N648"/>
    <mergeCell ref="H647:H648"/>
    <mergeCell ref="B634:E634"/>
    <mergeCell ref="B623:E623"/>
    <mergeCell ref="X160:AA160"/>
    <mergeCell ref="A642:A652"/>
    <mergeCell ref="B650:G650"/>
    <mergeCell ref="B628:E628"/>
    <mergeCell ref="B651:G651"/>
    <mergeCell ref="B629:E629"/>
    <mergeCell ref="B632:E632"/>
    <mergeCell ref="B652:G652"/>
    <mergeCell ref="B641:G641"/>
    <mergeCell ref="B140:E140"/>
    <mergeCell ref="B143:E143"/>
    <mergeCell ref="X143:AA143"/>
    <mergeCell ref="F158:F159"/>
    <mergeCell ref="B158:B159"/>
    <mergeCell ref="B162:E162"/>
    <mergeCell ref="B165:E165"/>
    <mergeCell ref="B147:E147"/>
    <mergeCell ref="X240:AA240"/>
    <mergeCell ref="B208:E208"/>
    <mergeCell ref="B205:E205"/>
    <mergeCell ref="B179:E179"/>
    <mergeCell ref="X241:AA241"/>
    <mergeCell ref="X181:AA181"/>
    <mergeCell ref="B183:E183"/>
    <mergeCell ref="B173:E173"/>
    <mergeCell ref="B215:E215"/>
    <mergeCell ref="B168:E168"/>
    <mergeCell ref="X230:AA230"/>
    <mergeCell ref="B171:E171"/>
    <mergeCell ref="X177:AA177"/>
    <mergeCell ref="X169:AA169"/>
    <mergeCell ref="B630:E630"/>
    <mergeCell ref="X180:AA180"/>
    <mergeCell ref="B644:G644"/>
    <mergeCell ref="C590:E591"/>
    <mergeCell ref="B618:E618"/>
    <mergeCell ref="B551:E551"/>
    <mergeCell ref="C561:E562"/>
    <mergeCell ref="B574:E574"/>
    <mergeCell ref="B585:E585"/>
    <mergeCell ref="B582:E582"/>
    <mergeCell ref="B593:E593"/>
    <mergeCell ref="B595:E595"/>
    <mergeCell ref="B617:E617"/>
    <mergeCell ref="G590:G591"/>
    <mergeCell ref="B565:E565"/>
    <mergeCell ref="B567:E567"/>
    <mergeCell ref="B570:E570"/>
    <mergeCell ref="B581:E581"/>
    <mergeCell ref="B607:E607"/>
    <mergeCell ref="B569:E569"/>
    <mergeCell ref="B625:E625"/>
    <mergeCell ref="B645:G645"/>
    <mergeCell ref="K647:K648"/>
    <mergeCell ref="B568:E568"/>
    <mergeCell ref="B209:E209"/>
    <mergeCell ref="B248:E248"/>
    <mergeCell ref="B601:E601"/>
    <mergeCell ref="B216:E216"/>
    <mergeCell ref="B226:E226"/>
    <mergeCell ref="B234:E234"/>
    <mergeCell ref="B257:E257"/>
    <mergeCell ref="B604:E604"/>
    <mergeCell ref="B249:E249"/>
    <mergeCell ref="B252:E252"/>
    <mergeCell ref="B507:E507"/>
    <mergeCell ref="B505:E505"/>
    <mergeCell ref="B508:E508"/>
    <mergeCell ref="B496:E496"/>
    <mergeCell ref="B494:E494"/>
    <mergeCell ref="B222:E222"/>
    <mergeCell ref="B305:E305"/>
    <mergeCell ref="B221:E221"/>
    <mergeCell ref="B238:B239"/>
    <mergeCell ref="B253:E253"/>
    <mergeCell ref="B251:E251"/>
    <mergeCell ref="B247:E247"/>
    <mergeCell ref="B229:E229"/>
    <mergeCell ref="B243:E243"/>
    <mergeCell ref="B223:E223"/>
    <mergeCell ref="B225:E225"/>
    <mergeCell ref="B340:E340"/>
    <mergeCell ref="B227:E227"/>
    <mergeCell ref="B448:E448"/>
    <mergeCell ref="X229:AA229"/>
    <mergeCell ref="B246:E246"/>
    <mergeCell ref="X176:AA176"/>
    <mergeCell ref="X246:AA246"/>
    <mergeCell ref="X170:AA170"/>
    <mergeCell ref="B212:E212"/>
    <mergeCell ref="X165:AA165"/>
    <mergeCell ref="B255:E255"/>
    <mergeCell ref="B613:E613"/>
    <mergeCell ref="B188:E188"/>
    <mergeCell ref="B172:E172"/>
    <mergeCell ref="I172:M175"/>
    <mergeCell ref="B196:E196"/>
    <mergeCell ref="H177:K182"/>
    <mergeCell ref="B182:E182"/>
    <mergeCell ref="B200:E200"/>
    <mergeCell ref="B214:E214"/>
    <mergeCell ref="X222:AA222"/>
    <mergeCell ref="B210:E210"/>
    <mergeCell ref="B186:E186"/>
    <mergeCell ref="B191:E191"/>
    <mergeCell ref="B199:E199"/>
    <mergeCell ref="B189:E189"/>
    <mergeCell ref="H238:W238"/>
    <mergeCell ref="B245:E245"/>
    <mergeCell ref="X245:AA245"/>
    <mergeCell ref="B240:E240"/>
    <mergeCell ref="Q205:W205"/>
    <mergeCell ref="X232:AA232"/>
    <mergeCell ref="X606:AA606"/>
    <mergeCell ref="B195:E195"/>
    <mergeCell ref="B207:E207"/>
    <mergeCell ref="I69:M69"/>
    <mergeCell ref="B133:E133"/>
    <mergeCell ref="B107:E107"/>
    <mergeCell ref="B93:E93"/>
    <mergeCell ref="G121:K121"/>
    <mergeCell ref="B101:E101"/>
    <mergeCell ref="I70:M70"/>
    <mergeCell ref="B69:E69"/>
    <mergeCell ref="B67:E67"/>
    <mergeCell ref="B64:E64"/>
    <mergeCell ref="B60:E60"/>
    <mergeCell ref="G114:K114"/>
    <mergeCell ref="X112:AA112"/>
    <mergeCell ref="B89:E89"/>
    <mergeCell ref="X114:AA114"/>
    <mergeCell ref="B113:E113"/>
    <mergeCell ref="B62:E62"/>
    <mergeCell ref="X111:AA111"/>
    <mergeCell ref="X130:AA130"/>
    <mergeCell ref="X72:AA72"/>
    <mergeCell ref="X127:AA127"/>
    <mergeCell ref="G105:O105"/>
    <mergeCell ref="X128:AA128"/>
    <mergeCell ref="X121:AA121"/>
    <mergeCell ref="X134:AA134"/>
    <mergeCell ref="X144:AA144"/>
    <mergeCell ref="X126:AA126"/>
    <mergeCell ref="B116:E116"/>
    <mergeCell ref="G116:K116"/>
    <mergeCell ref="H78:W78"/>
    <mergeCell ref="B124:E124"/>
    <mergeCell ref="B24:E24"/>
    <mergeCell ref="G8:G9"/>
    <mergeCell ref="B52:E52"/>
    <mergeCell ref="B58:E58"/>
    <mergeCell ref="B126:E126"/>
    <mergeCell ref="B121:E12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66:E66"/>
    <mergeCell ref="G108:M108"/>
    <mergeCell ref="B110:E110"/>
    <mergeCell ref="B108:E108"/>
    <mergeCell ref="G106:O106"/>
    <mergeCell ref="B115:E115"/>
    <mergeCell ref="B114:E114"/>
    <mergeCell ref="C8:E9"/>
    <mergeCell ref="B12:E12"/>
    <mergeCell ref="B31:E31"/>
    <mergeCell ref="B119:E119"/>
    <mergeCell ref="I111:W112"/>
    <mergeCell ref="B242:E242"/>
    <mergeCell ref="B201:E201"/>
    <mergeCell ref="B178:E178"/>
    <mergeCell ref="X223:AA223"/>
    <mergeCell ref="G188:S193"/>
    <mergeCell ref="X228:AA228"/>
    <mergeCell ref="B152:E152"/>
    <mergeCell ref="X153:AA153"/>
    <mergeCell ref="B153:E153"/>
    <mergeCell ref="B146:E146"/>
    <mergeCell ref="B128:E128"/>
    <mergeCell ref="B118:E118"/>
    <mergeCell ref="AF23:AI23"/>
    <mergeCell ref="H29:K29"/>
    <mergeCell ref="B42:E42"/>
    <mergeCell ref="X41:AA41"/>
    <mergeCell ref="I71:M71"/>
    <mergeCell ref="X47:AA47"/>
    <mergeCell ref="B53:E53"/>
    <mergeCell ref="B74:E74"/>
    <mergeCell ref="X71:AA71"/>
    <mergeCell ref="B105:E105"/>
    <mergeCell ref="B88:E88"/>
    <mergeCell ref="H38:K38"/>
    <mergeCell ref="B33:E33"/>
    <mergeCell ref="X39:AA39"/>
    <mergeCell ref="B47:E47"/>
    <mergeCell ref="B61:E61"/>
    <mergeCell ref="B54:E54"/>
    <mergeCell ref="AF27:AJ27"/>
    <mergeCell ref="B34:E34"/>
    <mergeCell ref="B148:E148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B51:E51"/>
    <mergeCell ref="H42:K42"/>
    <mergeCell ref="F49:I52"/>
    <mergeCell ref="X42:AA42"/>
    <mergeCell ref="X37:AA37"/>
    <mergeCell ref="X15:AA15"/>
    <mergeCell ref="Q15:W15"/>
    <mergeCell ref="X14:AA14"/>
    <mergeCell ref="X24:AA24"/>
    <mergeCell ref="B43:E43"/>
    <mergeCell ref="H43:K43"/>
    <mergeCell ref="X43:AA43"/>
    <mergeCell ref="E3:W3"/>
    <mergeCell ref="E4:W4"/>
    <mergeCell ref="Q16:W16"/>
    <mergeCell ref="H31:K31"/>
    <mergeCell ref="AB158:AB159"/>
    <mergeCell ref="B92:E92"/>
    <mergeCell ref="B141:E141"/>
    <mergeCell ref="B21:E21"/>
    <mergeCell ref="B7:W7"/>
    <mergeCell ref="AE5:AI7"/>
    <mergeCell ref="AF13:AH13"/>
    <mergeCell ref="AC8:AI9"/>
    <mergeCell ref="B23:E23"/>
    <mergeCell ref="B20:E20"/>
    <mergeCell ref="AF21:AI21"/>
    <mergeCell ref="AF20:AI20"/>
    <mergeCell ref="AF24:AJ24"/>
    <mergeCell ref="B26:E26"/>
    <mergeCell ref="B25:E25"/>
    <mergeCell ref="AF29:AJ29"/>
    <mergeCell ref="B44:E44"/>
    <mergeCell ref="H39:K39"/>
    <mergeCell ref="B3:D5"/>
    <mergeCell ref="E5:W5"/>
    <mergeCell ref="B39:E39"/>
    <mergeCell ref="B6:W6"/>
    <mergeCell ref="X5:AD7"/>
    <mergeCell ref="X120:AA120"/>
    <mergeCell ref="G120:K120"/>
    <mergeCell ref="B130:E130"/>
    <mergeCell ref="X131:AA131"/>
    <mergeCell ref="H48:K48"/>
    <mergeCell ref="X38:AA38"/>
    <mergeCell ref="B41:E41"/>
    <mergeCell ref="AB8:AB9"/>
    <mergeCell ref="AF158:AH158"/>
    <mergeCell ref="AF78:AH78"/>
    <mergeCell ref="B2:W2"/>
    <mergeCell ref="B17:E17"/>
    <mergeCell ref="AC137:AF137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3:AA113"/>
    <mergeCell ref="B98:E98"/>
    <mergeCell ref="B100:E100"/>
    <mergeCell ref="X107:AA107"/>
    <mergeCell ref="B104:E104"/>
    <mergeCell ref="X18:AA18"/>
    <mergeCell ref="X17:AA17"/>
    <mergeCell ref="B48:E48"/>
    <mergeCell ref="X48:AA48"/>
    <mergeCell ref="B91:E91"/>
    <mergeCell ref="X125:AA125"/>
    <mergeCell ref="X69:AA69"/>
    <mergeCell ref="AB78:AB79"/>
    <mergeCell ref="G119:K119"/>
    <mergeCell ref="B122:E122"/>
    <mergeCell ref="G122:K122"/>
    <mergeCell ref="X122:AA122"/>
    <mergeCell ref="I72:K72"/>
    <mergeCell ref="X74:AA74"/>
    <mergeCell ref="X82:Z82"/>
    <mergeCell ref="G117:K117"/>
    <mergeCell ref="X117:AA117"/>
    <mergeCell ref="B83:E83"/>
    <mergeCell ref="B80:E80"/>
    <mergeCell ref="B85:E85"/>
    <mergeCell ref="H109:M110"/>
    <mergeCell ref="X108:AA108"/>
    <mergeCell ref="X119:AA119"/>
    <mergeCell ref="X46:AA46"/>
    <mergeCell ref="B65:E65"/>
    <mergeCell ref="B120:E120"/>
    <mergeCell ref="B106:E106"/>
    <mergeCell ref="B57:E57"/>
    <mergeCell ref="C78:E79"/>
    <mergeCell ref="B73:E73"/>
    <mergeCell ref="B81:E81"/>
    <mergeCell ref="G118:K118"/>
    <mergeCell ref="B70:E70"/>
    <mergeCell ref="B109:E109"/>
    <mergeCell ref="X109:AA109"/>
    <mergeCell ref="B63:E63"/>
    <mergeCell ref="B68:E68"/>
    <mergeCell ref="B78:B79"/>
    <mergeCell ref="B71:E71"/>
    <mergeCell ref="X142:AA142"/>
    <mergeCell ref="B129:E129"/>
    <mergeCell ref="B131:E131"/>
    <mergeCell ref="G123:K123"/>
    <mergeCell ref="X87:Z87"/>
    <mergeCell ref="X106:AA106"/>
    <mergeCell ref="X118:AA118"/>
    <mergeCell ref="X116:AA116"/>
    <mergeCell ref="B72:E72"/>
    <mergeCell ref="B90:E90"/>
    <mergeCell ref="B96:E96"/>
    <mergeCell ref="B117:E117"/>
    <mergeCell ref="X78:AA79"/>
    <mergeCell ref="X123:AA123"/>
    <mergeCell ref="B142:E142"/>
    <mergeCell ref="B139:E139"/>
    <mergeCell ref="B134:E134"/>
    <mergeCell ref="B137:E137"/>
    <mergeCell ref="X138:AA138"/>
    <mergeCell ref="B539:E539"/>
    <mergeCell ref="X26:AA26"/>
    <mergeCell ref="B151:E151"/>
    <mergeCell ref="X110:AA110"/>
    <mergeCell ref="B87:E87"/>
    <mergeCell ref="B111:E111"/>
    <mergeCell ref="B160:E160"/>
    <mergeCell ref="B154:E154"/>
    <mergeCell ref="X86:Z86"/>
    <mergeCell ref="B102:E102"/>
    <mergeCell ref="B95:E95"/>
    <mergeCell ref="B86:E86"/>
    <mergeCell ref="B145:E145"/>
    <mergeCell ref="X105:AA105"/>
    <mergeCell ref="X83:Z83"/>
    <mergeCell ref="B97:E97"/>
    <mergeCell ref="B127:E127"/>
    <mergeCell ref="O94:W94"/>
    <mergeCell ref="B136:E136"/>
    <mergeCell ref="B99:E99"/>
    <mergeCell ref="X115:AA115"/>
    <mergeCell ref="B103:E103"/>
    <mergeCell ref="X124:AA124"/>
    <mergeCell ref="X145:AA145"/>
    <mergeCell ref="X135:AA135"/>
    <mergeCell ref="B132:E132"/>
    <mergeCell ref="B135:E135"/>
    <mergeCell ref="X136:AA136"/>
    <mergeCell ref="X137:AA137"/>
    <mergeCell ref="X133:AA133"/>
    <mergeCell ref="B125:E125"/>
    <mergeCell ref="X139:AA139"/>
    <mergeCell ref="B268:E268"/>
    <mergeCell ref="X227:AA227"/>
    <mergeCell ref="B231:E231"/>
    <mergeCell ref="X231:AA231"/>
    <mergeCell ref="X132:AA132"/>
    <mergeCell ref="AF398:AH398"/>
    <mergeCell ref="AB398:AB399"/>
    <mergeCell ref="AF318:AH318"/>
    <mergeCell ref="AF238:AH238"/>
    <mergeCell ref="AB318:AB319"/>
    <mergeCell ref="X318:AA319"/>
    <mergeCell ref="X284:AA284"/>
    <mergeCell ref="B612:E612"/>
    <mergeCell ref="B602:E602"/>
    <mergeCell ref="X611:AA611"/>
    <mergeCell ref="B610:E610"/>
    <mergeCell ref="X609:AA609"/>
    <mergeCell ref="X607:AA607"/>
    <mergeCell ref="AB238:AB239"/>
    <mergeCell ref="B262:E262"/>
    <mergeCell ref="B298:E298"/>
    <mergeCell ref="X323:AA323"/>
    <mergeCell ref="B318:B319"/>
    <mergeCell ref="X610:AA610"/>
    <mergeCell ref="X322:AA322"/>
    <mergeCell ref="X292:AA292"/>
    <mergeCell ref="B368:E368"/>
    <mergeCell ref="H318:W318"/>
    <mergeCell ref="B335:E335"/>
    <mergeCell ref="B354:E354"/>
    <mergeCell ref="B294:E294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298" r:id="rId62" display="https://www.jivi.com.ar/ficha.php?id=187"/>
    <hyperlink ref="AB300" r:id="rId63" display="https://www.jivi.com.ar/ficha.php?id=4"/>
    <hyperlink ref="AB311" r:id="rId64" display="https://www.jivi.com.ar/ficha.php?id=55"/>
    <hyperlink ref="AB314" r:id="rId65" display="https://www.jivi.com.ar/ficha.php?id=209"/>
    <hyperlink ref="AB320" r:id="rId66"/>
    <hyperlink ref="AB327" r:id="rId67" display="https://www.jivi.com.ar/ficha.php?id=60"/>
    <hyperlink ref="AB329" r:id="rId68" display="https://www.jivi.com.ar/ficha.php?id=380"/>
    <hyperlink ref="AB333" r:id="rId69" display="https://www.jivi.com.ar/ficha.php?id=548"/>
    <hyperlink ref="AB334" r:id="rId70"/>
    <hyperlink ref="AB336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5" r:id="rId76" display="https://www.jivi.com.ar/ficha.php?id=394"/>
    <hyperlink ref="AB136" r:id="rId77" display="https://www.jivi.com.ar/ficha.php?id=145"/>
    <hyperlink ref="AB139" r:id="rId78" display="https://www.jivi.com.ar/ficha.php?id=18"/>
    <hyperlink ref="AB143" r:id="rId79" display="https://www.jivi.com.ar/ficha.php?id=19"/>
    <hyperlink ref="AB147" r:id="rId80" display="https://www.jivi.com.ar/ficha.php?id=142"/>
    <hyperlink ref="AB148" r:id="rId81" display="https://www.jivi.com.ar/ficha.php?id=392"/>
    <hyperlink ref="AB149" r:id="rId82" display="https://www.jivi.com.ar/ficha.php?id=393"/>
    <hyperlink ref="AB172" r:id="rId83" display="https://www.jivi.com.ar/ficha.php?id=135"/>
    <hyperlink ref="AB173" r:id="rId84" display="https://www.jivi.com.ar/ficha.php?id=136"/>
    <hyperlink ref="AB174" r:id="rId85" display="https://www.jivi.com.ar/ficha.php?id=137"/>
    <hyperlink ref="AB175" r:id="rId86" display="https://www.jivi.com.ar/ficha.php?id=138"/>
    <hyperlink ref="AB183" r:id="rId87" display="https://www.jivi.com.ar/ficha.php?id=245"/>
    <hyperlink ref="AB200" r:id="rId88" display="https://www.jivi.com.ar/ficha.php?id=166"/>
    <hyperlink ref="AB201" r:id="rId89" display="https://www.jivi.com.ar/ficha.php?id=171"/>
    <hyperlink ref="AB205" r:id="rId90" display="https://www.jivi.com.ar/ficha.php?id=168"/>
    <hyperlink ref="AB211" r:id="rId91" display="https://www.jivi.com.ar/ficha.php?id=169"/>
    <hyperlink ref="AB213" r:id="rId92" display="https://www.jivi.com.ar/ficha.php?id=148"/>
    <hyperlink ref="AB214" r:id="rId93" display="https://www.jivi.com.ar/ficha.php?id=158"/>
    <hyperlink ref="AB609" r:id="rId94" display="https://www.jivi.com.ar/ficha.php?id=621"/>
    <hyperlink ref="AB610" r:id="rId95" display="https://www.jivi.com.ar/ficha.php?id=622"/>
    <hyperlink ref="AB94" r:id="rId96" display="https://www.jivi.com.ar/ficha.php?id=456"/>
    <hyperlink ref="AB259" r:id="rId97" display="https://www.jivi.com.ar/ficha.php?id=246"/>
    <hyperlink ref="AB410" r:id="rId98" display="https://www.jivi.com.ar/ficha.php?id=431"/>
    <hyperlink ref="AB414" r:id="rId99" display="https://www.jivi.com.ar/ficha.php?id=728"/>
    <hyperlink ref="AB428" r:id="rId100"/>
    <hyperlink ref="AB430" r:id="rId101"/>
    <hyperlink ref="AB440" r:id="rId102"/>
    <hyperlink ref="AB442" r:id="rId103"/>
    <hyperlink ref="AB444" r:id="rId104"/>
    <hyperlink ref="AB445" r:id="rId105"/>
    <hyperlink ref="AB446" r:id="rId106"/>
    <hyperlink ref="AB448" r:id="rId107"/>
    <hyperlink ref="AB449" r:id="rId108"/>
    <hyperlink ref="AB451" r:id="rId109"/>
    <hyperlink ref="AB454" r:id="rId110"/>
    <hyperlink ref="AB455" r:id="rId111"/>
    <hyperlink ref="AB456" r:id="rId112"/>
    <hyperlink ref="AB593" r:id="rId113"/>
    <hyperlink ref="AB597" r:id="rId114"/>
    <hyperlink ref="AB598" r:id="rId115"/>
    <hyperlink ref="AB96" r:id="rId116" display="https://www.jivi.com.ar/ficha.php?id=234"/>
    <hyperlink ref="AB305" r:id="rId117" display="https://www.jivi.com.ar/ficha.php?id=51"/>
    <hyperlink ref="AB321" r:id="rId118"/>
    <hyperlink ref="AB256" r:id="rId119" display="https://www.jivi.com.ar/ficha.php?id=783"/>
    <hyperlink ref="B7:V7" location="'Artículos Publicitarios'!A686" display="PARA IR A LOS RECARGOS POR IMPRESIONES ADICIONALES CLICK AQUÍ"/>
    <hyperlink ref="AB432" r:id="rId120"/>
    <hyperlink ref="AC51" r:id="rId121"/>
    <hyperlink ref="AD51" r:id="rId122"/>
    <hyperlink ref="AE51" r:id="rId123"/>
    <hyperlink ref="B7:W7" location="'Artículos Publicitarios'!A661" display="PARA IR A LOS RECARGOS POR IMPRESIONES ADICIONALES CLICK AQUÍ"/>
    <hyperlink ref="AB222" r:id="rId12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5" display="https://www.jivi.com.ar/ficha.php?id=846"/>
    <hyperlink ref="AB24" r:id="rId126" display="https://www.jivi.com.ar/ficha.php?id=848"/>
    <hyperlink ref="AB74" r:id="rId127"/>
    <hyperlink ref="AE2:AG2" location="'Artículos Publicitarios'!A707" display="CLICK AQUÍ"/>
    <hyperlink ref="B707:W707" location="'Artículos Publicitarios'!A3" display="PARA SUBIR AL PRINCIPIO DE LA LISTA CLICK AQUÍ"/>
    <hyperlink ref="AB253" r:id="rId128" display="https://www.jivi.com.ar/ficha.php?id=862"/>
    <hyperlink ref="AB42" r:id="rId129"/>
    <hyperlink ref="AB150" r:id="rId130" display="https://www.jivi.com.ar/ficha.php?id=882"/>
    <hyperlink ref="AB101" r:id="rId13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13" r:id="rId132" display="https://www.jivi.com.ar/ficha.php?id=903"/>
    <hyperlink ref="AB19" r:id="rId133"/>
    <hyperlink ref="AB310" r:id="rId134" display="https://www.jivi.com.ar/ficha.php?id=916"/>
    <hyperlink ref="AB606" r:id="rId135" display="https://www.jivi.com.ar/ficha.php?id=918"/>
    <hyperlink ref="AB301" r:id="rId136" display="https://www.jivi.com.ar/ficha.php?id=926"/>
    <hyperlink ref="AB65" r:id="rId137"/>
    <hyperlink ref="AB426" r:id="rId138"/>
    <hyperlink ref="AB176" r:id="rId139" display="https://www.jivi.com.ar/ficha.php?id=948"/>
    <hyperlink ref="AB312" r:id="rId140" display="https://www.jivi.com.ar/ficha.php?id=954"/>
    <hyperlink ref="AB130" r:id="rId141"/>
    <hyperlink ref="AB132" r:id="rId142"/>
    <hyperlink ref="AB131" r:id="rId143"/>
    <hyperlink ref="AB433" r:id="rId144"/>
    <hyperlink ref="AB25" r:id="rId145"/>
    <hyperlink ref="AB306" r:id="rId146" display="https://www.jivi.com.ar/ficha.php?id=850"/>
    <hyperlink ref="AB133" r:id="rId147"/>
    <hyperlink ref="AB452" r:id="rId148"/>
    <hyperlink ref="AB453" r:id="rId149"/>
    <hyperlink ref="AB337" r:id="rId150" display="https://www.jivi.com.ar/ficha.php?id=1023"/>
    <hyperlink ref="AB302" r:id="rId151" display="https://www.jivi.com.ar/ficha.php?id=1025"/>
    <hyperlink ref="AF23" location="'Artículos Publicitarios'!A122" display="IR A PINES"/>
    <hyperlink ref="AB308" r:id="rId152" display="https://www.jivi.com.ar/ficha.php?id=647"/>
    <hyperlink ref="AB297" r:id="rId153" display="https://www.jivi.com.ar/ficha.php?id=1049"/>
    <hyperlink ref="AB438" r:id="rId154"/>
    <hyperlink ref="AB188" r:id="rId155" display="https://www.jivi.com.ar/ficha.php?id=1059"/>
    <hyperlink ref="AB190" r:id="rId156" display="https://www.jivi.com.ar/ficha.php?id=1061"/>
    <hyperlink ref="AB191" r:id="rId157" display="https://www.jivi.com.ar/ficha.php?id=1062"/>
    <hyperlink ref="AB21" r:id="rId158" display="https://www.jivi.com.ar/ficha.php?id=364"/>
    <hyperlink ref="AF25:AI25" location="'Artículos Publicitarios'!A475" display="IR A GORROS"/>
    <hyperlink ref="AB23" r:id="rId159"/>
    <hyperlink ref="AB22" r:id="rId160"/>
    <hyperlink ref="AF21:AI21" location="'Artículos Publicitarios'!A583" display="IR A PROD. SUBLIMADOS"/>
    <hyperlink ref="AB577" r:id="rId161" display="https://www.jivi.com.ar/ficha.php?id=1088"/>
    <hyperlink ref="AB578" r:id="rId162" display="https://www.jivi.com.ar/ficha.php?id=1089"/>
    <hyperlink ref="AB579" r:id="rId163" display="https://www.jivi.com.ar/ficha.php?id=1090"/>
    <hyperlink ref="AB580" r:id="rId164" display="https://www.jivi.com.ar/ficha.php?id=1091"/>
    <hyperlink ref="AB325" r:id="rId165" display="https://www.jivi.com.ar/ficha.php?id=1095"/>
    <hyperlink ref="AB303" r:id="rId166" display="https://www.jivi.com.ar/ficha.php?id=1094"/>
    <hyperlink ref="AB299" r:id="rId167" display="https://www.jivi.com.ar/ficha.php?id=297"/>
    <hyperlink ref="AB342" r:id="rId168" display="https://www.jivi.com.ar/ficha.php?id=1097"/>
    <hyperlink ref="AB98" r:id="rId169" display="https://www.jivi.com.ar/ficha.php?id=1098"/>
    <hyperlink ref="AB18" r:id="rId170"/>
    <hyperlink ref="AB216" r:id="rId171"/>
    <hyperlink ref="AB296" r:id="rId172" display="https://www.jivi.com.ar/ficha.php?id=1108"/>
    <hyperlink ref="AB328" r:id="rId173" display="https://www.jivi.com.ar/ficha.php?id=1116"/>
    <hyperlink ref="AF590:AH590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69" r:id="rId174" display="https://www.jivi.com.ar/ficha.php?id=1119"/>
    <hyperlink ref="AB170" r:id="rId175"/>
    <hyperlink ref="AB601" r:id="rId176" display="https://www.jivi.com.ar/ficha.php?id=1154"/>
    <hyperlink ref="AB611" r:id="rId177" display="https://www.jivi.com.ar/ficha.php?id=1157"/>
    <hyperlink ref="AB612" r:id="rId178" display="https://www.jivi.com.ar/ficha.php?id=1158"/>
    <hyperlink ref="AB575" r:id="rId179"/>
    <hyperlink ref="AB581" r:id="rId180" display="hhttps://www.jivi.com.ar/ficha.php?id=1155"/>
    <hyperlink ref="AB583" r:id="rId181" display="https://www.jivi.com.ar/ficha.php?id=1156"/>
    <hyperlink ref="AB586" r:id="rId182"/>
    <hyperlink ref="AB304" r:id="rId183"/>
    <hyperlink ref="AB52" r:id="rId184" display="https://www.jivi.com.ar/ficha.php?id=1172"/>
    <hyperlink ref="AB307" r:id="rId185"/>
    <hyperlink ref="AB97" r:id="rId186"/>
    <hyperlink ref="AB119" r:id="rId187"/>
    <hyperlink ref="AB309" r:id="rId188" display="https://www.jivi.com.ar/ficha.php?id=915"/>
    <hyperlink ref="AB107" r:id="rId189" display="https://www.jivi.com.ar/ficha.php?id=1182"/>
    <hyperlink ref="AB118" r:id="rId190" display="https://www.jivi.com.ar/ficha.php?id=1183"/>
    <hyperlink ref="AB120" r:id="rId191"/>
    <hyperlink ref="AB313" r:id="rId192" display="https://www.jivi.com.ar/ficha.php?id=349"/>
    <hyperlink ref="AB377" r:id="rId193" display="https://www.jivi.com.ar/ficha.php?id=1190"/>
    <hyperlink ref="AB105" r:id="rId194" display="https://www.jivi.com.ar/ficha.php?id=1181"/>
    <hyperlink ref="AB323" r:id="rId195"/>
    <hyperlink ref="AB434" r:id="rId196"/>
    <hyperlink ref="AB379" r:id="rId197" display="https://www.jivi.com.ar/ficha.php?id=1219"/>
    <hyperlink ref="AB47" r:id="rId198"/>
    <hyperlink ref="AB46" r:id="rId199"/>
    <hyperlink ref="AB48" r:id="rId200"/>
    <hyperlink ref="AB614" r:id="rId201" display="https://www.jivi.com.ar/ficha.php?id=904"/>
    <hyperlink ref="AB59" r:id="rId202"/>
    <hyperlink ref="AB406" r:id="rId203" display="https://www.jivi.com.ar/ficha.php?id=1225"/>
    <hyperlink ref="AB41" r:id="rId204"/>
    <hyperlink ref="AB607" r:id="rId205" display="https://www.jivi.com.ar/ficha.php?id=919"/>
    <hyperlink ref="AB189" r:id="rId206" display="https://www.jivi.com.ar/ficha.php?id=1060"/>
    <hyperlink ref="AB40" r:id="rId207"/>
    <hyperlink ref="AB151" r:id="rId208" display="https://www.jivi.com.ar/ficha.php?id=883"/>
    <hyperlink ref="AB457" r:id="rId209"/>
    <hyperlink ref="AB124" r:id="rId210" display="https://jivi.com.ar/ficha.php?id=89"/>
    <hyperlink ref="AB507" r:id="rId211" display="https://www.jivi.com.ar/ficha.php?id=1248"/>
    <hyperlink ref="AB326" r:id="rId212" display="https://www.jivi.com.ar/ficha.php?id=1253"/>
    <hyperlink ref="AF560:AH560" location="'Artículos Publicitarios'!A3" display="IR A PAGINA 1"/>
    <hyperlink ref="AB254" r:id="rId213" display="https://www.jivi.com.ar/ficha.php?id=1124"/>
    <hyperlink ref="AB152" r:id="rId214" display="https://www.jivi.com.ar/ficha.php?id=1261"/>
    <hyperlink ref="AB357" r:id="rId215" display="https://www.jivi.com.ar/ficha.php?id=1267"/>
    <hyperlink ref="AB407" r:id="rId216" display="https://www.jivi.com.ar/ficha.php?id=1268"/>
    <hyperlink ref="AB358" r:id="rId217" display="https://www.jivi.com.ar/ficha.php?id=1277"/>
    <hyperlink ref="AB359" r:id="rId218" display="https://www.jivi.com.ar/ficha.php?id=1278"/>
    <hyperlink ref="AB623" r:id="rId219"/>
    <hyperlink ref="AB95" r:id="rId220" display="https://www.jivi.com.ar/ficha.php?id=378"/>
    <hyperlink ref="AB167" r:id="rId221"/>
    <hyperlink ref="AB106" r:id="rId222"/>
    <hyperlink ref="AB108" r:id="rId223"/>
    <hyperlink ref="AB113" r:id="rId224" display="https://www.jivi.com.ar/ficha.php?id=1305"/>
    <hyperlink ref="AB114" r:id="rId225"/>
    <hyperlink ref="AB215" r:id="rId226" display="https://www.jivi.com.ar/ficha.php?id=1287"/>
    <hyperlink ref="AB585" r:id="rId227" display="https://www.jivi.com.ar/ficha.php?id=1290"/>
    <hyperlink ref="AB162" r:id="rId228" display="https://www.jivi.com.ar/ficha.php?id=1316"/>
    <hyperlink ref="AB102" r:id="rId229" display="https://www.jivi.com.ar/ficha.php?id=1314"/>
    <hyperlink ref="AJ1:AJ2" location="'Artículos Publicitarios'!A3" display="IR A PAGINA 1"/>
    <hyperlink ref="AB166" r:id="rId230"/>
    <hyperlink ref="AB346" r:id="rId231" display="https://www.jivi.com.ar/ficha.php?id=1344"/>
    <hyperlink ref="AB115" r:id="rId232"/>
    <hyperlink ref="AF667:AH667" location="'Artículos Publicitarios'!A3" display="IR A PAGINA 1"/>
    <hyperlink ref="AB160" r:id="rId233" display="https://www.jivi.com.ar/ficha.php?id=1346"/>
    <hyperlink ref="AB161" r:id="rId234" display="https://www.jivi.com.ar/ficha.php?id=1347"/>
    <hyperlink ref="AB187" r:id="rId235" display="https://www.jivi.com.ar/ficha.php?id=1348"/>
    <hyperlink ref="AB347" r:id="rId236" display="https://www.jivi.com.ar/ficha.php?id=1359"/>
    <hyperlink ref="AB360" r:id="rId237" display="https://www.jivi.com.ar/ficha.php?id=1360"/>
    <hyperlink ref="AB168" r:id="rId238"/>
    <hyperlink ref="AB103" r:id="rId239" display="https://www.jivi.com.ar/ficha.php?id=1366"/>
    <hyperlink ref="AC8:AI9" r:id="rId240" display="REGISTRATE EN NUESTRA WEB PARA BAJAR LISTA DE PRECIOS DESDE CUALQUIER PC"/>
    <hyperlink ref="AB255" r:id="rId241" display="https://www.jivi.com.ar/ficha.php?id=864"/>
    <hyperlink ref="AB364" r:id="rId242" display="https://www.jivi.com.ar/ficha.php?id=1372"/>
    <hyperlink ref="AB363" r:id="rId243" display="https://www.jivi.com.ar/ficha.php?id=1378"/>
    <hyperlink ref="AB365" r:id="rId244" display="https://www.jivi.com.ar/ficha.php?id=1382"/>
    <hyperlink ref="AB362" r:id="rId245" display="https://www.jivi.com.ar/ficha.php?id=1383"/>
    <hyperlink ref="AB382" r:id="rId246" display="https://www.jivi.com.ar/ficha.php?id=1384"/>
    <hyperlink ref="AB126" r:id="rId247" display="https://www.jivi.com.ar/ficha.php?id=1428"/>
    <hyperlink ref="AB383" r:id="rId248" display="https://www.jivi.com.ar/ficha.php?id=1385"/>
    <hyperlink ref="AB381" r:id="rId249" display="https://www.jivi.com.ar/ficha.php?id=1387"/>
    <hyperlink ref="AB384" r:id="rId250" display="https://www.jivi.com.ar/ficha.php?id=1389"/>
    <hyperlink ref="AB385" r:id="rId251" display="https://www.jivi.com.ar/ficha.php?id=1390"/>
    <hyperlink ref="AB20" r:id="rId252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3" display="https://www.jivi.com.ar/ficha.php?id=236"/>
    <hyperlink ref="AB163" r:id="rId254" display="https://www.jivi.com.ar/ficha.php?id=1343"/>
    <hyperlink ref="AF13:AH13" location="'Artículos Publicitarios'!A342" display="IR A PAGINA 5"/>
    <hyperlink ref="AF14:AH14" location="'Artículos Publicitarios'!A421" display="IR A PAGINA 6"/>
    <hyperlink ref="AB366" r:id="rId255" display="https://www.jivi.com.ar/ficha.php?id=1394"/>
    <hyperlink ref="AB217" r:id="rId256" display="https://www.jivi.com.ar/ficha.php?id=872"/>
    <hyperlink ref="AB145" r:id="rId257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17" display="IR A BOLIGRAFOS"/>
    <hyperlink ref="AB380" r:id="rId258" display="https://www.jivi.com.ar/ficha.php?id=1262"/>
    <hyperlink ref="AB361" r:id="rId259" display="https://www.jivi.com.ar/ficha.php?id=1400"/>
    <hyperlink ref="AB367" r:id="rId260" display="https://www.jivi.com.ar/ficha.php?id=1401"/>
    <hyperlink ref="AB153" r:id="rId261" display="https://www.jivi.com.ar/ficha.php?id=1392"/>
    <hyperlink ref="AB249" r:id="rId262" display="https://www.jivi.com.ar/ficha.php?id=1230"/>
    <hyperlink ref="AB348" r:id="rId263" display="https://www.jivi.com.ar/ficha.php?id=1110"/>
    <hyperlink ref="AB351" r:id="rId264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5" display="https://www.jivi.com.ar/ficha.php?id=477"/>
    <hyperlink ref="AB93" r:id="rId266" display="https://www.jivi.com.ar/ficha.php?id=376"/>
    <hyperlink ref="AB13" r:id="rId267" display="https://www.jivi.com.ar/ficha.php?id=1402"/>
    <hyperlink ref="AB501" r:id="rId268" display="https://www.jivi.com.ar/ficha.php?id=1393"/>
    <hyperlink ref="AB15" r:id="rId269" display="https://www.jivi.com.ar/ficha.php?id=1405"/>
    <hyperlink ref="AB123" r:id="rId270" display="https://www.jivi.com.ar/ficha.php?id=1413"/>
    <hyperlink ref="AB165" r:id="rId271" display="https://www.jivi.com.ar/ficha.php?id=1415"/>
    <hyperlink ref="AF12:AH12" location="'Artículos Publicitarios'!A260" display="IR A PAGINA 4"/>
    <hyperlink ref="AB293" r:id="rId272" display="https://www.jivi.com.ar/ficha.php?id=1356"/>
    <hyperlink ref="AB204" r:id="rId273" display="https://www.jivi.com.ar/ficha.php?id=1084"/>
    <hyperlink ref="AB290" r:id="rId274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28" r:id="rId275"/>
    <hyperlink ref="AB631" r:id="rId276"/>
    <hyperlink ref="AB608" r:id="rId277" display="https://www.jivi.com.ar/ficha.php?id=1281"/>
    <hyperlink ref="AB621" r:id="rId278"/>
    <hyperlink ref="AB273" r:id="rId279" display="https://www.jivi.com.ar/ficha.php?id=1421"/>
    <hyperlink ref="AB276" r:id="rId280" display="https://www.jivi.com.ar/ficha.php?id=1422"/>
    <hyperlink ref="AB277" r:id="rId281" display="https://www.jivi.com.ar/ficha.php?id=1423"/>
    <hyperlink ref="AB288" r:id="rId282" display="https://www.jivi.com.ar/ficha.php?id=1425"/>
    <hyperlink ref="AB289" r:id="rId283" display="https://www.jivi.com.ar/ficha.php?id=1426"/>
    <hyperlink ref="AB404" r:id="rId284" display="https://www.jivi.com.ar/ficha.php?id=1429"/>
    <hyperlink ref="AB435" r:id="rId285"/>
    <hyperlink ref="AB437" r:id="rId286"/>
    <hyperlink ref="AB495" r:id="rId287" display="https://www.jivi.com.ar/ficha.php?id=1436"/>
    <hyperlink ref="AB496" r:id="rId288" display="https://www.jivi.com.ar/ficha.php?id=1437"/>
    <hyperlink ref="AB497" r:id="rId289"/>
    <hyperlink ref="AB499" r:id="rId290" display="https://www.jivi.com.ar/ficha.php?id=1439"/>
    <hyperlink ref="AB275" r:id="rId291" display="https://www.jivi.com.ar/ficha.php?id=1442"/>
    <hyperlink ref="AB287" r:id="rId292" display="https://www.jivi.com.ar/ficha.php?id=1427"/>
    <hyperlink ref="AB599" r:id="rId293"/>
    <hyperlink ref="AB341" r:id="rId294" display="https://www.jivi.com.ar/ficha.php?id=1056"/>
    <hyperlink ref="AB248" r:id="rId295" display="https://www.jivi.com.ar/ficha.php?id=1334"/>
    <hyperlink ref="AB244" r:id="rId296" display="https://www.jivi.com.ar/ficha.php?id=1335"/>
    <hyperlink ref="AB284" r:id="rId297" display="https://www.jivi.com.ar/ficha.php?id=1446"/>
    <hyperlink ref="AB291" r:id="rId298" display="https://www.jivi.com.ar/ficha.php?id=1354"/>
    <hyperlink ref="AB286" r:id="rId299" display="https://www.jivi.com.ar/ficha.php?id=1448"/>
    <hyperlink ref="AB295" r:id="rId300" display="https://www.jivi.com.ar/ficha.php?id=1450"/>
    <hyperlink ref="AB185" r:id="rId301"/>
    <hyperlink ref="AB193" r:id="rId302" display="https://www.jivi.com.ar/ficha.php?id=1064"/>
    <hyperlink ref="AB192" r:id="rId303" display="https://www.jivi.com.ar/ficha.php?id=1063"/>
    <hyperlink ref="AB427" r:id="rId304"/>
    <hyperlink ref="AB624" r:id="rId305"/>
    <hyperlink ref="AB373" r:id="rId306" display="https://www.jivi.com.ar/ficha.php?id=1463"/>
    <hyperlink ref="AB374" r:id="rId307" display="https://www.jivi.com.ar/ficha.php?id=1464"/>
    <hyperlink ref="AB375" r:id="rId308" display="https://www.jivi.com.ar/ficha.php?id=1465"/>
    <hyperlink ref="AB389" r:id="rId309" display="https://www.jivi.com.ar/ficha.php?id=1466"/>
    <hyperlink ref="AB502" r:id="rId310" display="https://www.jivi.com.ar/ficha.php?id=1467"/>
    <hyperlink ref="AB500" r:id="rId311" display="https://www.jivi.com.ar/ficha.php?id=1468"/>
    <hyperlink ref="AB506" r:id="rId312" display="https://www.jivi.com.ar/ficha.php?id=1470"/>
    <hyperlink ref="AB510" r:id="rId313"/>
    <hyperlink ref="AB511" r:id="rId314" display="https://www.jivi.com.ar/ficha.php?id=1472"/>
    <hyperlink ref="AB447" r:id="rId315"/>
    <hyperlink ref="AB573" r:id="rId316"/>
    <hyperlink ref="AB574" r:id="rId317"/>
    <hyperlink ref="AB572" r:id="rId318"/>
    <hyperlink ref="AB208" r:id="rId319" display="https://www.jivi.com.ar/ficha.php?id=1478"/>
    <hyperlink ref="AB209" r:id="rId320"/>
    <hyperlink ref="AB210" r:id="rId321"/>
    <hyperlink ref="AB203" r:id="rId322" display="https://www.jivi.com.ar/ficha.php?id=1481"/>
    <hyperlink ref="AB218" r:id="rId323" display="https://www.jivi.com.ar/ficha.php?id=1483"/>
    <hyperlink ref="AB242" r:id="rId324" display="https://www.jivi.com.ar/ficha.php?id=1486"/>
    <hyperlink ref="AB243" r:id="rId325" display="https://www.jivi.com.ar/ficha.php?id=1488"/>
    <hyperlink ref="AB602" r:id="rId326" display="https://www.jivi.com.ar/ficha.php?id=1492"/>
    <hyperlink ref="AB603" r:id="rId327" display="https://www.jivi.com.ar/ficha.php?id=1493"/>
    <hyperlink ref="AB604" r:id="rId328" display="https://www.jivi.com.ar/ficha.php?id=1494"/>
    <hyperlink ref="AB605" r:id="rId329"/>
    <hyperlink ref="AB260" r:id="rId330" display="https://www.jivi.com.ar/ficha.php?id=1496"/>
    <hyperlink ref="AB261" r:id="rId331" display="https://www.jivi.com.ar/ficha.php?id=1497"/>
    <hyperlink ref="AB263" r:id="rId332" display="httphttps://www.jivi.com.ar/ficha.php?id=1498"/>
    <hyperlink ref="AB264" r:id="rId333" display="https://www.jivi.com.ar/ficha.php?id=1499"/>
    <hyperlink ref="AB265" r:id="rId334" display="https://www.jivi.com.ar/ficha.php?id=1500"/>
    <hyperlink ref="AB35" r:id="rId335"/>
    <hyperlink ref="AB37" r:id="rId336"/>
    <hyperlink ref="AB34" r:id="rId337"/>
    <hyperlink ref="AB36" r:id="rId338"/>
    <hyperlink ref="AB38" r:id="rId339"/>
    <hyperlink ref="AB39" r:id="rId340"/>
    <hyperlink ref="AB494" r:id="rId341" display="https://www.jivi.com.ar/ficha.php?id=1509"/>
    <hyperlink ref="AB459" r:id="rId342"/>
    <hyperlink ref="AB272" r:id="rId343" display="https://www.jivi.com.ar/ficha.php?id=1515"/>
    <hyperlink ref="AB69" r:id="rId344"/>
    <hyperlink ref="AB71" r:id="rId345"/>
    <hyperlink ref="AB369" r:id="rId346" display="https://www.jivi.com.ar/ficha.php?id=1523"/>
    <hyperlink ref="AB622" r:id="rId347"/>
    <hyperlink ref="AB271" r:id="rId348" display="https://www.jivi.com.ar/ficha.php?id=1524"/>
    <hyperlink ref="AB274" r:id="rId349" display="https://www.jivi.com.ar/ficha.php?id=1527"/>
    <hyperlink ref="AB230" r:id="rId350" display="https://www.jivi.com.ar/ficha.php?id=1532"/>
    <hyperlink ref="AB240" r:id="rId351" display="https://www.jivi.com.ar/ficha.php?id=1534"/>
    <hyperlink ref="AB617" r:id="rId352" display="https://www.jivi.com.ar/ficha.php?id=1535"/>
    <hyperlink ref="AB618" r:id="rId353" display="https://www.jivi.com.ar/ficha.php?id=1536"/>
    <hyperlink ref="AB220" r:id="rId354" display="https://www.jivi.com.ar/ficha.php?id=1539"/>
    <hyperlink ref="AB129" r:id="rId355" display="https://www.jivi.com.ar/ficha.php?id=1540"/>
    <hyperlink ref="AB508" r:id="rId356" display="https://www.jivi.com.ar/ficha.php?id=1541"/>
    <hyperlink ref="AB509" r:id="rId357" display="https://www.jivi.com.ar/ficha.php?id=1542"/>
    <hyperlink ref="AB246" r:id="rId358" display="https://www.jivi.com.ar/ficha.php?id=1363"/>
    <hyperlink ref="AB226" r:id="rId359" display="https://www.jivi.com.ar/ficha.php?id=1545"/>
    <hyperlink ref="AB350" r:id="rId360"/>
    <hyperlink ref="AB349" r:id="rId361"/>
    <hyperlink ref="AB324" r:id="rId362" display="https://www.jivi.com.ar/ficha.php?id=981"/>
    <hyperlink ref="AB370" r:id="rId363" display="https://www.jivi.com.ar/ficha.php?id=1548"/>
    <hyperlink ref="AB371" r:id="rId364" display="https://www.jivi.com.ar/ficha.php?id=1549"/>
    <hyperlink ref="AB416" r:id="rId365"/>
    <hyperlink ref="AB403" r:id="rId366" display="https://www.jivi.com.ar/ficha.php?id=1552"/>
    <hyperlink ref="AB344" r:id="rId367" display="https://www.jivi.com.ar/ficha.php?id=1311"/>
    <hyperlink ref="AB144" r:id="rId368" display="https://www.jivi.com.ar/ficha.php?id=1553"/>
    <hyperlink ref="AB140" r:id="rId369" display="https://www.jivi.com.ar/ficha.php?id=1554"/>
    <hyperlink ref="AB221" r:id="rId370" display="https://www.jivi.com.ar/ficha.php?id=1397"/>
    <hyperlink ref="AB540" r:id="rId371" display="https://www.jivi.com.ar/ficha.php?id=1555"/>
    <hyperlink ref="AB57" r:id="rId372" display="https://www.jivi.com.ar/ficha.php?id=1557"/>
    <hyperlink ref="AB629" r:id="rId373"/>
    <hyperlink ref="AB219" r:id="rId374" display="https://www.jivi.com.ar/ficha.php?id=518"/>
    <hyperlink ref="AB186" r:id="rId375" display="https://www.jivi.com.ar/ficha.php?id=1561"/>
    <hyperlink ref="AB10" r:id="rId376" display="https://www.jivi.com.ar/ficha.php?id=26"/>
    <hyperlink ref="AB223" r:id="rId377" display="https://www.jivi.com.ar/ficha.php?id=1066"/>
    <hyperlink ref="AB224" r:id="rId378" display="https://www.jivi.com.ar/ficha.php?id=1562"/>
    <hyperlink ref="AB411" r:id="rId379" display="https://www.jivi.com.ar/ficha.php?id=1563"/>
    <hyperlink ref="AB154" r:id="rId380" display="https://www.jivi.com.ar/ficha.php?id=1414"/>
    <hyperlink ref="AB16" r:id="rId381" display="https://www.jivi.com.ar/ficha.php?id=790"/>
    <hyperlink ref="AB281" r:id="rId382" display="https://www.jivi.com.ar/ficha.php?id=1407"/>
    <hyperlink ref="AB280" r:id="rId383" display="https://www.jivi.com.ar/ficha.php?id=1409"/>
    <hyperlink ref="AB282" r:id="rId384" display="https://www.jivi.com.ar/ficha.php?id=1408"/>
    <hyperlink ref="AB269" r:id="rId385" display="https://www.jivi.com.ar/ficha.php?id=1564"/>
    <hyperlink ref="AB27" r:id="rId386" display="https://www.jivi.com.ar/ficha.php?id=1434"/>
    <hyperlink ref="AB376" r:id="rId387" display="https://www.jivi.com.ar/ficha.php?id=1567"/>
    <hyperlink ref="AB43" r:id="rId388"/>
    <hyperlink ref="AB44" r:id="rId389"/>
    <hyperlink ref="AB45" r:id="rId390"/>
    <hyperlink ref="AB127" r:id="rId391" display="https://www.jivi.com.ar/ficha.php?id=1571"/>
    <hyperlink ref="AB202" r:id="rId392"/>
    <hyperlink ref="AB372" r:id="rId393" display="https://www.jivi.com.ar/ficha.php?id=1572"/>
    <hyperlink ref="AB270" r:id="rId394" display="https://www.jivi.com.ar/ficha.php?id=1573"/>
    <hyperlink ref="AB518" r:id="rId395" display="https://www.jivi.com.ar/ficha.php?id=1294"/>
    <hyperlink ref="AF28:AJ28" location="'Artículos Publicitarios'!A530" display="IR A MOCHILAS"/>
    <hyperlink ref="AB523" r:id="rId396" display="https://www.jivi.com.ar/ficha.php?id=1271"/>
    <hyperlink ref="AB522" r:id="rId397" display="https://www.jivi.com.ar/ficha.php?id=1296"/>
    <hyperlink ref="AB525" r:id="rId398" display="https://www.jivi.com.ar/ficha.php?id=1139"/>
    <hyperlink ref="AB520" r:id="rId399" display="https://www.jivi.com.ar/ficha.php?id=1249"/>
    <hyperlink ref="AB551" r:id="rId400" display="https://www.jivi.com.ar/ficha.php?id=1574"/>
    <hyperlink ref="AB521" r:id="rId401" display="https://www.jivi.com.ar/ficha.php?id=1576"/>
    <hyperlink ref="AB527" r:id="rId402" display="https://www.jivi.com.ar/ficha.php?id=1580"/>
    <hyperlink ref="AB528" r:id="rId403" display="https://www.jivi.com.ar/ficha.php?id=1581"/>
    <hyperlink ref="AB532" r:id="rId404" display="https://www.jivi.com.ar/ficha.php?id=1583"/>
    <hyperlink ref="AB533" r:id="rId405" display="https://www.jivi.com.ar/ficha.php?id=1584"/>
    <hyperlink ref="AB535" r:id="rId406" display="https://www.jivi.com.ar/ficha.php?id=1586"/>
    <hyperlink ref="AB536" r:id="rId407" display="https://www.jivi.com.ar/ficha.php?id=1587"/>
    <hyperlink ref="AF29:AJ29" location="'Artículos Publicitarios'!A251" display="IR A CUADERNOS"/>
    <hyperlink ref="AB251" r:id="rId408" display="https://www.jivi.com.ar/ficha.php?id=1221"/>
    <hyperlink ref="AB257" r:id="rId409" display="https://www.jivi.com.ar/ficha.php?id=1588"/>
    <hyperlink ref="AB489" r:id="rId410"/>
    <hyperlink ref="AB490" r:id="rId411" display="https://www.jivi.com.ar/ficha.php?id=1590"/>
    <hyperlink ref="AB491" r:id="rId412"/>
    <hyperlink ref="AB492" r:id="rId413" display="https://www.jivi.com.ar/ficha.php?id=1592"/>
    <hyperlink ref="AB541" r:id="rId414" display="https://www.jivi.com.ar/ficha.php?id=1593"/>
    <hyperlink ref="AB267" r:id="rId415" display="https://www.jivi.com.ar/ficha.php?id=1595"/>
    <hyperlink ref="AB392" r:id="rId416" display="https://www.jivi.com.ar/ficha.php?id=1596"/>
    <hyperlink ref="AB542" r:id="rId417" display="https://www.jivi.com.ar/ficha.php?id=1598"/>
    <hyperlink ref="AB534" r:id="rId418" display="https://www.jivi.com.ar/ficha.php?id=1599"/>
    <hyperlink ref="AB543" r:id="rId419" display="https://www.jivi.com.ar/ficha.php?id=1602"/>
    <hyperlink ref="AB544" r:id="rId420" display="https://www.jivi.com.ar/ficha.php?id=1603"/>
    <hyperlink ref="AB60" r:id="rId421"/>
    <hyperlink ref="AB545" r:id="rId422" display="https://www.jivi.com.ar/ficha.php?id=1604"/>
    <hyperlink ref="AB546" r:id="rId423" display="https://www.jivi.com.ar/ficha.php?id=1606"/>
    <hyperlink ref="AB285" r:id="rId424" display="https://www.jivi.com.ar/ficha.php?id=1424"/>
    <hyperlink ref="AB171" r:id="rId425"/>
    <hyperlink ref="AB234" r:id="rId426" display="https://www.jivi.com.ar/ficha.php?id=1459"/>
    <hyperlink ref="AB233" r:id="rId427" display="https://www.jivi.com.ar/ficha.php?id=1608"/>
    <hyperlink ref="AB232" r:id="rId428" display="https://www.jivi.com.ar/ficha.php?id=1609"/>
    <hyperlink ref="AB252" r:id="rId429" display="https://www.jivi.com.ar/ficha.php?id=1274"/>
    <hyperlink ref="AB401" r:id="rId430" display="https://www.jivi.com.ar/ficha.php?id=1610"/>
    <hyperlink ref="AB531" r:id="rId431" display="https://www.jivi.com.ar/ficha.php?id=1611"/>
    <hyperlink ref="AB530" r:id="rId432" display="https://www.jivi.com.ar/ficha.php?id=1612"/>
    <hyperlink ref="AB529" r:id="rId433" display="https://www.jivi.com.ar/ficha.php?id=1613"/>
    <hyperlink ref="AB196" r:id="rId434" display="https://www.jivi.com.ar/ficha.php?id=1614"/>
    <hyperlink ref="AB194" r:id="rId435" display="https://www.jivi.com.ar/ficha.php?id=1452"/>
    <hyperlink ref="AB212" r:id="rId436" display="https://www.jivi.com.ar/ficha.php?id=608"/>
    <hyperlink ref="AB355" r:id="rId437" display="https://www.jivi.com.ar/ficha.php?id=1615"/>
    <hyperlink ref="AB553" r:id="rId438" display="https://www.jivi.com.ar/ficha.php?id=1617"/>
    <hyperlink ref="AB554" r:id="rId439" display="https://www.jivi.com.ar/ficha.php?id=1618"/>
    <hyperlink ref="AB487" r:id="rId440"/>
    <hyperlink ref="AB488" r:id="rId441" display="https://www.jivi.com.ar/ficha.php?id=1620"/>
    <hyperlink ref="AB292" r:id="rId442" display="https://www.jivi.com.ar/ficha.php?id=1355"/>
    <hyperlink ref="AB503" r:id="rId443" display="https://www.jivi.com.ar/ficha.php?id=1204"/>
    <hyperlink ref="AB504" r:id="rId444"/>
    <hyperlink ref="AB322" r:id="rId445"/>
    <hyperlink ref="AB458" r:id="rId446"/>
    <hyperlink ref="AB594" r:id="rId447"/>
    <hyperlink ref="AB633" r:id="rId448"/>
    <hyperlink ref="AB634" r:id="rId449"/>
    <hyperlink ref="AB635" r:id="rId450"/>
    <hyperlink ref="AB353" r:id="rId451" display="https://www.jivi.com.ar/ficha.php?id=1641"/>
    <hyperlink ref="AB418" r:id="rId452"/>
    <hyperlink ref="AB420" r:id="rId453"/>
    <hyperlink ref="AB421" r:id="rId454"/>
    <hyperlink ref="AB422" r:id="rId455"/>
    <hyperlink ref="AB619" r:id="rId456"/>
    <hyperlink ref="AB417" r:id="rId457"/>
    <hyperlink ref="AB164" r:id="rId458" display="https://www.jivi.com.ar/ficha.php?id=1660"/>
    <hyperlink ref="AB146" r:id="rId459" display="https://www.jivi.com.ar/ficha.php?id=1663"/>
    <hyperlink ref="AB99" r:id="rId460" display="https://www.jivi.com.ar/ficha.php?id=440"/>
    <hyperlink ref="AB620" r:id="rId461"/>
    <hyperlink ref="AB627" r:id="rId462"/>
    <hyperlink ref="AB632" r:id="rId463"/>
    <hyperlink ref="AB493" r:id="rId464" display="https://www.jivi.com.ar/ficha.php?id=1684"/>
    <hyperlink ref="AB356" r:id="rId465" display="https://www.jivi.com.ar/ficha.php?id=1272"/>
    <hyperlink ref="AB354" r:id="rId466" display="https://www.jivi.com.ar/ficha.php?id=1687"/>
    <hyperlink ref="AB352" r:id="rId467" display="https://www.jivi.com.ar/ficha.php?id=1672"/>
    <hyperlink ref="AB537" r:id="rId468" display="https://www.jivi.com.ar/ficha.php?id=1690"/>
    <hyperlink ref="AB486" r:id="rId469" display="https://www.jivi.com.ar/ficha.php?id=1691"/>
    <hyperlink ref="AB402" r:id="rId470" display="https://www.jivi.com.ar/ficha.php?id=1692"/>
    <hyperlink ref="AB498" r:id="rId471" display="https://www.jivi.com.ar/ficha.php?id=1438"/>
    <hyperlink ref="AF479:AH479" location="'Artículos Publicitarios'!A3" display="IR A PAGINA 1"/>
    <hyperlink ref="AF516:AH516" location="'Artículos Publicitarios'!A3" display="IR A PAGINA 1"/>
    <hyperlink ref="AB393" r:id="rId472" display="https://www.jivi.com.ar/ficha.php?id=1695"/>
    <hyperlink ref="AB28" r:id="rId473" display="https://www.jivi.com.ar/ficha.php?id=36"/>
    <hyperlink ref="AB484" r:id="rId474"/>
    <hyperlink ref="AB485" r:id="rId475" display="https://www.jivi.com.ar/ficha.php?id=1698"/>
    <hyperlink ref="AB394" r:id="rId476" display="https://www.jivi.com.ar/ficha.php?id=1699"/>
    <hyperlink ref="AB460" r:id="rId477"/>
    <hyperlink ref="AB368" r:id="rId478" display="https://www.jivi.com.ar/ficha.php?id=1462"/>
    <hyperlink ref="AB229" r:id="rId479" display="https://www.jivi.com.ar/ficha.php?id=1531"/>
    <hyperlink ref="AB228" r:id="rId480" display="https://www.jivi.com.ar/ficha.php?id=1528"/>
    <hyperlink ref="AB405" r:id="rId481"/>
    <hyperlink ref="AB330" r:id="rId482" display="https://www.jivi.com.ar/ficha.php?id=977"/>
    <hyperlink ref="AB387" r:id="rId483" display="https://www.jivi.com.ar/ficha.php?id=1457"/>
    <hyperlink ref="AB386" r:id="rId484" display="https://www.jivi.com.ar/ficha.php?id=1456"/>
    <hyperlink ref="AB331" r:id="rId485" display="https://www.jivi.com.ar/ficha.php?id=1707"/>
    <hyperlink ref="AB332" r:id="rId486" display="https://www.jivi.com.ar/ficha.php?id=1708"/>
    <hyperlink ref="AB390" r:id="rId487"/>
    <hyperlink ref="AB483" r:id="rId488" display="https://www.jivi.com.ar/ficha.php?id=1722"/>
    <hyperlink ref="AB14" r:id="rId489" display="https://www.jivi.com.ar/ficha.php?id=1723"/>
    <hyperlink ref="AB182" r:id="rId490"/>
    <hyperlink ref="AB178" r:id="rId491"/>
    <hyperlink ref="AB180" r:id="rId492"/>
    <hyperlink ref="AB179" r:id="rId493"/>
    <hyperlink ref="AB181" r:id="rId494"/>
    <hyperlink ref="AB177" r:id="rId495"/>
    <hyperlink ref="AB595" r:id="rId496"/>
    <hyperlink ref="AB596" r:id="rId497"/>
    <hyperlink ref="AB615" r:id="rId498"/>
    <hyperlink ref="AB616" r:id="rId499"/>
    <hyperlink ref="AB600" r:id="rId500"/>
    <hyperlink ref="AB552" r:id="rId501" display="https://www.jivi.com.ar/ficha.php?id=1575"/>
    <hyperlink ref="AB547" r:id="rId502" display="https://www.jivi.com.ar/ficha.php?id=1743"/>
    <hyperlink ref="AB548" r:id="rId503" display="https://www.jivi.com.ar/ficha.php?id=1744"/>
    <hyperlink ref="AB549" r:id="rId504" display="https://www.jivi.com.ar/ficha.php?id=1745"/>
    <hyperlink ref="AB526" r:id="rId505" display="https://www.jivi.com.ar/ficha.php?id=1746"/>
    <hyperlink ref="AB592" r:id="rId506"/>
    <hyperlink ref="AB481" r:id="rId507"/>
    <hyperlink ref="AB482" r:id="rId508" display="https://www.jivi.com.ar/ficha.php?id=1749"/>
    <hyperlink ref="AB519" r:id="rId509"/>
    <hyperlink ref="AB630" r:id="rId510"/>
    <hyperlink ref="AB391" r:id="rId511"/>
    <hyperlink ref="AB278" r:id="rId512" display="https://www.jivi.com.ar/ficha.php?id=1461"/>
    <hyperlink ref="AB279" r:id="rId513" display="https://www.jivi.com.ar/ficha.php?id=1775"/>
    <hyperlink ref="AB538" r:id="rId514" display="https://www.jivi.com.ar/ficha.php?id=1776"/>
    <hyperlink ref="AB125" r:id="rId515" display="https://www.jivi.com.ar/ficha.php?id=1310"/>
    <hyperlink ref="AB436" r:id="rId516"/>
    <hyperlink ref="AB63" r:id="rId517" display="https://www.jivi.com.ar/ficha.php?id=76"/>
    <hyperlink ref="AB62" r:id="rId518"/>
    <hyperlink ref="AB61" r:id="rId519"/>
    <hyperlink ref="AB225" r:id="rId520" display="https://www.jivi.com.ar/ficha.php?id=1709"/>
    <hyperlink ref="AB555" r:id="rId521" display="https://www.jivi.com.ar/ficha.php?id=1710"/>
    <hyperlink ref="AB563" r:id="rId522"/>
    <hyperlink ref="AB565" r:id="rId523"/>
    <hyperlink ref="AB566" r:id="rId524"/>
    <hyperlink ref="AB569" r:id="rId525"/>
    <hyperlink ref="AB568" r:id="rId526"/>
    <hyperlink ref="AB524" r:id="rId527" display="https://www.jivi.com.ar/ficha.php?id=1293"/>
    <hyperlink ref="AB247" r:id="rId528" display="https://www.jivi.com.ar/ficha.php?id=1340"/>
    <hyperlink ref="AB250" r:id="rId529" display="https://www.jivi.com.ar/ficha.php?id=1265"/>
    <hyperlink ref="AB241" r:id="rId530" display="https://www.jivi.com.ar/ficha.php?id=1487"/>
    <hyperlink ref="AB116" r:id="rId531"/>
    <hyperlink ref="AB121" r:id="rId532"/>
    <hyperlink ref="AB117" r:id="rId533"/>
    <hyperlink ref="AB198" r:id="rId534" display="https://www.jivi.com.ar/ficha.php?id=1319"/>
    <hyperlink ref="AB122" r:id="rId535"/>
    <hyperlink ref="AB283" r:id="rId536" display="https://www.jivi.com.ar/ficha.php?id=1447"/>
    <hyperlink ref="AB339" r:id="rId537" display="https://www.jivi.com.ar/ficha.php?id=1087"/>
    <hyperlink ref="AB439" r:id="rId538"/>
    <hyperlink ref="AB128" r:id="rId539" display="https://www.jivi.com.ar/ficha.php?id=1451"/>
    <hyperlink ref="AB419" r:id="rId540"/>
    <hyperlink ref="AB245" r:id="rId541"/>
    <hyperlink ref="AB335" r:id="rId542" display="https://www.jivi.com.ar/ficha.php?id=1805"/>
    <hyperlink ref="AB294" r:id="rId543" display="https://www.jivi.com.ar/ficha.php?id=1342"/>
    <hyperlink ref="AB340" r:id="rId544" display="https://www.jivi.com.ar/ficha.php?id=1070"/>
    <hyperlink ref="AB343" r:id="rId545"/>
    <hyperlink ref="AB338" r:id="rId546" display="https://www.jivi.com.ar/ficha.php?id=1299"/>
    <hyperlink ref="AB415" r:id="rId547"/>
    <hyperlink ref="AB400" r:id="rId548" display="https://www.jivi.com.ar/ficha.php?id=1597"/>
    <hyperlink ref="AB345" r:id="rId549" display="https://www.jivi.com.ar/ficha.php?id=1131"/>
    <hyperlink ref="AB266" r:id="rId550" display="https://www.jivi.com.ar/ficha.php?id=1774"/>
    <hyperlink ref="AB378" r:id="rId551" display="https://www.jivi.com.ar/ficha.php?id=1820"/>
    <hyperlink ref="AB227" r:id="rId552" display="https://www.jivi.com.ar/ficha.php?id=1544"/>
    <hyperlink ref="AB231" r:id="rId553" display="https://www.jivi.com.ar/ficha.php?id=1533"/>
    <hyperlink ref="AF10:AH10" location="'Artículos Publicitarios'!A101" display="IR A PAGINA 2"/>
    <hyperlink ref="AB539" r:id="rId554" display="https://www.jivi.com.ar/ficha.php?id=1556"/>
    <hyperlink ref="AB550" r:id="rId555" display="https://www.jivi.com.ar/ficha.php?id=1825"/>
    <hyperlink ref="AB258" r:id="rId556" display="https://www.jivi.com.ar/ficha.php?id=1491"/>
    <hyperlink ref="AB184" r:id="rId557" display="https://www.jivi.com.ar/ficha.php?id=1491"/>
    <hyperlink ref="AB268" r:id="rId558" display="https://www.jivi.com.ar/ficha.php?id=1594"/>
    <hyperlink ref="AB388" r:id="rId559"/>
    <hyperlink ref="AB195" r:id="rId560" display="https://www.jivi.com.ar/ficha.php?id=1799"/>
    <hyperlink ref="AB625" r:id="rId561"/>
    <hyperlink ref="AB626" r:id="rId562"/>
  </hyperlinks>
  <pageMargins left="0.27559055118110237" right="0.11811023622047245" top="0.19685039370078741" bottom="0.15748031496062992" header="0.11811023622047245" footer="0.15748031496062992"/>
  <pageSetup paperSize="5" orientation="portrait" copies="5" r:id="rId563"/>
  <headerFooter alignWithMargins="0"/>
  <cellWatches>
    <cellWatch r="X8"/>
  </cellWatches>
  <ignoredErrors>
    <ignoredError sqref="AB619:AB624 AB615 AB592 AB600 AB616" numberStoredAsText="1"/>
    <ignoredError sqref="X585 B25:E25 C24:E24 A162 C162:E162 A187:E187 A103:E104 H395:Q395 C26:E26 H54:I54 G55:I56 H597:L599 G253 G255:G256 B145:E145 C220:E220 G315:W315 U29 S37:S38 S34 U34 U37:U38 S40 U40 G53:I53 H428 H429:M429 H430:M430 H431:M431 H432:M432 H433:M433 O423 H423:H425 J428:M428 S423 U423 Q423 S46 U46 G424:G427 F461:T461 G220 G406:G407 W457 G324:G326 G264:M264 F204:W204 G187 V91:W92 F81:I88 F90:I90 F89:I89 Q105 I57:I59 U105 S105 J80:J90 G546 B249:E249 W298 G320:J321 W512:W513 H265:M265 G94:G98 H323:J327 G80:I80 G100:G104 G404 H341:J341 G260:M260 G261:M261 G262:M262 G263:M263 N94:W94 H93:W93 J10:L10 W97 G216:G218 G215:H215 X203:X205 P205:W205 G205:I205 W333:W334 H556 H460:V460 G328:G329 J12:L12 X11 F459:V459 W57 G483:G494 G563:V566 G293 G497 G553:G555 H567:W569 F622:T622 F620:V620 G600:W600 G551 G616:V616 H594:V595 H617:V618 G499:G511 H592:W592 F634:H635 G631:H632 G627:H627 G628:H628 H630 G629:H629 G446:G450 G284 H570:V574 G153:K153 G145 H129:I129 G438 O107:O108 S107:S108 Q107:Q108 U107:U108 W404:X404 U404:V406 V407:V409 G248:G249 V26:V27 S29 H29:M29 H27:I27 H212 W59 G68 I125:V125 U20:V22 G336:J337 G358:K358 R329:W329 Q329 G357 G363:G367 G287:G291 G621:V621 G333:J334 I128 H404:T409 G346:J349 G413 J411:V412 H344:J344 A154:E154 G279:G282 G360:K362 K320:V327 K340:K349 K330:V339 H328:W328 H363:K369 G455:J456 G452:J453 F454:J454 K452:V456 G440:W445 H446:V450 N260:V264 I257:V257 G259:V259 M10:V12 O29 Q29 H28:V28 W68 J64:V68 J63:W63 H61:I68 H95:V104 H94:M94 N109:V110 J147:V147 G160:G163 N172:V175 I174:M174 I173:M173 I172:M172 I175:M175 H172:H175 H185:V187 H177:K177 H178:K182 G200 H200:M200 G194:V197 N200:V200 G206:H211 H216:H220 I215:W220 P214:W214 G214:O214 P213:W213 G213:N213 H426:I427 G229:G230 H162:Q162 U162:V162 H266:W266 H370:V376 G369:G376 G377:V381 I13:V14 H17:T26 H14:H16 K27:U27 J128:V129 H144:W146 L153:W153 H160:W161 L182 M177:W182 G176:W176 H163:V164 H166:V171 H165:W165 G222 G201:V203 I206:W212 H329:P329 H403:V403 F417:G422 H413:W422 F437:G437 G434:V434 W481:W482 H481:V511 H512:I513 K512:K513 U512:U513 S512:S513 Q512:Q513 O512:O513 M512:M513 W518 H518:V535 L340:V340 G596:V596 G615:V615 G457:V458 L205:O205 H143:I143 H139:I139 K139:U139 H140:U142 L143:W143 V139:W142 I410:V410 G383:V384 G382:K382 G232:G234 H436:V439 G435:Q435 G242:G245 G389:V389 G273:G277 H273:V285 H287:V288 G271:V272 H536:V536 H258:W258 G183:M183 N183:W184 H253:V256 I126:K127 O126 Q126 S126 U126 J53:V62 W222 H221:V222 M126:M127 G267:V267 H223:I223 O223 Q223 S223 U223 M223 K223 H240:W252 H224:W234 G269:J270 K268:V270 L352:V369 L342:V349 L341:U341 H305:V311 H538:V555 G537:O537 G619:V619 F624:T624 G623:T623 L351:U351 N402:V402 G351 H351:K357 G386:V387 G388:V388 R154:W154 G199:V199 G198:Q198 G633:H633 J124:V124 H451:W451 H290:V304 H289:I289 J289:W289 H312:J312 K312:V312 K313:V314 H401:V401 F400:V400 F401:G401 G390:V391 H392:V392 F390:F391 F393:V394 F392:G392 J625:U625 I633:T633 L628:T628 I629:T629 I630:T630 I628 I627:T627 I631:T632 I634:T635 I626:T626 J628:K628" formula="1"/>
    <ignoredError sqref="G342 G548 G519" evalError="1"/>
    <ignoredError sqref="H342:J342" evalError="1" formula="1"/>
  </ignoredErrors>
  <drawing r:id="rId564"/>
  <legacyDrawing r:id="rId5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2024-09-16T17:10:56Z</cp:lastPrinted>
  <dcterms:created xsi:type="dcterms:W3CDTF">2003-01-03T20:20:32Z</dcterms:created>
  <dcterms:modified xsi:type="dcterms:W3CDTF">2024-09-16T19:36:10Z</dcterms:modified>
</cp:coreProperties>
</file>