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G:\Mi unidad\Listas Merchandising 2024\Lista en preparacion\"/>
    </mc:Choice>
  </mc:AlternateContent>
  <bookViews>
    <workbookView xWindow="0" yWindow="0" windowWidth="11265" windowHeight="8085"/>
  </bookViews>
  <sheets>
    <sheet name="Artículos Publicitarios" sheetId="1" r:id="rId1"/>
    <sheet name="Hoja1" sheetId="2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V636" i="1" l="1"/>
  <c r="W636" i="1" s="1"/>
  <c r="T636" i="1"/>
  <c r="U636" i="1" s="1"/>
  <c r="S636" i="1"/>
  <c r="R636" i="1"/>
  <c r="P636" i="1"/>
  <c r="Q636" i="1" s="1"/>
  <c r="N636" i="1"/>
  <c r="O636" i="1" s="1"/>
  <c r="L636" i="1"/>
  <c r="M636" i="1" s="1"/>
  <c r="J636" i="1"/>
  <c r="K636" i="1" s="1"/>
  <c r="V635" i="1"/>
  <c r="W635" i="1" s="1"/>
  <c r="T635" i="1"/>
  <c r="U635" i="1" s="1"/>
  <c r="S635" i="1"/>
  <c r="R635" i="1"/>
  <c r="P635" i="1"/>
  <c r="Q635" i="1" s="1"/>
  <c r="O635" i="1"/>
  <c r="N635" i="1"/>
  <c r="L635" i="1"/>
  <c r="M635" i="1" s="1"/>
  <c r="J635" i="1"/>
  <c r="K635" i="1" s="1"/>
  <c r="V634" i="1"/>
  <c r="T634" i="1"/>
  <c r="R634" i="1"/>
  <c r="P634" i="1"/>
  <c r="N634" i="1"/>
  <c r="L634" i="1"/>
  <c r="J634" i="1"/>
  <c r="L613" i="1"/>
  <c r="N613" i="1"/>
  <c r="P613" i="1"/>
  <c r="R613" i="1"/>
  <c r="T613" i="1"/>
  <c r="V613" i="1"/>
  <c r="F253" i="1" l="1"/>
  <c r="J253" i="1" s="1"/>
  <c r="K253" i="1" s="1"/>
  <c r="T253" i="1" l="1"/>
  <c r="U253" i="1" s="1"/>
  <c r="N253" i="1"/>
  <c r="O253" i="1" s="1"/>
  <c r="P253" i="1"/>
  <c r="Q253" i="1" s="1"/>
  <c r="L253" i="1"/>
  <c r="M253" i="1" s="1"/>
  <c r="V253" i="1"/>
  <c r="W253" i="1" s="1"/>
  <c r="R253" i="1"/>
  <c r="S253" i="1" s="1"/>
  <c r="G253" i="1"/>
  <c r="H253" i="1"/>
  <c r="I253" i="1" s="1"/>
  <c r="F453" i="1"/>
  <c r="T416" i="1"/>
  <c r="R416" i="1"/>
  <c r="P416" i="1"/>
  <c r="N416" i="1"/>
  <c r="L416" i="1"/>
  <c r="T417" i="1"/>
  <c r="R417" i="1"/>
  <c r="P417" i="1"/>
  <c r="N417" i="1"/>
  <c r="L417" i="1"/>
  <c r="J417" i="1"/>
  <c r="H417" i="1"/>
  <c r="F412" i="1" l="1"/>
  <c r="N412" i="1" s="1"/>
  <c r="O412" i="1" s="1"/>
  <c r="F391" i="1"/>
  <c r="P391" i="1" s="1"/>
  <c r="Q391" i="1" s="1"/>
  <c r="R412" i="1" l="1"/>
  <c r="S412" i="1" s="1"/>
  <c r="G412" i="1"/>
  <c r="H412" i="1"/>
  <c r="I412" i="1" s="1"/>
  <c r="T412" i="1"/>
  <c r="U412" i="1" s="1"/>
  <c r="J412" i="1"/>
  <c r="K412" i="1" s="1"/>
  <c r="V412" i="1"/>
  <c r="W412" i="1" s="1"/>
  <c r="L412" i="1"/>
  <c r="M412" i="1" s="1"/>
  <c r="P412" i="1"/>
  <c r="Q412" i="1" s="1"/>
  <c r="R391" i="1"/>
  <c r="S391" i="1" s="1"/>
  <c r="G391" i="1"/>
  <c r="T391" i="1"/>
  <c r="U391" i="1" s="1"/>
  <c r="V391" i="1"/>
  <c r="W391" i="1" s="1"/>
  <c r="L391" i="1"/>
  <c r="M391" i="1" s="1"/>
  <c r="H391" i="1"/>
  <c r="I391" i="1" s="1"/>
  <c r="J391" i="1"/>
  <c r="K391" i="1" s="1"/>
  <c r="N391" i="1"/>
  <c r="O391" i="1" s="1"/>
  <c r="F524" i="1"/>
  <c r="V524" i="1" s="1"/>
  <c r="W524" i="1" s="1"/>
  <c r="F229" i="1"/>
  <c r="P229" i="1" s="1"/>
  <c r="Q229" i="1" s="1"/>
  <c r="J458" i="1"/>
  <c r="K458" i="1" s="1"/>
  <c r="V458" i="1"/>
  <c r="W458" i="1" s="1"/>
  <c r="T458" i="1"/>
  <c r="U458" i="1" s="1"/>
  <c r="R458" i="1"/>
  <c r="S458" i="1" s="1"/>
  <c r="P458" i="1"/>
  <c r="Q458" i="1" s="1"/>
  <c r="N458" i="1"/>
  <c r="O458" i="1" s="1"/>
  <c r="L458" i="1"/>
  <c r="M458" i="1" s="1"/>
  <c r="G458" i="1"/>
  <c r="F392" i="1"/>
  <c r="V392" i="1" s="1"/>
  <c r="W392" i="1" s="1"/>
  <c r="V545" i="1"/>
  <c r="W545" i="1" s="1"/>
  <c r="T545" i="1"/>
  <c r="U545" i="1" s="1"/>
  <c r="R545" i="1"/>
  <c r="S545" i="1" s="1"/>
  <c r="P545" i="1"/>
  <c r="Q545" i="1" s="1"/>
  <c r="N545" i="1"/>
  <c r="O545" i="1" s="1"/>
  <c r="L545" i="1"/>
  <c r="M545" i="1" s="1"/>
  <c r="J545" i="1"/>
  <c r="K545" i="1" s="1"/>
  <c r="V532" i="1"/>
  <c r="W532" i="1" s="1"/>
  <c r="T532" i="1"/>
  <c r="U532" i="1" s="1"/>
  <c r="R532" i="1"/>
  <c r="S532" i="1" s="1"/>
  <c r="P532" i="1"/>
  <c r="Q532" i="1" s="1"/>
  <c r="N532" i="1"/>
  <c r="O532" i="1" s="1"/>
  <c r="L532" i="1"/>
  <c r="M532" i="1" s="1"/>
  <c r="J532" i="1"/>
  <c r="K532" i="1" s="1"/>
  <c r="V530" i="1"/>
  <c r="W530" i="1" s="1"/>
  <c r="T530" i="1"/>
  <c r="U530" i="1" s="1"/>
  <c r="R530" i="1"/>
  <c r="S530" i="1" s="1"/>
  <c r="P530" i="1"/>
  <c r="Q530" i="1" s="1"/>
  <c r="N530" i="1"/>
  <c r="O530" i="1" s="1"/>
  <c r="L530" i="1"/>
  <c r="M530" i="1" s="1"/>
  <c r="H528" i="1"/>
  <c r="I528" i="1" s="1"/>
  <c r="J528" i="1"/>
  <c r="K528" i="1" s="1"/>
  <c r="L528" i="1"/>
  <c r="M528" i="1" s="1"/>
  <c r="N528" i="1"/>
  <c r="O528" i="1" s="1"/>
  <c r="P528" i="1"/>
  <c r="Q528" i="1" s="1"/>
  <c r="R528" i="1"/>
  <c r="S528" i="1" s="1"/>
  <c r="T528" i="1"/>
  <c r="U528" i="1" s="1"/>
  <c r="V528" i="1"/>
  <c r="W528" i="1" s="1"/>
  <c r="V525" i="1"/>
  <c r="W525" i="1" s="1"/>
  <c r="T525" i="1"/>
  <c r="U525" i="1" s="1"/>
  <c r="R525" i="1"/>
  <c r="S525" i="1" s="1"/>
  <c r="P525" i="1"/>
  <c r="Q525" i="1" s="1"/>
  <c r="N525" i="1"/>
  <c r="O525" i="1" s="1"/>
  <c r="L525" i="1"/>
  <c r="M525" i="1" s="1"/>
  <c r="J525" i="1"/>
  <c r="K525" i="1" s="1"/>
  <c r="L507" i="1"/>
  <c r="M507" i="1" s="1"/>
  <c r="J507" i="1"/>
  <c r="K507" i="1" s="1"/>
  <c r="H506" i="1"/>
  <c r="I506" i="1" s="1"/>
  <c r="H507" i="1"/>
  <c r="N506" i="1"/>
  <c r="O506" i="1" s="1"/>
  <c r="L506" i="1"/>
  <c r="M506" i="1" s="1"/>
  <c r="J506" i="1"/>
  <c r="K506" i="1" s="1"/>
  <c r="V581" i="1"/>
  <c r="W581" i="1" s="1"/>
  <c r="T581" i="1"/>
  <c r="U581" i="1" s="1"/>
  <c r="R581" i="1"/>
  <c r="S581" i="1" s="1"/>
  <c r="P581" i="1"/>
  <c r="Q581" i="1" s="1"/>
  <c r="N581" i="1"/>
  <c r="O581" i="1" s="1"/>
  <c r="L581" i="1"/>
  <c r="M581" i="1" s="1"/>
  <c r="H583" i="1"/>
  <c r="I583" i="1" s="1"/>
  <c r="H584" i="1"/>
  <c r="I584" i="1" s="1"/>
  <c r="H585" i="1"/>
  <c r="I585" i="1" s="1"/>
  <c r="H586" i="1"/>
  <c r="I586" i="1" s="1"/>
  <c r="H587" i="1"/>
  <c r="I587" i="1" s="1"/>
  <c r="H588" i="1"/>
  <c r="I588" i="1" s="1"/>
  <c r="H582" i="1"/>
  <c r="V591" i="1"/>
  <c r="W591" i="1" s="1"/>
  <c r="T591" i="1"/>
  <c r="U591" i="1" s="1"/>
  <c r="R591" i="1"/>
  <c r="S591" i="1" s="1"/>
  <c r="P591" i="1"/>
  <c r="Q591" i="1" s="1"/>
  <c r="N591" i="1"/>
  <c r="O591" i="1" s="1"/>
  <c r="L591" i="1"/>
  <c r="M591" i="1" s="1"/>
  <c r="J591" i="1"/>
  <c r="K591" i="1" s="1"/>
  <c r="V590" i="1"/>
  <c r="W590" i="1" s="1"/>
  <c r="T590" i="1"/>
  <c r="U590" i="1" s="1"/>
  <c r="R590" i="1"/>
  <c r="S590" i="1" s="1"/>
  <c r="P590" i="1"/>
  <c r="Q590" i="1" s="1"/>
  <c r="N590" i="1"/>
  <c r="O590" i="1" s="1"/>
  <c r="L590" i="1"/>
  <c r="M590" i="1" s="1"/>
  <c r="J590" i="1"/>
  <c r="K590" i="1" s="1"/>
  <c r="V589" i="1"/>
  <c r="W589" i="1" s="1"/>
  <c r="T589" i="1"/>
  <c r="U589" i="1" s="1"/>
  <c r="R589" i="1"/>
  <c r="S589" i="1" s="1"/>
  <c r="P589" i="1"/>
  <c r="Q589" i="1" s="1"/>
  <c r="N589" i="1"/>
  <c r="O589" i="1" s="1"/>
  <c r="L589" i="1"/>
  <c r="M589" i="1" s="1"/>
  <c r="J589" i="1"/>
  <c r="K589" i="1" s="1"/>
  <c r="V588" i="1"/>
  <c r="W588" i="1" s="1"/>
  <c r="T588" i="1"/>
  <c r="U588" i="1" s="1"/>
  <c r="R588" i="1"/>
  <c r="S588" i="1" s="1"/>
  <c r="P588" i="1"/>
  <c r="Q588" i="1" s="1"/>
  <c r="N588" i="1"/>
  <c r="O588" i="1" s="1"/>
  <c r="L588" i="1"/>
  <c r="M588" i="1" s="1"/>
  <c r="J588" i="1"/>
  <c r="K588" i="1" s="1"/>
  <c r="V587" i="1"/>
  <c r="W587" i="1" s="1"/>
  <c r="T587" i="1"/>
  <c r="U587" i="1" s="1"/>
  <c r="R587" i="1"/>
  <c r="S587" i="1" s="1"/>
  <c r="P587" i="1"/>
  <c r="Q587" i="1" s="1"/>
  <c r="N587" i="1"/>
  <c r="O587" i="1" s="1"/>
  <c r="L587" i="1"/>
  <c r="M587" i="1" s="1"/>
  <c r="J587" i="1"/>
  <c r="K587" i="1" s="1"/>
  <c r="V586" i="1"/>
  <c r="W586" i="1" s="1"/>
  <c r="T586" i="1"/>
  <c r="U586" i="1" s="1"/>
  <c r="R586" i="1"/>
  <c r="S586" i="1" s="1"/>
  <c r="P586" i="1"/>
  <c r="Q586" i="1" s="1"/>
  <c r="N586" i="1"/>
  <c r="O586" i="1" s="1"/>
  <c r="L586" i="1"/>
  <c r="M586" i="1" s="1"/>
  <c r="J586" i="1"/>
  <c r="K586" i="1" s="1"/>
  <c r="V585" i="1"/>
  <c r="W585" i="1" s="1"/>
  <c r="T585" i="1"/>
  <c r="U585" i="1" s="1"/>
  <c r="R585" i="1"/>
  <c r="S585" i="1" s="1"/>
  <c r="P585" i="1"/>
  <c r="Q585" i="1" s="1"/>
  <c r="N585" i="1"/>
  <c r="O585" i="1" s="1"/>
  <c r="L585" i="1"/>
  <c r="M585" i="1" s="1"/>
  <c r="J585" i="1"/>
  <c r="K585" i="1" s="1"/>
  <c r="V584" i="1"/>
  <c r="W584" i="1" s="1"/>
  <c r="T584" i="1"/>
  <c r="U584" i="1" s="1"/>
  <c r="R584" i="1"/>
  <c r="S584" i="1" s="1"/>
  <c r="P584" i="1"/>
  <c r="Q584" i="1" s="1"/>
  <c r="N584" i="1"/>
  <c r="O584" i="1" s="1"/>
  <c r="L584" i="1"/>
  <c r="M584" i="1" s="1"/>
  <c r="J584" i="1"/>
  <c r="K584" i="1" s="1"/>
  <c r="V583" i="1"/>
  <c r="W583" i="1" s="1"/>
  <c r="T583" i="1"/>
  <c r="U583" i="1" s="1"/>
  <c r="R583" i="1"/>
  <c r="S583" i="1" s="1"/>
  <c r="P583" i="1"/>
  <c r="Q583" i="1" s="1"/>
  <c r="N583" i="1"/>
  <c r="O583" i="1" s="1"/>
  <c r="L583" i="1"/>
  <c r="M583" i="1" s="1"/>
  <c r="J583" i="1"/>
  <c r="K583" i="1" s="1"/>
  <c r="V582" i="1"/>
  <c r="W582" i="1" s="1"/>
  <c r="T582" i="1"/>
  <c r="U582" i="1" s="1"/>
  <c r="R582" i="1"/>
  <c r="S582" i="1" s="1"/>
  <c r="P582" i="1"/>
  <c r="Q582" i="1" s="1"/>
  <c r="N582" i="1"/>
  <c r="O582" i="1" s="1"/>
  <c r="L582" i="1"/>
  <c r="M582" i="1" s="1"/>
  <c r="J582" i="1"/>
  <c r="K582" i="1" s="1"/>
  <c r="V580" i="1"/>
  <c r="T580" i="1"/>
  <c r="R580" i="1"/>
  <c r="P580" i="1"/>
  <c r="N580" i="1"/>
  <c r="L580" i="1"/>
  <c r="J580" i="1"/>
  <c r="V470" i="1"/>
  <c r="W470" i="1" s="1"/>
  <c r="T470" i="1"/>
  <c r="U470" i="1" s="1"/>
  <c r="R470" i="1"/>
  <c r="S470" i="1" s="1"/>
  <c r="P470" i="1"/>
  <c r="Q470" i="1" s="1"/>
  <c r="N470" i="1"/>
  <c r="O470" i="1" s="1"/>
  <c r="L470" i="1"/>
  <c r="M470" i="1" s="1"/>
  <c r="J470" i="1"/>
  <c r="K470" i="1" s="1"/>
  <c r="H470" i="1"/>
  <c r="I470" i="1" s="1"/>
  <c r="V469" i="1"/>
  <c r="W469" i="1" s="1"/>
  <c r="T469" i="1"/>
  <c r="U469" i="1" s="1"/>
  <c r="R469" i="1"/>
  <c r="S469" i="1" s="1"/>
  <c r="P469" i="1"/>
  <c r="Q469" i="1" s="1"/>
  <c r="N469" i="1"/>
  <c r="O469" i="1" s="1"/>
  <c r="L469" i="1"/>
  <c r="M469" i="1" s="1"/>
  <c r="J469" i="1"/>
  <c r="K469" i="1" s="1"/>
  <c r="H469" i="1"/>
  <c r="I469" i="1" s="1"/>
  <c r="H468" i="1"/>
  <c r="H467" i="1"/>
  <c r="J468" i="1"/>
  <c r="J467" i="1"/>
  <c r="V468" i="1"/>
  <c r="W468" i="1" s="1"/>
  <c r="T468" i="1"/>
  <c r="U468" i="1" s="1"/>
  <c r="R468" i="1"/>
  <c r="S468" i="1" s="1"/>
  <c r="P468" i="1"/>
  <c r="Q468" i="1" s="1"/>
  <c r="N468" i="1"/>
  <c r="O468" i="1" s="1"/>
  <c r="L468" i="1"/>
  <c r="M468" i="1" s="1"/>
  <c r="V467" i="1"/>
  <c r="W467" i="1" s="1"/>
  <c r="T467" i="1"/>
  <c r="U467" i="1" s="1"/>
  <c r="R467" i="1"/>
  <c r="S467" i="1" s="1"/>
  <c r="P467" i="1"/>
  <c r="Q467" i="1" s="1"/>
  <c r="N467" i="1"/>
  <c r="O467" i="1" s="1"/>
  <c r="L467" i="1"/>
  <c r="M467" i="1" s="1"/>
  <c r="V466" i="1"/>
  <c r="W466" i="1" s="1"/>
  <c r="T466" i="1"/>
  <c r="U466" i="1" s="1"/>
  <c r="R466" i="1"/>
  <c r="S466" i="1" s="1"/>
  <c r="P466" i="1"/>
  <c r="Q466" i="1" s="1"/>
  <c r="N466" i="1"/>
  <c r="O466" i="1" s="1"/>
  <c r="L466" i="1"/>
  <c r="M466" i="1" s="1"/>
  <c r="J466" i="1"/>
  <c r="K466" i="1" s="1"/>
  <c r="H466" i="1"/>
  <c r="I466" i="1" s="1"/>
  <c r="V465" i="1"/>
  <c r="W465" i="1" s="1"/>
  <c r="T465" i="1"/>
  <c r="U465" i="1" s="1"/>
  <c r="R465" i="1"/>
  <c r="S465" i="1" s="1"/>
  <c r="P465" i="1"/>
  <c r="Q465" i="1" s="1"/>
  <c r="N465" i="1"/>
  <c r="O465" i="1" s="1"/>
  <c r="L465" i="1"/>
  <c r="M465" i="1" s="1"/>
  <c r="J465" i="1"/>
  <c r="K465" i="1" s="1"/>
  <c r="H465" i="1"/>
  <c r="I465" i="1" s="1"/>
  <c r="V464" i="1"/>
  <c r="W464" i="1" s="1"/>
  <c r="T464" i="1"/>
  <c r="U464" i="1" s="1"/>
  <c r="R464" i="1"/>
  <c r="S464" i="1" s="1"/>
  <c r="P464" i="1"/>
  <c r="Q464" i="1" s="1"/>
  <c r="N464" i="1"/>
  <c r="O464" i="1" s="1"/>
  <c r="L464" i="1"/>
  <c r="M464" i="1" s="1"/>
  <c r="J464" i="1"/>
  <c r="K464" i="1" s="1"/>
  <c r="H464" i="1"/>
  <c r="I464" i="1" s="1"/>
  <c r="V463" i="1"/>
  <c r="W463" i="1" s="1"/>
  <c r="T463" i="1"/>
  <c r="U463" i="1" s="1"/>
  <c r="R463" i="1"/>
  <c r="S463" i="1" s="1"/>
  <c r="P463" i="1"/>
  <c r="Q463" i="1" s="1"/>
  <c r="N463" i="1"/>
  <c r="O463" i="1" s="1"/>
  <c r="L463" i="1"/>
  <c r="M463" i="1" s="1"/>
  <c r="J463" i="1"/>
  <c r="K463" i="1" s="1"/>
  <c r="H463" i="1"/>
  <c r="I463" i="1" s="1"/>
  <c r="V462" i="1"/>
  <c r="W462" i="1" s="1"/>
  <c r="T462" i="1"/>
  <c r="U462" i="1" s="1"/>
  <c r="R462" i="1"/>
  <c r="S462" i="1" s="1"/>
  <c r="P462" i="1"/>
  <c r="Q462" i="1" s="1"/>
  <c r="N462" i="1"/>
  <c r="O462" i="1" s="1"/>
  <c r="L462" i="1"/>
  <c r="M462" i="1" s="1"/>
  <c r="J462" i="1"/>
  <c r="K462" i="1" s="1"/>
  <c r="H462" i="1"/>
  <c r="I462" i="1" s="1"/>
  <c r="J461" i="1"/>
  <c r="H461" i="1"/>
  <c r="L461" i="1"/>
  <c r="N461" i="1"/>
  <c r="P461" i="1"/>
  <c r="R461" i="1"/>
  <c r="T461" i="1"/>
  <c r="V461" i="1"/>
  <c r="V460" i="1"/>
  <c r="W460" i="1" s="1"/>
  <c r="T460" i="1"/>
  <c r="U460" i="1" s="1"/>
  <c r="R460" i="1"/>
  <c r="S460" i="1" s="1"/>
  <c r="P460" i="1"/>
  <c r="Q460" i="1" s="1"/>
  <c r="N460" i="1"/>
  <c r="O460" i="1" s="1"/>
  <c r="L460" i="1"/>
  <c r="M460" i="1" s="1"/>
  <c r="V459" i="1"/>
  <c r="W459" i="1" s="1"/>
  <c r="T459" i="1"/>
  <c r="U459" i="1" s="1"/>
  <c r="R459" i="1"/>
  <c r="S459" i="1" s="1"/>
  <c r="P459" i="1"/>
  <c r="Q459" i="1" s="1"/>
  <c r="N459" i="1"/>
  <c r="O459" i="1" s="1"/>
  <c r="L459" i="1"/>
  <c r="M459" i="1" s="1"/>
  <c r="V457" i="1"/>
  <c r="W457" i="1" s="1"/>
  <c r="T457" i="1"/>
  <c r="U457" i="1" s="1"/>
  <c r="R457" i="1"/>
  <c r="S457" i="1" s="1"/>
  <c r="P457" i="1"/>
  <c r="Q457" i="1" s="1"/>
  <c r="N457" i="1"/>
  <c r="O457" i="1" s="1"/>
  <c r="L457" i="1"/>
  <c r="M457" i="1" s="1"/>
  <c r="V456" i="1"/>
  <c r="W456" i="1" s="1"/>
  <c r="T456" i="1"/>
  <c r="U456" i="1" s="1"/>
  <c r="R456" i="1"/>
  <c r="S456" i="1" s="1"/>
  <c r="P456" i="1"/>
  <c r="Q456" i="1" s="1"/>
  <c r="N456" i="1"/>
  <c r="O456" i="1" s="1"/>
  <c r="L456" i="1"/>
  <c r="M456" i="1" s="1"/>
  <c r="V455" i="1"/>
  <c r="W455" i="1" s="1"/>
  <c r="T455" i="1"/>
  <c r="U455" i="1" s="1"/>
  <c r="R455" i="1"/>
  <c r="S455" i="1" s="1"/>
  <c r="P455" i="1"/>
  <c r="Q455" i="1" s="1"/>
  <c r="N455" i="1"/>
  <c r="O455" i="1" s="1"/>
  <c r="L455" i="1"/>
  <c r="M455" i="1" s="1"/>
  <c r="L454" i="1"/>
  <c r="N454" i="1"/>
  <c r="P454" i="1"/>
  <c r="R454" i="1"/>
  <c r="T454" i="1"/>
  <c r="V454" i="1"/>
  <c r="J452" i="1"/>
  <c r="K452" i="1" s="1"/>
  <c r="H452" i="1"/>
  <c r="I452" i="1" s="1"/>
  <c r="V450" i="1"/>
  <c r="W450" i="1" s="1"/>
  <c r="T450" i="1"/>
  <c r="U450" i="1" s="1"/>
  <c r="R450" i="1"/>
  <c r="S450" i="1" s="1"/>
  <c r="P450" i="1"/>
  <c r="Q450" i="1" s="1"/>
  <c r="N450" i="1"/>
  <c r="O450" i="1" s="1"/>
  <c r="L450" i="1"/>
  <c r="M450" i="1" s="1"/>
  <c r="J450" i="1"/>
  <c r="K450" i="1" s="1"/>
  <c r="H450" i="1"/>
  <c r="I450" i="1" s="1"/>
  <c r="F429" i="1"/>
  <c r="H429" i="1" s="1"/>
  <c r="F430" i="1"/>
  <c r="P430" i="1" s="1"/>
  <c r="Q430" i="1" s="1"/>
  <c r="L524" i="1" l="1"/>
  <c r="M524" i="1" s="1"/>
  <c r="N524" i="1"/>
  <c r="O524" i="1" s="1"/>
  <c r="P524" i="1"/>
  <c r="Q524" i="1" s="1"/>
  <c r="T524" i="1"/>
  <c r="U524" i="1" s="1"/>
  <c r="G524" i="1"/>
  <c r="J524" i="1"/>
  <c r="K524" i="1" s="1"/>
  <c r="R524" i="1"/>
  <c r="S524" i="1" s="1"/>
  <c r="P429" i="1"/>
  <c r="Q429" i="1" s="1"/>
  <c r="R430" i="1"/>
  <c r="S430" i="1" s="1"/>
  <c r="H430" i="1"/>
  <c r="I430" i="1" s="1"/>
  <c r="L429" i="1"/>
  <c r="M429" i="1" s="1"/>
  <c r="N229" i="1"/>
  <c r="O229" i="1" s="1"/>
  <c r="R229" i="1"/>
  <c r="S229" i="1" s="1"/>
  <c r="G229" i="1"/>
  <c r="H229" i="1"/>
  <c r="I229" i="1" s="1"/>
  <c r="T229" i="1"/>
  <c r="U229" i="1" s="1"/>
  <c r="J229" i="1"/>
  <c r="K229" i="1" s="1"/>
  <c r="V229" i="1"/>
  <c r="W229" i="1" s="1"/>
  <c r="L229" i="1"/>
  <c r="M229" i="1" s="1"/>
  <c r="N429" i="1"/>
  <c r="O429" i="1" s="1"/>
  <c r="T430" i="1"/>
  <c r="U430" i="1" s="1"/>
  <c r="V429" i="1"/>
  <c r="W429" i="1" s="1"/>
  <c r="T429" i="1"/>
  <c r="U429" i="1" s="1"/>
  <c r="V430" i="1"/>
  <c r="W430" i="1" s="1"/>
  <c r="R429" i="1"/>
  <c r="S429" i="1" s="1"/>
  <c r="J392" i="1"/>
  <c r="K392" i="1" s="1"/>
  <c r="H392" i="1"/>
  <c r="I392" i="1" s="1"/>
  <c r="L392" i="1"/>
  <c r="M392" i="1" s="1"/>
  <c r="N392" i="1"/>
  <c r="O392" i="1" s="1"/>
  <c r="J430" i="1"/>
  <c r="K430" i="1" s="1"/>
  <c r="P392" i="1"/>
  <c r="Q392" i="1" s="1"/>
  <c r="L430" i="1"/>
  <c r="M430" i="1" s="1"/>
  <c r="R392" i="1"/>
  <c r="S392" i="1" s="1"/>
  <c r="J429" i="1"/>
  <c r="K429" i="1" s="1"/>
  <c r="N430" i="1"/>
  <c r="O430" i="1" s="1"/>
  <c r="T392" i="1"/>
  <c r="U392" i="1" s="1"/>
  <c r="G392" i="1"/>
  <c r="G429" i="1"/>
  <c r="I429" i="1"/>
  <c r="G430" i="1"/>
  <c r="F436" i="1"/>
  <c r="P436" i="1" s="1"/>
  <c r="F165" i="1"/>
  <c r="V165" i="1" s="1"/>
  <c r="W165" i="1" s="1"/>
  <c r="J436" i="1" l="1"/>
  <c r="K436" i="1" s="1"/>
  <c r="L436" i="1"/>
  <c r="M436" i="1" s="1"/>
  <c r="N436" i="1"/>
  <c r="O436" i="1" s="1"/>
  <c r="V436" i="1"/>
  <c r="W436" i="1" s="1"/>
  <c r="T436" i="1"/>
  <c r="U436" i="1" s="1"/>
  <c r="R436" i="1"/>
  <c r="S436" i="1" s="1"/>
  <c r="T165" i="1"/>
  <c r="U165" i="1" s="1"/>
  <c r="J165" i="1"/>
  <c r="K165" i="1" s="1"/>
  <c r="L165" i="1"/>
  <c r="M165" i="1" s="1"/>
  <c r="G165" i="1"/>
  <c r="N165" i="1"/>
  <c r="O165" i="1" s="1"/>
  <c r="P165" i="1"/>
  <c r="Q165" i="1" s="1"/>
  <c r="R165" i="1"/>
  <c r="S165" i="1" s="1"/>
  <c r="H165" i="1"/>
  <c r="I165" i="1" s="1"/>
  <c r="Q436" i="1"/>
  <c r="G436" i="1"/>
  <c r="F241" i="1"/>
  <c r="L241" i="1" s="1"/>
  <c r="M241" i="1" s="1"/>
  <c r="F14" i="1"/>
  <c r="N241" i="1" l="1"/>
  <c r="O241" i="1" s="1"/>
  <c r="P241" i="1"/>
  <c r="Q241" i="1" s="1"/>
  <c r="V241" i="1"/>
  <c r="W241" i="1" s="1"/>
  <c r="T241" i="1"/>
  <c r="U241" i="1" s="1"/>
  <c r="J241" i="1"/>
  <c r="K241" i="1" s="1"/>
  <c r="R241" i="1"/>
  <c r="S241" i="1" s="1"/>
  <c r="G241" i="1"/>
  <c r="H241" i="1"/>
  <c r="I241" i="1" s="1"/>
  <c r="F348" i="1"/>
  <c r="R348" i="1" s="1"/>
  <c r="S348" i="1" s="1"/>
  <c r="T348" i="1" l="1"/>
  <c r="U348" i="1" s="1"/>
  <c r="V348" i="1"/>
  <c r="W348" i="1" s="1"/>
  <c r="G348" i="1"/>
  <c r="N348" i="1"/>
  <c r="O348" i="1" s="1"/>
  <c r="P348" i="1"/>
  <c r="Q348" i="1" s="1"/>
  <c r="F381" i="1"/>
  <c r="F380" i="1"/>
  <c r="F373" i="1"/>
  <c r="F370" i="1"/>
  <c r="F368" i="1"/>
  <c r="F362" i="1"/>
  <c r="F359" i="1"/>
  <c r="F355" i="1"/>
  <c r="F340" i="1"/>
  <c r="F338" i="1"/>
  <c r="F555" i="1"/>
  <c r="N555" i="1" l="1"/>
  <c r="O555" i="1" s="1"/>
  <c r="P555" i="1"/>
  <c r="Q555" i="1" s="1"/>
  <c r="R555" i="1"/>
  <c r="S555" i="1" s="1"/>
  <c r="T555" i="1"/>
  <c r="U555" i="1" s="1"/>
  <c r="H555" i="1"/>
  <c r="I555" i="1" s="1"/>
  <c r="J555" i="1"/>
  <c r="K555" i="1" s="1"/>
  <c r="L555" i="1"/>
  <c r="M555" i="1" s="1"/>
  <c r="V555" i="1"/>
  <c r="W555" i="1" s="1"/>
  <c r="G555" i="1"/>
  <c r="F531" i="1"/>
  <c r="F534" i="1"/>
  <c r="F527" i="1"/>
  <c r="F529" i="1"/>
  <c r="F536" i="1"/>
  <c r="F537" i="1"/>
  <c r="F547" i="1"/>
  <c r="F572" i="1"/>
  <c r="F566" i="1"/>
  <c r="F565" i="1"/>
  <c r="F553" i="1"/>
  <c r="F538" i="1"/>
  <c r="F549" i="1"/>
  <c r="N527" i="1" l="1"/>
  <c r="O527" i="1" s="1"/>
  <c r="P527" i="1"/>
  <c r="Q527" i="1" s="1"/>
  <c r="R527" i="1"/>
  <c r="S527" i="1" s="1"/>
  <c r="T527" i="1"/>
  <c r="U527" i="1" s="1"/>
  <c r="V527" i="1"/>
  <c r="W527" i="1" s="1"/>
  <c r="H527" i="1"/>
  <c r="I527" i="1" s="1"/>
  <c r="J527" i="1"/>
  <c r="K527" i="1" s="1"/>
  <c r="L527" i="1"/>
  <c r="M527" i="1" s="1"/>
  <c r="P538" i="1"/>
  <c r="Q538" i="1" s="1"/>
  <c r="R538" i="1"/>
  <c r="S538" i="1" s="1"/>
  <c r="T538" i="1"/>
  <c r="U538" i="1" s="1"/>
  <c r="V538" i="1"/>
  <c r="W538" i="1" s="1"/>
  <c r="H538" i="1"/>
  <c r="I538" i="1" s="1"/>
  <c r="J538" i="1"/>
  <c r="K538" i="1" s="1"/>
  <c r="L538" i="1"/>
  <c r="M538" i="1" s="1"/>
  <c r="N538" i="1"/>
  <c r="O538" i="1" s="1"/>
  <c r="H566" i="1"/>
  <c r="I566" i="1" s="1"/>
  <c r="V566" i="1"/>
  <c r="W566" i="1" s="1"/>
  <c r="T566" i="1"/>
  <c r="U566" i="1" s="1"/>
  <c r="R566" i="1"/>
  <c r="S566" i="1" s="1"/>
  <c r="P566" i="1"/>
  <c r="Q566" i="1" s="1"/>
  <c r="N566" i="1"/>
  <c r="O566" i="1" s="1"/>
  <c r="L566" i="1"/>
  <c r="M566" i="1" s="1"/>
  <c r="J566" i="1"/>
  <c r="K566" i="1" s="1"/>
  <c r="N549" i="1"/>
  <c r="O549" i="1" s="1"/>
  <c r="P549" i="1"/>
  <c r="Q549" i="1" s="1"/>
  <c r="R549" i="1"/>
  <c r="S549" i="1" s="1"/>
  <c r="T549" i="1"/>
  <c r="U549" i="1" s="1"/>
  <c r="H549" i="1"/>
  <c r="I549" i="1" s="1"/>
  <c r="J549" i="1"/>
  <c r="K549" i="1" s="1"/>
  <c r="L549" i="1"/>
  <c r="M549" i="1" s="1"/>
  <c r="V549" i="1"/>
  <c r="W549" i="1" s="1"/>
  <c r="H531" i="1"/>
  <c r="I531" i="1" s="1"/>
  <c r="V531" i="1"/>
  <c r="W531" i="1" s="1"/>
  <c r="T531" i="1"/>
  <c r="U531" i="1" s="1"/>
  <c r="R531" i="1"/>
  <c r="S531" i="1" s="1"/>
  <c r="P531" i="1"/>
  <c r="Q531" i="1" s="1"/>
  <c r="N531" i="1"/>
  <c r="O531" i="1" s="1"/>
  <c r="L531" i="1"/>
  <c r="M531" i="1" s="1"/>
  <c r="J531" i="1"/>
  <c r="K531" i="1" s="1"/>
  <c r="G553" i="1"/>
  <c r="N553" i="1"/>
  <c r="O553" i="1" s="1"/>
  <c r="P553" i="1"/>
  <c r="Q553" i="1" s="1"/>
  <c r="R553" i="1"/>
  <c r="S553" i="1" s="1"/>
  <c r="T553" i="1"/>
  <c r="U553" i="1" s="1"/>
  <c r="H553" i="1"/>
  <c r="I553" i="1" s="1"/>
  <c r="J553" i="1"/>
  <c r="K553" i="1" s="1"/>
  <c r="L553" i="1"/>
  <c r="M553" i="1" s="1"/>
  <c r="V553" i="1"/>
  <c r="W553" i="1" s="1"/>
  <c r="R536" i="1"/>
  <c r="S536" i="1" s="1"/>
  <c r="T536" i="1"/>
  <c r="U536" i="1" s="1"/>
  <c r="V536" i="1"/>
  <c r="W536" i="1" s="1"/>
  <c r="H536" i="1"/>
  <c r="I536" i="1" s="1"/>
  <c r="L536" i="1"/>
  <c r="M536" i="1" s="1"/>
  <c r="N536" i="1"/>
  <c r="O536" i="1" s="1"/>
  <c r="J536" i="1"/>
  <c r="K536" i="1" s="1"/>
  <c r="P536" i="1"/>
  <c r="Q536" i="1" s="1"/>
  <c r="T534" i="1"/>
  <c r="U534" i="1" s="1"/>
  <c r="V534" i="1"/>
  <c r="W534" i="1" s="1"/>
  <c r="H534" i="1"/>
  <c r="I534" i="1" s="1"/>
  <c r="J534" i="1"/>
  <c r="K534" i="1" s="1"/>
  <c r="L534" i="1"/>
  <c r="M534" i="1" s="1"/>
  <c r="N534" i="1"/>
  <c r="O534" i="1" s="1"/>
  <c r="P534" i="1"/>
  <c r="Q534" i="1" s="1"/>
  <c r="R534" i="1"/>
  <c r="S534" i="1" s="1"/>
  <c r="V565" i="1"/>
  <c r="W565" i="1" s="1"/>
  <c r="T565" i="1"/>
  <c r="U565" i="1" s="1"/>
  <c r="R565" i="1"/>
  <c r="S565" i="1" s="1"/>
  <c r="P565" i="1"/>
  <c r="Q565" i="1" s="1"/>
  <c r="N565" i="1"/>
  <c r="O565" i="1" s="1"/>
  <c r="L565" i="1"/>
  <c r="M565" i="1" s="1"/>
  <c r="J565" i="1"/>
  <c r="K565" i="1" s="1"/>
  <c r="H565" i="1"/>
  <c r="I565" i="1" s="1"/>
  <c r="L572" i="1"/>
  <c r="M572" i="1" s="1"/>
  <c r="J572" i="1"/>
  <c r="K572" i="1" s="1"/>
  <c r="H572" i="1"/>
  <c r="I572" i="1" s="1"/>
  <c r="V572" i="1"/>
  <c r="W572" i="1" s="1"/>
  <c r="T572" i="1"/>
  <c r="U572" i="1" s="1"/>
  <c r="R572" i="1"/>
  <c r="S572" i="1" s="1"/>
  <c r="N572" i="1"/>
  <c r="O572" i="1" s="1"/>
  <c r="P572" i="1"/>
  <c r="Q572" i="1" s="1"/>
  <c r="N547" i="1"/>
  <c r="O547" i="1" s="1"/>
  <c r="P547" i="1"/>
  <c r="Q547" i="1" s="1"/>
  <c r="R547" i="1"/>
  <c r="S547" i="1" s="1"/>
  <c r="T547" i="1"/>
  <c r="U547" i="1" s="1"/>
  <c r="H547" i="1"/>
  <c r="I547" i="1" s="1"/>
  <c r="J547" i="1"/>
  <c r="K547" i="1" s="1"/>
  <c r="L547" i="1"/>
  <c r="M547" i="1" s="1"/>
  <c r="V547" i="1"/>
  <c r="W547" i="1" s="1"/>
  <c r="P537" i="1"/>
  <c r="Q537" i="1" s="1"/>
  <c r="R537" i="1"/>
  <c r="S537" i="1" s="1"/>
  <c r="T537" i="1"/>
  <c r="U537" i="1" s="1"/>
  <c r="H537" i="1"/>
  <c r="I537" i="1" s="1"/>
  <c r="V537" i="1"/>
  <c r="W537" i="1" s="1"/>
  <c r="J537" i="1"/>
  <c r="K537" i="1" s="1"/>
  <c r="L537" i="1"/>
  <c r="M537" i="1" s="1"/>
  <c r="N537" i="1"/>
  <c r="O537" i="1" s="1"/>
  <c r="J529" i="1"/>
  <c r="K529" i="1" s="1"/>
  <c r="L529" i="1"/>
  <c r="M529" i="1" s="1"/>
  <c r="N529" i="1"/>
  <c r="O529" i="1" s="1"/>
  <c r="P529" i="1"/>
  <c r="Q529" i="1" s="1"/>
  <c r="R529" i="1"/>
  <c r="S529" i="1" s="1"/>
  <c r="T529" i="1"/>
  <c r="U529" i="1" s="1"/>
  <c r="V529" i="1"/>
  <c r="W529" i="1" s="1"/>
  <c r="H529" i="1"/>
  <c r="I529" i="1" s="1"/>
  <c r="G538" i="1"/>
  <c r="G534" i="1"/>
  <c r="G531" i="1"/>
  <c r="G549" i="1" l="1"/>
  <c r="F295" i="1" l="1"/>
  <c r="F280" i="1"/>
  <c r="F275" i="1"/>
  <c r="F274" i="1"/>
  <c r="F256" i="1"/>
  <c r="F262" i="1"/>
  <c r="F266" i="1"/>
  <c r="P266" i="1" s="1"/>
  <c r="Q266" i="1" s="1"/>
  <c r="F227" i="1"/>
  <c r="J227" i="1" s="1"/>
  <c r="K227" i="1" s="1"/>
  <c r="F258" i="1"/>
  <c r="F251" i="1"/>
  <c r="F250" i="1"/>
  <c r="F248" i="1"/>
  <c r="F246" i="1"/>
  <c r="F245" i="1"/>
  <c r="F244" i="1"/>
  <c r="F243" i="1"/>
  <c r="F240" i="1"/>
  <c r="F230" i="1"/>
  <c r="F223" i="1"/>
  <c r="F546" i="1"/>
  <c r="F220" i="1"/>
  <c r="F219" i="1"/>
  <c r="F214" i="1"/>
  <c r="F200" i="1"/>
  <c r="F198" i="1"/>
  <c r="F197" i="1"/>
  <c r="F188" i="1"/>
  <c r="F187" i="1"/>
  <c r="F167" i="1"/>
  <c r="F166" i="1"/>
  <c r="F163" i="1"/>
  <c r="F162" i="1"/>
  <c r="F161" i="1"/>
  <c r="V124" i="1"/>
  <c r="W124" i="1" s="1"/>
  <c r="T124" i="1"/>
  <c r="U124" i="1" s="1"/>
  <c r="R124" i="1"/>
  <c r="S124" i="1" s="1"/>
  <c r="P124" i="1"/>
  <c r="Q124" i="1" s="1"/>
  <c r="N124" i="1"/>
  <c r="O124" i="1" s="1"/>
  <c r="L124" i="1"/>
  <c r="M124" i="1" s="1"/>
  <c r="J124" i="1"/>
  <c r="K124" i="1" s="1"/>
  <c r="L94" i="1"/>
  <c r="J94" i="1"/>
  <c r="V104" i="1"/>
  <c r="W104" i="1" s="1"/>
  <c r="T104" i="1"/>
  <c r="U104" i="1" s="1"/>
  <c r="R104" i="1"/>
  <c r="S104" i="1" s="1"/>
  <c r="P104" i="1"/>
  <c r="Q104" i="1" s="1"/>
  <c r="N104" i="1"/>
  <c r="O104" i="1" s="1"/>
  <c r="L104" i="1"/>
  <c r="M104" i="1" s="1"/>
  <c r="J104" i="1"/>
  <c r="K104" i="1" s="1"/>
  <c r="F518" i="1"/>
  <c r="N546" i="1" l="1"/>
  <c r="O546" i="1" s="1"/>
  <c r="L546" i="1"/>
  <c r="M546" i="1" s="1"/>
  <c r="J546" i="1"/>
  <c r="K546" i="1" s="1"/>
  <c r="H546" i="1"/>
  <c r="I546" i="1" s="1"/>
  <c r="V546" i="1"/>
  <c r="W546" i="1" s="1"/>
  <c r="T546" i="1"/>
  <c r="U546" i="1" s="1"/>
  <c r="R546" i="1"/>
  <c r="S546" i="1" s="1"/>
  <c r="P546" i="1"/>
  <c r="Q546" i="1" s="1"/>
  <c r="V518" i="1"/>
  <c r="W518" i="1" s="1"/>
  <c r="T518" i="1"/>
  <c r="U518" i="1" s="1"/>
  <c r="N518" i="1"/>
  <c r="O518" i="1" s="1"/>
  <c r="P518" i="1"/>
  <c r="Q518" i="1" s="1"/>
  <c r="R518" i="1"/>
  <c r="S518" i="1" s="1"/>
  <c r="L518" i="1"/>
  <c r="M518" i="1" s="1"/>
  <c r="L266" i="1"/>
  <c r="M266" i="1" s="1"/>
  <c r="G266" i="1"/>
  <c r="H266" i="1"/>
  <c r="I266" i="1" s="1"/>
  <c r="T266" i="1"/>
  <c r="U266" i="1" s="1"/>
  <c r="J266" i="1"/>
  <c r="K266" i="1" s="1"/>
  <c r="V266" i="1"/>
  <c r="W266" i="1" s="1"/>
  <c r="R266" i="1"/>
  <c r="S266" i="1" s="1"/>
  <c r="N266" i="1"/>
  <c r="O266" i="1" s="1"/>
  <c r="G227" i="1"/>
  <c r="V227" i="1"/>
  <c r="W227" i="1" s="1"/>
  <c r="L227" i="1"/>
  <c r="M227" i="1" s="1"/>
  <c r="P227" i="1"/>
  <c r="Q227" i="1" s="1"/>
  <c r="T227" i="1"/>
  <c r="U227" i="1" s="1"/>
  <c r="N227" i="1"/>
  <c r="O227" i="1" s="1"/>
  <c r="R227" i="1"/>
  <c r="S227" i="1" s="1"/>
  <c r="H227" i="1"/>
  <c r="I227" i="1" s="1"/>
  <c r="G518" i="1"/>
  <c r="F361" i="1" l="1"/>
  <c r="P361" i="1" s="1"/>
  <c r="Q361" i="1" s="1"/>
  <c r="F129" i="1"/>
  <c r="F415" i="1"/>
  <c r="F404" i="1"/>
  <c r="F403" i="1"/>
  <c r="V361" i="1" l="1"/>
  <c r="W361" i="1" s="1"/>
  <c r="G361" i="1"/>
  <c r="L361" i="1"/>
  <c r="M361" i="1" s="1"/>
  <c r="R361" i="1"/>
  <c r="S361" i="1" s="1"/>
  <c r="T361" i="1"/>
  <c r="U361" i="1" s="1"/>
  <c r="N361" i="1"/>
  <c r="O361" i="1" s="1"/>
  <c r="F522" i="1" l="1"/>
  <c r="V522" i="1" l="1"/>
  <c r="W522" i="1" s="1"/>
  <c r="T522" i="1"/>
  <c r="U522" i="1" s="1"/>
  <c r="H522" i="1"/>
  <c r="R522" i="1"/>
  <c r="S522" i="1" s="1"/>
  <c r="P522" i="1"/>
  <c r="Q522" i="1" s="1"/>
  <c r="L522" i="1"/>
  <c r="M522" i="1" s="1"/>
  <c r="J522" i="1"/>
  <c r="N522" i="1"/>
  <c r="O522" i="1" s="1"/>
  <c r="F441" i="1"/>
  <c r="F351" i="1"/>
  <c r="F382" i="1"/>
  <c r="F344" i="1"/>
  <c r="F365" i="1"/>
  <c r="F302" i="1"/>
  <c r="F372" i="1"/>
  <c r="F402" i="1"/>
  <c r="F428" i="1"/>
  <c r="F427" i="1"/>
  <c r="F573" i="1"/>
  <c r="F574" i="1"/>
  <c r="F659" i="1"/>
  <c r="F658" i="1"/>
  <c r="F660" i="1"/>
  <c r="F657" i="1"/>
  <c r="W580" i="1"/>
  <c r="U580" i="1"/>
  <c r="S580" i="1"/>
  <c r="Q580" i="1"/>
  <c r="O580" i="1"/>
  <c r="M580" i="1"/>
  <c r="K580" i="1"/>
  <c r="F130" i="1"/>
  <c r="F147" i="1"/>
  <c r="R573" i="1" l="1"/>
  <c r="S573" i="1" s="1"/>
  <c r="P573" i="1"/>
  <c r="Q573" i="1" s="1"/>
  <c r="N573" i="1"/>
  <c r="O573" i="1" s="1"/>
  <c r="L573" i="1"/>
  <c r="M573" i="1" s="1"/>
  <c r="J573" i="1"/>
  <c r="K573" i="1" s="1"/>
  <c r="H573" i="1"/>
  <c r="I573" i="1" s="1"/>
  <c r="V573" i="1"/>
  <c r="W573" i="1" s="1"/>
  <c r="T573" i="1"/>
  <c r="U573" i="1" s="1"/>
  <c r="T574" i="1"/>
  <c r="U574" i="1" s="1"/>
  <c r="R574" i="1"/>
  <c r="S574" i="1" s="1"/>
  <c r="P574" i="1"/>
  <c r="Q574" i="1" s="1"/>
  <c r="N574" i="1"/>
  <c r="O574" i="1" s="1"/>
  <c r="L574" i="1"/>
  <c r="M574" i="1" s="1"/>
  <c r="J574" i="1"/>
  <c r="K574" i="1" s="1"/>
  <c r="H574" i="1"/>
  <c r="I574" i="1" s="1"/>
  <c r="V574" i="1"/>
  <c r="W574" i="1" s="1"/>
  <c r="N427" i="1"/>
  <c r="O427" i="1" s="1"/>
  <c r="L427" i="1"/>
  <c r="M427" i="1" s="1"/>
  <c r="J427" i="1"/>
  <c r="K427" i="1" s="1"/>
  <c r="H427" i="1"/>
  <c r="I427" i="1" s="1"/>
  <c r="V427" i="1"/>
  <c r="W427" i="1" s="1"/>
  <c r="T427" i="1"/>
  <c r="U427" i="1" s="1"/>
  <c r="R427" i="1"/>
  <c r="S427" i="1" s="1"/>
  <c r="P427" i="1"/>
  <c r="Q427" i="1" s="1"/>
  <c r="R428" i="1"/>
  <c r="S428" i="1" s="1"/>
  <c r="P428" i="1"/>
  <c r="Q428" i="1" s="1"/>
  <c r="J428" i="1"/>
  <c r="K428" i="1" s="1"/>
  <c r="N428" i="1"/>
  <c r="O428" i="1" s="1"/>
  <c r="L428" i="1"/>
  <c r="M428" i="1" s="1"/>
  <c r="V428" i="1"/>
  <c r="W428" i="1" s="1"/>
  <c r="T428" i="1"/>
  <c r="U428" i="1" s="1"/>
  <c r="H428" i="1"/>
  <c r="I428" i="1" s="1"/>
  <c r="F294" i="1"/>
  <c r="G294" i="1" s="1"/>
  <c r="F296" i="1"/>
  <c r="G296" i="1" s="1"/>
  <c r="V300" i="1"/>
  <c r="W300" i="1" s="1"/>
  <c r="T300" i="1"/>
  <c r="U300" i="1" s="1"/>
  <c r="R300" i="1"/>
  <c r="S300" i="1" s="1"/>
  <c r="P300" i="1"/>
  <c r="Q300" i="1" s="1"/>
  <c r="N300" i="1"/>
  <c r="O300" i="1" s="1"/>
  <c r="L300" i="1"/>
  <c r="M300" i="1" s="1"/>
  <c r="J300" i="1"/>
  <c r="K300" i="1" s="1"/>
  <c r="H300" i="1"/>
  <c r="I300" i="1" s="1"/>
  <c r="V299" i="1"/>
  <c r="W299" i="1" s="1"/>
  <c r="T299" i="1"/>
  <c r="U299" i="1" s="1"/>
  <c r="R299" i="1"/>
  <c r="S299" i="1" s="1"/>
  <c r="P299" i="1"/>
  <c r="Q299" i="1" s="1"/>
  <c r="N299" i="1"/>
  <c r="O299" i="1" s="1"/>
  <c r="L299" i="1"/>
  <c r="M299" i="1" s="1"/>
  <c r="J299" i="1"/>
  <c r="K299" i="1" s="1"/>
  <c r="H299" i="1"/>
  <c r="I299" i="1" s="1"/>
  <c r="V298" i="1"/>
  <c r="W298" i="1" s="1"/>
  <c r="T298" i="1"/>
  <c r="U298" i="1" s="1"/>
  <c r="R298" i="1"/>
  <c r="S298" i="1" s="1"/>
  <c r="P298" i="1"/>
  <c r="Q298" i="1" s="1"/>
  <c r="N298" i="1"/>
  <c r="O298" i="1" s="1"/>
  <c r="L298" i="1"/>
  <c r="M298" i="1" s="1"/>
  <c r="J298" i="1"/>
  <c r="K298" i="1" s="1"/>
  <c r="H298" i="1"/>
  <c r="I298" i="1" s="1"/>
  <c r="V293" i="1"/>
  <c r="W293" i="1" s="1"/>
  <c r="T293" i="1"/>
  <c r="U293" i="1" s="1"/>
  <c r="R293" i="1"/>
  <c r="S293" i="1" s="1"/>
  <c r="P293" i="1"/>
  <c r="Q293" i="1" s="1"/>
  <c r="N293" i="1"/>
  <c r="O293" i="1" s="1"/>
  <c r="L293" i="1"/>
  <c r="M293" i="1" s="1"/>
  <c r="J293" i="1"/>
  <c r="K293" i="1" s="1"/>
  <c r="H293" i="1"/>
  <c r="I293" i="1" s="1"/>
  <c r="V289" i="1"/>
  <c r="W289" i="1" s="1"/>
  <c r="T289" i="1"/>
  <c r="U289" i="1" s="1"/>
  <c r="R289" i="1"/>
  <c r="S289" i="1" s="1"/>
  <c r="P289" i="1"/>
  <c r="Q289" i="1" s="1"/>
  <c r="N289" i="1"/>
  <c r="O289" i="1" s="1"/>
  <c r="L289" i="1"/>
  <c r="M289" i="1" s="1"/>
  <c r="J289" i="1"/>
  <c r="K289" i="1" s="1"/>
  <c r="H289" i="1"/>
  <c r="I289" i="1" s="1"/>
  <c r="V288" i="1"/>
  <c r="W288" i="1" s="1"/>
  <c r="T288" i="1"/>
  <c r="U288" i="1" s="1"/>
  <c r="R288" i="1"/>
  <c r="S288" i="1" s="1"/>
  <c r="P288" i="1"/>
  <c r="Q288" i="1" s="1"/>
  <c r="N288" i="1"/>
  <c r="O288" i="1" s="1"/>
  <c r="L288" i="1"/>
  <c r="M288" i="1" s="1"/>
  <c r="J288" i="1"/>
  <c r="K288" i="1" s="1"/>
  <c r="H288" i="1"/>
  <c r="I288" i="1" s="1"/>
  <c r="V287" i="1"/>
  <c r="W287" i="1" s="1"/>
  <c r="T287" i="1"/>
  <c r="U287" i="1" s="1"/>
  <c r="R287" i="1"/>
  <c r="S287" i="1" s="1"/>
  <c r="P287" i="1"/>
  <c r="Q287" i="1" s="1"/>
  <c r="N287" i="1"/>
  <c r="O287" i="1" s="1"/>
  <c r="L287" i="1"/>
  <c r="M287" i="1" s="1"/>
  <c r="J287" i="1"/>
  <c r="K287" i="1" s="1"/>
  <c r="H287" i="1"/>
  <c r="I287" i="1" s="1"/>
  <c r="V286" i="1"/>
  <c r="W286" i="1" s="1"/>
  <c r="T286" i="1"/>
  <c r="U286" i="1" s="1"/>
  <c r="R286" i="1"/>
  <c r="S286" i="1" s="1"/>
  <c r="P286" i="1"/>
  <c r="Q286" i="1" s="1"/>
  <c r="N286" i="1"/>
  <c r="O286" i="1" s="1"/>
  <c r="L286" i="1"/>
  <c r="M286" i="1" s="1"/>
  <c r="J286" i="1"/>
  <c r="K286" i="1" s="1"/>
  <c r="H286" i="1"/>
  <c r="I286" i="1" s="1"/>
  <c r="V285" i="1"/>
  <c r="W285" i="1" s="1"/>
  <c r="T285" i="1"/>
  <c r="U285" i="1" s="1"/>
  <c r="R285" i="1"/>
  <c r="S285" i="1" s="1"/>
  <c r="P285" i="1"/>
  <c r="Q285" i="1" s="1"/>
  <c r="N285" i="1"/>
  <c r="O285" i="1" s="1"/>
  <c r="L285" i="1"/>
  <c r="M285" i="1" s="1"/>
  <c r="J285" i="1"/>
  <c r="K285" i="1" s="1"/>
  <c r="H285" i="1"/>
  <c r="I285" i="1" s="1"/>
  <c r="V284" i="1"/>
  <c r="W284" i="1" s="1"/>
  <c r="T284" i="1"/>
  <c r="U284" i="1" s="1"/>
  <c r="R284" i="1"/>
  <c r="S284" i="1" s="1"/>
  <c r="P284" i="1"/>
  <c r="Q284" i="1" s="1"/>
  <c r="N284" i="1"/>
  <c r="O284" i="1" s="1"/>
  <c r="L284" i="1"/>
  <c r="M284" i="1" s="1"/>
  <c r="J284" i="1"/>
  <c r="K284" i="1" s="1"/>
  <c r="H284" i="1"/>
  <c r="I284" i="1" s="1"/>
  <c r="V281" i="1"/>
  <c r="W281" i="1" s="1"/>
  <c r="T281" i="1"/>
  <c r="U281" i="1" s="1"/>
  <c r="R281" i="1"/>
  <c r="S281" i="1" s="1"/>
  <c r="P281" i="1"/>
  <c r="Q281" i="1" s="1"/>
  <c r="N281" i="1"/>
  <c r="O281" i="1" s="1"/>
  <c r="L281" i="1"/>
  <c r="M281" i="1" s="1"/>
  <c r="J281" i="1"/>
  <c r="K281" i="1" s="1"/>
  <c r="H281" i="1"/>
  <c r="I281" i="1" s="1"/>
  <c r="V278" i="1"/>
  <c r="W278" i="1" s="1"/>
  <c r="T278" i="1"/>
  <c r="U278" i="1" s="1"/>
  <c r="R278" i="1"/>
  <c r="S278" i="1" s="1"/>
  <c r="P278" i="1"/>
  <c r="Q278" i="1" s="1"/>
  <c r="N278" i="1"/>
  <c r="O278" i="1" s="1"/>
  <c r="L278" i="1"/>
  <c r="M278" i="1" s="1"/>
  <c r="V277" i="1"/>
  <c r="W277" i="1" s="1"/>
  <c r="T277" i="1"/>
  <c r="U277" i="1" s="1"/>
  <c r="R277" i="1"/>
  <c r="S277" i="1" s="1"/>
  <c r="P277" i="1"/>
  <c r="Q277" i="1" s="1"/>
  <c r="N277" i="1"/>
  <c r="O277" i="1" s="1"/>
  <c r="L277" i="1"/>
  <c r="M277" i="1" s="1"/>
  <c r="V276" i="1"/>
  <c r="W276" i="1" s="1"/>
  <c r="T276" i="1"/>
  <c r="U276" i="1" s="1"/>
  <c r="R276" i="1"/>
  <c r="S276" i="1" s="1"/>
  <c r="P276" i="1"/>
  <c r="Q276" i="1" s="1"/>
  <c r="N276" i="1"/>
  <c r="O276" i="1" s="1"/>
  <c r="L276" i="1"/>
  <c r="M276" i="1" s="1"/>
  <c r="V267" i="1"/>
  <c r="W267" i="1" s="1"/>
  <c r="T267" i="1"/>
  <c r="U267" i="1" s="1"/>
  <c r="R267" i="1"/>
  <c r="S267" i="1" s="1"/>
  <c r="P267" i="1"/>
  <c r="Q267" i="1" s="1"/>
  <c r="N267" i="1"/>
  <c r="O267" i="1" s="1"/>
  <c r="L267" i="1"/>
  <c r="M267" i="1" s="1"/>
  <c r="J267" i="1"/>
  <c r="K267" i="1" s="1"/>
  <c r="V228" i="1"/>
  <c r="W228" i="1" s="1"/>
  <c r="T228" i="1"/>
  <c r="U228" i="1" s="1"/>
  <c r="R228" i="1"/>
  <c r="S228" i="1" s="1"/>
  <c r="P228" i="1"/>
  <c r="Q228" i="1" s="1"/>
  <c r="N228" i="1"/>
  <c r="O228" i="1" s="1"/>
  <c r="L228" i="1"/>
  <c r="M228" i="1" s="1"/>
  <c r="J228" i="1"/>
  <c r="K228" i="1" s="1"/>
  <c r="H228" i="1"/>
  <c r="I228" i="1" s="1"/>
  <c r="V225" i="1"/>
  <c r="W225" i="1" s="1"/>
  <c r="T225" i="1"/>
  <c r="U225" i="1" s="1"/>
  <c r="R225" i="1"/>
  <c r="S225" i="1" s="1"/>
  <c r="P225" i="1"/>
  <c r="Q225" i="1" s="1"/>
  <c r="N225" i="1"/>
  <c r="O225" i="1" s="1"/>
  <c r="L225" i="1"/>
  <c r="M225" i="1" s="1"/>
  <c r="J225" i="1"/>
  <c r="K225" i="1" s="1"/>
  <c r="H225" i="1"/>
  <c r="I225" i="1" s="1"/>
  <c r="L224" i="1"/>
  <c r="J224" i="1"/>
  <c r="H224" i="1"/>
  <c r="N224" i="1"/>
  <c r="T224" i="1"/>
  <c r="R224" i="1"/>
  <c r="P224" i="1"/>
  <c r="V224" i="1"/>
  <c r="L216" i="1"/>
  <c r="N215" i="1"/>
  <c r="O215" i="1" s="1"/>
  <c r="L215" i="1"/>
  <c r="M215" i="1" s="1"/>
  <c r="J215" i="1"/>
  <c r="K215" i="1" s="1"/>
  <c r="V204" i="1"/>
  <c r="W204" i="1" s="1"/>
  <c r="T204" i="1"/>
  <c r="U204" i="1" s="1"/>
  <c r="V203" i="1"/>
  <c r="W203" i="1" s="1"/>
  <c r="T203" i="1"/>
  <c r="U203" i="1" s="1"/>
  <c r="V213" i="1"/>
  <c r="W213" i="1" s="1"/>
  <c r="T213" i="1"/>
  <c r="U213" i="1" s="1"/>
  <c r="R213" i="1"/>
  <c r="S213" i="1" s="1"/>
  <c r="P213" i="1"/>
  <c r="Q213" i="1" s="1"/>
  <c r="N213" i="1"/>
  <c r="O213" i="1" s="1"/>
  <c r="L213" i="1"/>
  <c r="M213" i="1" s="1"/>
  <c r="J213" i="1"/>
  <c r="K213" i="1" s="1"/>
  <c r="V212" i="1"/>
  <c r="W212" i="1" s="1"/>
  <c r="T212" i="1"/>
  <c r="U212" i="1" s="1"/>
  <c r="R212" i="1"/>
  <c r="S212" i="1" s="1"/>
  <c r="P212" i="1"/>
  <c r="Q212" i="1" s="1"/>
  <c r="N212" i="1"/>
  <c r="O212" i="1" s="1"/>
  <c r="L212" i="1"/>
  <c r="M212" i="1" s="1"/>
  <c r="J212" i="1"/>
  <c r="K212" i="1" s="1"/>
  <c r="V211" i="1"/>
  <c r="W211" i="1" s="1"/>
  <c r="T211" i="1"/>
  <c r="U211" i="1" s="1"/>
  <c r="R211" i="1"/>
  <c r="S211" i="1" s="1"/>
  <c r="P211" i="1"/>
  <c r="Q211" i="1" s="1"/>
  <c r="N211" i="1"/>
  <c r="O211" i="1" s="1"/>
  <c r="L211" i="1"/>
  <c r="M211" i="1" s="1"/>
  <c r="J211" i="1"/>
  <c r="K211" i="1" s="1"/>
  <c r="V210" i="1"/>
  <c r="W210" i="1" s="1"/>
  <c r="T210" i="1"/>
  <c r="U210" i="1" s="1"/>
  <c r="R210" i="1"/>
  <c r="S210" i="1" s="1"/>
  <c r="P210" i="1"/>
  <c r="Q210" i="1" s="1"/>
  <c r="N210" i="1"/>
  <c r="O210" i="1" s="1"/>
  <c r="L210" i="1"/>
  <c r="M210" i="1" s="1"/>
  <c r="J210" i="1"/>
  <c r="K210" i="1" s="1"/>
  <c r="V209" i="1"/>
  <c r="W209" i="1" s="1"/>
  <c r="T209" i="1"/>
  <c r="U209" i="1" s="1"/>
  <c r="R209" i="1"/>
  <c r="S209" i="1" s="1"/>
  <c r="P209" i="1"/>
  <c r="Q209" i="1" s="1"/>
  <c r="N209" i="1"/>
  <c r="O209" i="1" s="1"/>
  <c r="L209" i="1"/>
  <c r="M209" i="1" s="1"/>
  <c r="J209" i="1"/>
  <c r="K209" i="1" s="1"/>
  <c r="V208" i="1"/>
  <c r="W208" i="1" s="1"/>
  <c r="T208" i="1"/>
  <c r="U208" i="1" s="1"/>
  <c r="R208" i="1"/>
  <c r="S208" i="1" s="1"/>
  <c r="P208" i="1"/>
  <c r="Q208" i="1" s="1"/>
  <c r="N208" i="1"/>
  <c r="O208" i="1" s="1"/>
  <c r="L208" i="1"/>
  <c r="M208" i="1" s="1"/>
  <c r="J208" i="1"/>
  <c r="K208" i="1" s="1"/>
  <c r="V202" i="1"/>
  <c r="W202" i="1" s="1"/>
  <c r="T202" i="1"/>
  <c r="U202" i="1" s="1"/>
  <c r="R202" i="1"/>
  <c r="S202" i="1" s="1"/>
  <c r="P202" i="1"/>
  <c r="Q202" i="1" s="1"/>
  <c r="N202" i="1"/>
  <c r="O202" i="1" s="1"/>
  <c r="V201" i="1"/>
  <c r="W201" i="1" s="1"/>
  <c r="T201" i="1"/>
  <c r="U201" i="1" s="1"/>
  <c r="R201" i="1"/>
  <c r="S201" i="1" s="1"/>
  <c r="P201" i="1"/>
  <c r="Q201" i="1" s="1"/>
  <c r="N201" i="1"/>
  <c r="O201" i="1" s="1"/>
  <c r="L201" i="1"/>
  <c r="M201" i="1" s="1"/>
  <c r="J201" i="1"/>
  <c r="K201" i="1" s="1"/>
  <c r="V199" i="1"/>
  <c r="W199" i="1" s="1"/>
  <c r="T199" i="1"/>
  <c r="U199" i="1" s="1"/>
  <c r="R199" i="1"/>
  <c r="S199" i="1" s="1"/>
  <c r="P199" i="1"/>
  <c r="Q199" i="1" s="1"/>
  <c r="N199" i="1"/>
  <c r="O199" i="1" s="1"/>
  <c r="L199" i="1"/>
  <c r="M199" i="1" s="1"/>
  <c r="J199" i="1"/>
  <c r="K199" i="1" s="1"/>
  <c r="V183" i="1"/>
  <c r="W183" i="1" s="1"/>
  <c r="T183" i="1"/>
  <c r="U183" i="1" s="1"/>
  <c r="R183" i="1"/>
  <c r="S183" i="1" s="1"/>
  <c r="P183" i="1"/>
  <c r="Q183" i="1" s="1"/>
  <c r="N183" i="1"/>
  <c r="O183" i="1" s="1"/>
  <c r="L183" i="1"/>
  <c r="M183" i="1" s="1"/>
  <c r="V184" i="1"/>
  <c r="T184" i="1"/>
  <c r="R184" i="1"/>
  <c r="P184" i="1"/>
  <c r="N184" i="1"/>
  <c r="L184" i="1"/>
  <c r="V182" i="1"/>
  <c r="W182" i="1" s="1"/>
  <c r="T182" i="1"/>
  <c r="U182" i="1" s="1"/>
  <c r="R182" i="1"/>
  <c r="S182" i="1" s="1"/>
  <c r="P182" i="1"/>
  <c r="Q182" i="1" s="1"/>
  <c r="N182" i="1"/>
  <c r="O182" i="1" s="1"/>
  <c r="L182" i="1"/>
  <c r="M182" i="1" s="1"/>
  <c r="V181" i="1"/>
  <c r="W181" i="1" s="1"/>
  <c r="T181" i="1"/>
  <c r="U181" i="1" s="1"/>
  <c r="R181" i="1"/>
  <c r="S181" i="1" s="1"/>
  <c r="P181" i="1"/>
  <c r="Q181" i="1" s="1"/>
  <c r="N181" i="1"/>
  <c r="O181" i="1" s="1"/>
  <c r="L181" i="1"/>
  <c r="M181" i="1" s="1"/>
  <c r="V180" i="1"/>
  <c r="W180" i="1" s="1"/>
  <c r="T180" i="1"/>
  <c r="U180" i="1" s="1"/>
  <c r="R180" i="1"/>
  <c r="S180" i="1" s="1"/>
  <c r="P180" i="1"/>
  <c r="Q180" i="1" s="1"/>
  <c r="N180" i="1"/>
  <c r="O180" i="1" s="1"/>
  <c r="L180" i="1"/>
  <c r="M180" i="1" s="1"/>
  <c r="V179" i="1"/>
  <c r="T179" i="1"/>
  <c r="R179" i="1"/>
  <c r="P179" i="1"/>
  <c r="N179" i="1"/>
  <c r="L179" i="1"/>
  <c r="V177" i="1"/>
  <c r="W177" i="1" s="1"/>
  <c r="T177" i="1"/>
  <c r="U177" i="1" s="1"/>
  <c r="R177" i="1"/>
  <c r="S177" i="1" s="1"/>
  <c r="P177" i="1"/>
  <c r="Q177" i="1" s="1"/>
  <c r="N177" i="1"/>
  <c r="O177" i="1" s="1"/>
  <c r="V176" i="1"/>
  <c r="W176" i="1" s="1"/>
  <c r="T176" i="1"/>
  <c r="U176" i="1" s="1"/>
  <c r="R176" i="1"/>
  <c r="S176" i="1" s="1"/>
  <c r="P176" i="1"/>
  <c r="Q176" i="1" s="1"/>
  <c r="N176" i="1"/>
  <c r="O176" i="1" s="1"/>
  <c r="V175" i="1"/>
  <c r="W175" i="1" s="1"/>
  <c r="T175" i="1"/>
  <c r="U175" i="1" s="1"/>
  <c r="R175" i="1"/>
  <c r="S175" i="1" s="1"/>
  <c r="P175" i="1"/>
  <c r="Q175" i="1" s="1"/>
  <c r="N175" i="1"/>
  <c r="O175" i="1" s="1"/>
  <c r="V174" i="1"/>
  <c r="T174" i="1"/>
  <c r="R174" i="1"/>
  <c r="P174" i="1"/>
  <c r="N174" i="1"/>
  <c r="N160" i="1"/>
  <c r="O160" i="1" s="1"/>
  <c r="P160" i="1"/>
  <c r="Q160" i="1" s="1"/>
  <c r="R160" i="1"/>
  <c r="S160" i="1" s="1"/>
  <c r="T160" i="1"/>
  <c r="U160" i="1" s="1"/>
  <c r="V160" i="1"/>
  <c r="W160" i="1" s="1"/>
  <c r="L160" i="1"/>
  <c r="M160" i="1" s="1"/>
  <c r="R296" i="1" l="1"/>
  <c r="S296" i="1" s="1"/>
  <c r="T294" i="1"/>
  <c r="U294" i="1" s="1"/>
  <c r="V294" i="1"/>
  <c r="W294" i="1" s="1"/>
  <c r="H294" i="1"/>
  <c r="I294" i="1" s="1"/>
  <c r="J294" i="1"/>
  <c r="K294" i="1" s="1"/>
  <c r="L294" i="1"/>
  <c r="M294" i="1" s="1"/>
  <c r="N294" i="1"/>
  <c r="O294" i="1" s="1"/>
  <c r="P294" i="1"/>
  <c r="Q294" i="1" s="1"/>
  <c r="R294" i="1"/>
  <c r="S294" i="1" s="1"/>
  <c r="T296" i="1"/>
  <c r="U296" i="1" s="1"/>
  <c r="V296" i="1"/>
  <c r="W296" i="1" s="1"/>
  <c r="H296" i="1"/>
  <c r="I296" i="1" s="1"/>
  <c r="L296" i="1"/>
  <c r="M296" i="1" s="1"/>
  <c r="J296" i="1"/>
  <c r="K296" i="1" s="1"/>
  <c r="N296" i="1"/>
  <c r="O296" i="1" s="1"/>
  <c r="P296" i="1"/>
  <c r="Q296" i="1" s="1"/>
  <c r="F231" i="1" l="1"/>
  <c r="T246" i="1" l="1"/>
  <c r="U246" i="1" s="1"/>
  <c r="R246" i="1"/>
  <c r="S246" i="1" s="1"/>
  <c r="H246" i="1"/>
  <c r="I246" i="1" s="1"/>
  <c r="P246" i="1"/>
  <c r="Q246" i="1" s="1"/>
  <c r="N246" i="1"/>
  <c r="O246" i="1" s="1"/>
  <c r="L246" i="1"/>
  <c r="M246" i="1" s="1"/>
  <c r="J246" i="1"/>
  <c r="K246" i="1" s="1"/>
  <c r="V246" i="1"/>
  <c r="W246" i="1" s="1"/>
  <c r="H231" i="1"/>
  <c r="I231" i="1" s="1"/>
  <c r="V231" i="1"/>
  <c r="W231" i="1" s="1"/>
  <c r="J231" i="1"/>
  <c r="K231" i="1" s="1"/>
  <c r="T231" i="1"/>
  <c r="U231" i="1" s="1"/>
  <c r="R231" i="1"/>
  <c r="S231" i="1" s="1"/>
  <c r="P231" i="1"/>
  <c r="Q231" i="1" s="1"/>
  <c r="N231" i="1"/>
  <c r="O231" i="1" s="1"/>
  <c r="L231" i="1"/>
  <c r="M231" i="1" s="1"/>
  <c r="F387" i="1"/>
  <c r="T387" i="1" s="1"/>
  <c r="U387" i="1" s="1"/>
  <c r="F533" i="1"/>
  <c r="F451" i="1"/>
  <c r="F221" i="1"/>
  <c r="F154" i="1"/>
  <c r="P451" i="1" l="1"/>
  <c r="Q451" i="1" s="1"/>
  <c r="V451" i="1"/>
  <c r="W451" i="1" s="1"/>
  <c r="T451" i="1"/>
  <c r="U451" i="1" s="1"/>
  <c r="R451" i="1"/>
  <c r="S451" i="1" s="1"/>
  <c r="N451" i="1"/>
  <c r="O451" i="1" s="1"/>
  <c r="L451" i="1"/>
  <c r="M451" i="1" s="1"/>
  <c r="J451" i="1"/>
  <c r="K451" i="1" s="1"/>
  <c r="H451" i="1"/>
  <c r="I451" i="1" s="1"/>
  <c r="J533" i="1"/>
  <c r="K533" i="1" s="1"/>
  <c r="H533" i="1"/>
  <c r="I533" i="1" s="1"/>
  <c r="T533" i="1"/>
  <c r="U533" i="1" s="1"/>
  <c r="R533" i="1"/>
  <c r="S533" i="1" s="1"/>
  <c r="P533" i="1"/>
  <c r="Q533" i="1" s="1"/>
  <c r="N533" i="1"/>
  <c r="O533" i="1" s="1"/>
  <c r="L533" i="1"/>
  <c r="M533" i="1" s="1"/>
  <c r="V533" i="1"/>
  <c r="W533" i="1" s="1"/>
  <c r="V154" i="1"/>
  <c r="W154" i="1" s="1"/>
  <c r="T154" i="1"/>
  <c r="U154" i="1" s="1"/>
  <c r="R154" i="1"/>
  <c r="S154" i="1" s="1"/>
  <c r="P154" i="1"/>
  <c r="Q154" i="1" s="1"/>
  <c r="N154" i="1"/>
  <c r="O154" i="1" s="1"/>
  <c r="L154" i="1"/>
  <c r="M154" i="1" s="1"/>
  <c r="L197" i="1"/>
  <c r="M197" i="1" s="1"/>
  <c r="J197" i="1"/>
  <c r="K197" i="1" s="1"/>
  <c r="N197" i="1"/>
  <c r="O197" i="1" s="1"/>
  <c r="V197" i="1"/>
  <c r="W197" i="1" s="1"/>
  <c r="T197" i="1"/>
  <c r="U197" i="1" s="1"/>
  <c r="R197" i="1"/>
  <c r="S197" i="1" s="1"/>
  <c r="P197" i="1"/>
  <c r="Q197" i="1" s="1"/>
  <c r="V221" i="1"/>
  <c r="W221" i="1" s="1"/>
  <c r="T221" i="1"/>
  <c r="U221" i="1" s="1"/>
  <c r="R221" i="1"/>
  <c r="S221" i="1" s="1"/>
  <c r="P221" i="1"/>
  <c r="Q221" i="1" s="1"/>
  <c r="N221" i="1"/>
  <c r="O221" i="1" s="1"/>
  <c r="J221" i="1"/>
  <c r="K221" i="1" s="1"/>
  <c r="L221" i="1"/>
  <c r="M221" i="1" s="1"/>
  <c r="T243" i="1"/>
  <c r="U243" i="1" s="1"/>
  <c r="R243" i="1"/>
  <c r="S243" i="1" s="1"/>
  <c r="P243" i="1"/>
  <c r="Q243" i="1" s="1"/>
  <c r="V243" i="1"/>
  <c r="W243" i="1" s="1"/>
  <c r="N243" i="1"/>
  <c r="O243" i="1" s="1"/>
  <c r="L243" i="1"/>
  <c r="M243" i="1" s="1"/>
  <c r="J243" i="1"/>
  <c r="K243" i="1" s="1"/>
  <c r="H243" i="1"/>
  <c r="I243" i="1" s="1"/>
  <c r="J387" i="1"/>
  <c r="K387" i="1" s="1"/>
  <c r="P387" i="1"/>
  <c r="Q387" i="1" s="1"/>
  <c r="V387" i="1"/>
  <c r="W387" i="1" s="1"/>
  <c r="L387" i="1"/>
  <c r="M387" i="1" s="1"/>
  <c r="N387" i="1"/>
  <c r="O387" i="1" s="1"/>
  <c r="R387" i="1"/>
  <c r="S387" i="1" s="1"/>
  <c r="G387" i="1"/>
  <c r="H387" i="1"/>
  <c r="I387" i="1" s="1"/>
  <c r="F472" i="1" l="1"/>
  <c r="F471" i="1"/>
  <c r="N471" i="1" l="1"/>
  <c r="J471" i="1"/>
  <c r="H471" i="1"/>
  <c r="P471" i="1"/>
  <c r="R471" i="1"/>
  <c r="T471" i="1"/>
  <c r="V471" i="1"/>
  <c r="L471" i="1"/>
  <c r="H472" i="1"/>
  <c r="I472" i="1" s="1"/>
  <c r="V472" i="1"/>
  <c r="W472" i="1" s="1"/>
  <c r="T472" i="1"/>
  <c r="U472" i="1" s="1"/>
  <c r="R472" i="1"/>
  <c r="S472" i="1" s="1"/>
  <c r="P472" i="1"/>
  <c r="Q472" i="1" s="1"/>
  <c r="N472" i="1"/>
  <c r="O472" i="1" s="1"/>
  <c r="L472" i="1"/>
  <c r="M472" i="1" s="1"/>
  <c r="J472" i="1"/>
  <c r="K472" i="1" s="1"/>
  <c r="H337" i="1"/>
  <c r="I337" i="1" s="1"/>
  <c r="J337" i="1"/>
  <c r="K337" i="1" s="1"/>
  <c r="L337" i="1"/>
  <c r="M337" i="1" s="1"/>
  <c r="N337" i="1"/>
  <c r="O337" i="1" s="1"/>
  <c r="V425" i="1"/>
  <c r="W425" i="1" s="1"/>
  <c r="T425" i="1"/>
  <c r="U425" i="1" s="1"/>
  <c r="R425" i="1"/>
  <c r="S425" i="1" s="1"/>
  <c r="P425" i="1"/>
  <c r="Q425" i="1" s="1"/>
  <c r="N425" i="1"/>
  <c r="O425" i="1" s="1"/>
  <c r="L425" i="1"/>
  <c r="M425" i="1" s="1"/>
  <c r="J425" i="1"/>
  <c r="K425" i="1" s="1"/>
  <c r="L422" i="1"/>
  <c r="T421" i="1"/>
  <c r="U421" i="1" s="1"/>
  <c r="R421" i="1"/>
  <c r="S421" i="1" s="1"/>
  <c r="P421" i="1"/>
  <c r="Q421" i="1" s="1"/>
  <c r="N421" i="1"/>
  <c r="O421" i="1" s="1"/>
  <c r="L421" i="1"/>
  <c r="M421" i="1" s="1"/>
  <c r="T420" i="1"/>
  <c r="U420" i="1" s="1"/>
  <c r="R420" i="1"/>
  <c r="S420" i="1" s="1"/>
  <c r="P420" i="1"/>
  <c r="Q420" i="1" s="1"/>
  <c r="N420" i="1"/>
  <c r="O420" i="1" s="1"/>
  <c r="L420" i="1"/>
  <c r="M420" i="1" s="1"/>
  <c r="T419" i="1"/>
  <c r="U419" i="1" s="1"/>
  <c r="R419" i="1"/>
  <c r="S419" i="1" s="1"/>
  <c r="P419" i="1"/>
  <c r="Q419" i="1" s="1"/>
  <c r="N419" i="1"/>
  <c r="O419" i="1" s="1"/>
  <c r="L419" i="1"/>
  <c r="M419" i="1" s="1"/>
  <c r="T418" i="1"/>
  <c r="R418" i="1"/>
  <c r="P418" i="1"/>
  <c r="N418" i="1"/>
  <c r="L418" i="1"/>
  <c r="L383" i="1"/>
  <c r="M383" i="1" s="1"/>
  <c r="N383" i="1"/>
  <c r="O383" i="1" s="1"/>
  <c r="P383" i="1"/>
  <c r="Q383" i="1" s="1"/>
  <c r="R383" i="1"/>
  <c r="S383" i="1" s="1"/>
  <c r="T383" i="1"/>
  <c r="U383" i="1" s="1"/>
  <c r="V383" i="1"/>
  <c r="W383" i="1" s="1"/>
  <c r="V360" i="1"/>
  <c r="W360" i="1" s="1"/>
  <c r="T360" i="1"/>
  <c r="U360" i="1" s="1"/>
  <c r="R360" i="1"/>
  <c r="S360" i="1" s="1"/>
  <c r="P360" i="1"/>
  <c r="Q360" i="1" s="1"/>
  <c r="N360" i="1"/>
  <c r="O360" i="1" s="1"/>
  <c r="L360" i="1"/>
  <c r="M360" i="1" s="1"/>
  <c r="V354" i="1"/>
  <c r="W354" i="1" s="1"/>
  <c r="T354" i="1"/>
  <c r="U354" i="1" s="1"/>
  <c r="R354" i="1"/>
  <c r="S354" i="1" s="1"/>
  <c r="P354" i="1"/>
  <c r="Q354" i="1" s="1"/>
  <c r="N354" i="1"/>
  <c r="O354" i="1" s="1"/>
  <c r="L354" i="1"/>
  <c r="M354" i="1" s="1"/>
  <c r="J304" i="1"/>
  <c r="V304" i="1"/>
  <c r="W304" i="1" s="1"/>
  <c r="T304" i="1"/>
  <c r="U304" i="1" s="1"/>
  <c r="R304" i="1"/>
  <c r="S304" i="1" s="1"/>
  <c r="P304" i="1"/>
  <c r="Q304" i="1" s="1"/>
  <c r="N304" i="1"/>
  <c r="O304" i="1" s="1"/>
  <c r="L304" i="1"/>
  <c r="M304" i="1" s="1"/>
  <c r="G530" i="1" l="1"/>
  <c r="F521" i="1"/>
  <c r="F520" i="1"/>
  <c r="F519" i="1"/>
  <c r="L519" i="1" l="1"/>
  <c r="M519" i="1" s="1"/>
  <c r="V519" i="1"/>
  <c r="W519" i="1" s="1"/>
  <c r="T519" i="1"/>
  <c r="U519" i="1" s="1"/>
  <c r="R519" i="1"/>
  <c r="S519" i="1" s="1"/>
  <c r="P519" i="1"/>
  <c r="Q519" i="1" s="1"/>
  <c r="N519" i="1"/>
  <c r="O519" i="1" s="1"/>
  <c r="P520" i="1"/>
  <c r="Q520" i="1" s="1"/>
  <c r="N520" i="1"/>
  <c r="O520" i="1" s="1"/>
  <c r="L520" i="1"/>
  <c r="M520" i="1" s="1"/>
  <c r="V520" i="1"/>
  <c r="W520" i="1" s="1"/>
  <c r="T520" i="1"/>
  <c r="U520" i="1" s="1"/>
  <c r="R520" i="1"/>
  <c r="S520" i="1" s="1"/>
  <c r="T521" i="1"/>
  <c r="U521" i="1" s="1"/>
  <c r="R521" i="1"/>
  <c r="S521" i="1" s="1"/>
  <c r="P521" i="1"/>
  <c r="Q521" i="1" s="1"/>
  <c r="N521" i="1"/>
  <c r="O521" i="1" s="1"/>
  <c r="V521" i="1"/>
  <c r="W521" i="1" s="1"/>
  <c r="L521" i="1"/>
  <c r="M521" i="1" s="1"/>
  <c r="G521" i="1"/>
  <c r="G520" i="1"/>
  <c r="G519" i="1"/>
  <c r="W445" i="1"/>
  <c r="U445" i="1"/>
  <c r="S445" i="1"/>
  <c r="Q445" i="1"/>
  <c r="O445" i="1"/>
  <c r="W444" i="1"/>
  <c r="U444" i="1"/>
  <c r="S444" i="1"/>
  <c r="Q444" i="1"/>
  <c r="O444" i="1"/>
  <c r="W439" i="1"/>
  <c r="U439" i="1"/>
  <c r="S439" i="1"/>
  <c r="Q439" i="1"/>
  <c r="O439" i="1"/>
  <c r="W438" i="1"/>
  <c r="U438" i="1"/>
  <c r="S438" i="1"/>
  <c r="Q438" i="1"/>
  <c r="O438" i="1"/>
  <c r="F535" i="1"/>
  <c r="R535" i="1" l="1"/>
  <c r="S535" i="1" s="1"/>
  <c r="T535" i="1"/>
  <c r="U535" i="1" s="1"/>
  <c r="V535" i="1"/>
  <c r="W535" i="1" s="1"/>
  <c r="H535" i="1"/>
  <c r="I535" i="1" s="1"/>
  <c r="J535" i="1"/>
  <c r="K535" i="1" s="1"/>
  <c r="L535" i="1"/>
  <c r="M535" i="1" s="1"/>
  <c r="N535" i="1"/>
  <c r="O535" i="1" s="1"/>
  <c r="P535" i="1"/>
  <c r="Q535" i="1" s="1"/>
  <c r="H453" i="1"/>
  <c r="I453" i="1" s="1"/>
  <c r="V453" i="1"/>
  <c r="W453" i="1" s="1"/>
  <c r="T453" i="1"/>
  <c r="U453" i="1" s="1"/>
  <c r="P453" i="1"/>
  <c r="Q453" i="1" s="1"/>
  <c r="N453" i="1"/>
  <c r="O453" i="1" s="1"/>
  <c r="L453" i="1"/>
  <c r="M453" i="1" s="1"/>
  <c r="R453" i="1"/>
  <c r="S453" i="1" s="1"/>
  <c r="J453" i="1"/>
  <c r="K453" i="1" s="1"/>
  <c r="G535" i="1"/>
  <c r="F619" i="1" l="1"/>
  <c r="F634" i="1"/>
  <c r="V368" i="1" l="1"/>
  <c r="W368" i="1" s="1"/>
  <c r="T368" i="1"/>
  <c r="U368" i="1" s="1"/>
  <c r="R368" i="1"/>
  <c r="S368" i="1" s="1"/>
  <c r="P368" i="1"/>
  <c r="Q368" i="1" s="1"/>
  <c r="N368" i="1"/>
  <c r="O368" i="1" s="1"/>
  <c r="L368" i="1"/>
  <c r="M368" i="1" s="1"/>
  <c r="F400" i="1"/>
  <c r="F374" i="1"/>
  <c r="F232" i="1"/>
  <c r="F260" i="1"/>
  <c r="F431" i="1"/>
  <c r="F635" i="1"/>
  <c r="F613" i="1"/>
  <c r="F164" i="1"/>
  <c r="F128" i="1"/>
  <c r="V128" i="1" s="1"/>
  <c r="W128" i="1" s="1"/>
  <c r="G160" i="1"/>
  <c r="R431" i="1" l="1"/>
  <c r="S431" i="1" s="1"/>
  <c r="J431" i="1"/>
  <c r="K431" i="1" s="1"/>
  <c r="P431" i="1"/>
  <c r="Q431" i="1" s="1"/>
  <c r="N431" i="1"/>
  <c r="O431" i="1" s="1"/>
  <c r="L431" i="1"/>
  <c r="M431" i="1" s="1"/>
  <c r="H431" i="1"/>
  <c r="I431" i="1" s="1"/>
  <c r="V431" i="1"/>
  <c r="W431" i="1" s="1"/>
  <c r="T431" i="1"/>
  <c r="U431" i="1" s="1"/>
  <c r="T200" i="1"/>
  <c r="U200" i="1" s="1"/>
  <c r="R200" i="1"/>
  <c r="S200" i="1" s="1"/>
  <c r="P200" i="1"/>
  <c r="Q200" i="1" s="1"/>
  <c r="N200" i="1"/>
  <c r="O200" i="1" s="1"/>
  <c r="V200" i="1"/>
  <c r="W200" i="1" s="1"/>
  <c r="L200" i="1"/>
  <c r="M200" i="1" s="1"/>
  <c r="J200" i="1"/>
  <c r="K200" i="1" s="1"/>
  <c r="H200" i="1"/>
  <c r="I200" i="1" s="1"/>
  <c r="N260" i="1"/>
  <c r="O260" i="1" s="1"/>
  <c r="L260" i="1"/>
  <c r="M260" i="1" s="1"/>
  <c r="J260" i="1"/>
  <c r="K260" i="1" s="1"/>
  <c r="H260" i="1"/>
  <c r="I260" i="1" s="1"/>
  <c r="V260" i="1"/>
  <c r="W260" i="1" s="1"/>
  <c r="T260" i="1"/>
  <c r="U260" i="1" s="1"/>
  <c r="P260" i="1"/>
  <c r="Q260" i="1" s="1"/>
  <c r="R260" i="1"/>
  <c r="S260" i="1" s="1"/>
  <c r="J232" i="1"/>
  <c r="K232" i="1" s="1"/>
  <c r="H232" i="1"/>
  <c r="I232" i="1" s="1"/>
  <c r="V232" i="1"/>
  <c r="W232" i="1" s="1"/>
  <c r="T232" i="1"/>
  <c r="U232" i="1" s="1"/>
  <c r="R232" i="1"/>
  <c r="S232" i="1" s="1"/>
  <c r="P232" i="1"/>
  <c r="Q232" i="1" s="1"/>
  <c r="L232" i="1"/>
  <c r="M232" i="1" s="1"/>
  <c r="N232" i="1"/>
  <c r="O232" i="1" s="1"/>
  <c r="P164" i="1"/>
  <c r="Q164" i="1" s="1"/>
  <c r="N164" i="1"/>
  <c r="O164" i="1" s="1"/>
  <c r="L164" i="1"/>
  <c r="M164" i="1" s="1"/>
  <c r="J164" i="1"/>
  <c r="K164" i="1" s="1"/>
  <c r="V164" i="1"/>
  <c r="W164" i="1" s="1"/>
  <c r="T164" i="1"/>
  <c r="U164" i="1" s="1"/>
  <c r="R164" i="1"/>
  <c r="S164" i="1" s="1"/>
  <c r="H164" i="1"/>
  <c r="I164" i="1" s="1"/>
  <c r="V274" i="1"/>
  <c r="T274" i="1"/>
  <c r="R274" i="1"/>
  <c r="P274" i="1"/>
  <c r="N274" i="1"/>
  <c r="L274" i="1"/>
  <c r="J274" i="1"/>
  <c r="H274" i="1"/>
  <c r="L374" i="1"/>
  <c r="M374" i="1" s="1"/>
  <c r="N374" i="1"/>
  <c r="O374" i="1" s="1"/>
  <c r="P374" i="1"/>
  <c r="Q374" i="1" s="1"/>
  <c r="R374" i="1"/>
  <c r="S374" i="1" s="1"/>
  <c r="T374" i="1"/>
  <c r="U374" i="1" s="1"/>
  <c r="V374" i="1"/>
  <c r="W374" i="1" s="1"/>
  <c r="L373" i="1"/>
  <c r="M373" i="1" s="1"/>
  <c r="N373" i="1"/>
  <c r="O373" i="1" s="1"/>
  <c r="P373" i="1"/>
  <c r="Q373" i="1" s="1"/>
  <c r="R373" i="1"/>
  <c r="S373" i="1" s="1"/>
  <c r="T373" i="1"/>
  <c r="U373" i="1" s="1"/>
  <c r="V373" i="1"/>
  <c r="W373" i="1" s="1"/>
  <c r="V400" i="1"/>
  <c r="W400" i="1" s="1"/>
  <c r="T400" i="1"/>
  <c r="U400" i="1" s="1"/>
  <c r="R400" i="1"/>
  <c r="S400" i="1" s="1"/>
  <c r="P400" i="1"/>
  <c r="Q400" i="1" s="1"/>
  <c r="N400" i="1"/>
  <c r="O400" i="1" s="1"/>
  <c r="L400" i="1"/>
  <c r="M400" i="1" s="1"/>
  <c r="J400" i="1"/>
  <c r="K400" i="1" s="1"/>
  <c r="H400" i="1"/>
  <c r="I400" i="1" s="1"/>
  <c r="G373" i="1"/>
  <c r="G374" i="1"/>
  <c r="G232" i="1"/>
  <c r="M613" i="1"/>
  <c r="Q613" i="1"/>
  <c r="S613" i="1"/>
  <c r="H613" i="1"/>
  <c r="I613" i="1" s="1"/>
  <c r="J613" i="1"/>
  <c r="K613" i="1" s="1"/>
  <c r="O613" i="1"/>
  <c r="U613" i="1"/>
  <c r="G635" i="1"/>
  <c r="W613" i="1"/>
  <c r="G613" i="1"/>
  <c r="R128" i="1"/>
  <c r="S128" i="1" s="1"/>
  <c r="T128" i="1"/>
  <c r="U128" i="1" s="1"/>
  <c r="L128" i="1"/>
  <c r="M128" i="1" s="1"/>
  <c r="N128" i="1"/>
  <c r="O128" i="1" s="1"/>
  <c r="P128" i="1"/>
  <c r="Q128" i="1" s="1"/>
  <c r="G128" i="1"/>
  <c r="J128" i="1"/>
  <c r="K128" i="1" s="1"/>
  <c r="F388" i="1" l="1"/>
  <c r="F393" i="1"/>
  <c r="H393" i="1" l="1"/>
  <c r="I393" i="1" s="1"/>
  <c r="N393" i="1"/>
  <c r="L393" i="1"/>
  <c r="P393" i="1"/>
  <c r="R393" i="1"/>
  <c r="S393" i="1" s="1"/>
  <c r="T393" i="1"/>
  <c r="U393" i="1" s="1"/>
  <c r="J393" i="1"/>
  <c r="V393" i="1"/>
  <c r="W393" i="1" s="1"/>
  <c r="Q393" i="1"/>
  <c r="O393" i="1"/>
  <c r="M393" i="1"/>
  <c r="K393" i="1"/>
  <c r="P388" i="1"/>
  <c r="Q388" i="1" s="1"/>
  <c r="N388" i="1"/>
  <c r="O388" i="1" s="1"/>
  <c r="L388" i="1"/>
  <c r="M388" i="1" s="1"/>
  <c r="J388" i="1"/>
  <c r="K388" i="1" s="1"/>
  <c r="H388" i="1"/>
  <c r="I388" i="1" s="1"/>
  <c r="T388" i="1"/>
  <c r="U388" i="1" s="1"/>
  <c r="V388" i="1"/>
  <c r="W388" i="1" s="1"/>
  <c r="R388" i="1"/>
  <c r="S388" i="1" s="1"/>
  <c r="F292" i="1"/>
  <c r="R292" i="1" l="1"/>
  <c r="S292" i="1" s="1"/>
  <c r="P292" i="1"/>
  <c r="Q292" i="1" s="1"/>
  <c r="N292" i="1"/>
  <c r="O292" i="1" s="1"/>
  <c r="L292" i="1"/>
  <c r="M292" i="1" s="1"/>
  <c r="T292" i="1"/>
  <c r="U292" i="1" s="1"/>
  <c r="J292" i="1"/>
  <c r="K292" i="1" s="1"/>
  <c r="H292" i="1"/>
  <c r="I292" i="1" s="1"/>
  <c r="V292" i="1"/>
  <c r="W292" i="1" s="1"/>
  <c r="G292" i="1"/>
  <c r="F252" i="1"/>
  <c r="U274" i="1"/>
  <c r="V252" i="1" l="1"/>
  <c r="W252" i="1" s="1"/>
  <c r="T252" i="1"/>
  <c r="U252" i="1" s="1"/>
  <c r="R252" i="1"/>
  <c r="S252" i="1" s="1"/>
  <c r="H252" i="1"/>
  <c r="I252" i="1" s="1"/>
  <c r="P252" i="1"/>
  <c r="Q252" i="1" s="1"/>
  <c r="N252" i="1"/>
  <c r="O252" i="1" s="1"/>
  <c r="L252" i="1"/>
  <c r="M252" i="1" s="1"/>
  <c r="J252" i="1"/>
  <c r="K252" i="1" s="1"/>
  <c r="G252" i="1"/>
  <c r="W274" i="1"/>
  <c r="M274" i="1"/>
  <c r="O274" i="1"/>
  <c r="Q274" i="1"/>
  <c r="S274" i="1"/>
  <c r="G274" i="1"/>
  <c r="I274" i="1"/>
  <c r="K274" i="1"/>
  <c r="V245" i="1" l="1"/>
  <c r="W245" i="1" s="1"/>
  <c r="H245" i="1"/>
  <c r="I245" i="1" s="1"/>
  <c r="T245" i="1"/>
  <c r="U245" i="1" s="1"/>
  <c r="R245" i="1"/>
  <c r="S245" i="1" s="1"/>
  <c r="P245" i="1"/>
  <c r="Q245" i="1" s="1"/>
  <c r="N245" i="1"/>
  <c r="O245" i="1" s="1"/>
  <c r="L245" i="1"/>
  <c r="M245" i="1" s="1"/>
  <c r="J245" i="1"/>
  <c r="K245" i="1" s="1"/>
  <c r="G245" i="1"/>
  <c r="F615" i="1"/>
  <c r="F571" i="1"/>
  <c r="N615" i="1" l="1"/>
  <c r="T615" i="1"/>
  <c r="L615" i="1"/>
  <c r="M615" i="1" s="1"/>
  <c r="H615" i="1"/>
  <c r="P615" i="1"/>
  <c r="R615" i="1"/>
  <c r="J615" i="1"/>
  <c r="V615" i="1"/>
  <c r="W615" i="1" s="1"/>
  <c r="V571" i="1"/>
  <c r="W571" i="1" s="1"/>
  <c r="T571" i="1"/>
  <c r="U571" i="1" s="1"/>
  <c r="R571" i="1"/>
  <c r="S571" i="1" s="1"/>
  <c r="P571" i="1"/>
  <c r="Q571" i="1" s="1"/>
  <c r="N571" i="1"/>
  <c r="O571" i="1" s="1"/>
  <c r="L571" i="1"/>
  <c r="M571" i="1" s="1"/>
  <c r="J571" i="1"/>
  <c r="K571" i="1" s="1"/>
  <c r="H571" i="1"/>
  <c r="I571" i="1" s="1"/>
  <c r="U615" i="1"/>
  <c r="Q615" i="1"/>
  <c r="S615" i="1"/>
  <c r="O615" i="1"/>
  <c r="I615" i="1"/>
  <c r="K615" i="1"/>
  <c r="G615" i="1"/>
  <c r="G571" i="1"/>
  <c r="F282" i="1" l="1"/>
  <c r="V282" i="1" l="1"/>
  <c r="W282" i="1" s="1"/>
  <c r="T282" i="1"/>
  <c r="U282" i="1" s="1"/>
  <c r="R282" i="1"/>
  <c r="S282" i="1" s="1"/>
  <c r="P282" i="1"/>
  <c r="Q282" i="1" s="1"/>
  <c r="N282" i="1"/>
  <c r="O282" i="1" s="1"/>
  <c r="L282" i="1"/>
  <c r="M282" i="1" s="1"/>
  <c r="J282" i="1"/>
  <c r="K282" i="1" s="1"/>
  <c r="H282" i="1"/>
  <c r="I282" i="1" s="1"/>
  <c r="F279" i="1"/>
  <c r="H279" i="1" l="1"/>
  <c r="I279" i="1" s="1"/>
  <c r="J279" i="1"/>
  <c r="V279" i="1"/>
  <c r="W279" i="1" s="1"/>
  <c r="T279" i="1"/>
  <c r="R279" i="1"/>
  <c r="S279" i="1" s="1"/>
  <c r="P279" i="1"/>
  <c r="Q279" i="1" s="1"/>
  <c r="N279" i="1"/>
  <c r="O279" i="1" s="1"/>
  <c r="L279" i="1"/>
  <c r="M279" i="1" s="1"/>
  <c r="U279" i="1"/>
  <c r="K279" i="1"/>
  <c r="G279" i="1"/>
  <c r="F329" i="1"/>
  <c r="F328" i="1"/>
  <c r="G260" i="1"/>
  <c r="R328" i="1" l="1"/>
  <c r="S328" i="1" s="1"/>
  <c r="P328" i="1"/>
  <c r="Q328" i="1" s="1"/>
  <c r="N328" i="1"/>
  <c r="O328" i="1" s="1"/>
  <c r="L328" i="1"/>
  <c r="M328" i="1" s="1"/>
  <c r="V328" i="1"/>
  <c r="W328" i="1" s="1"/>
  <c r="T328" i="1"/>
  <c r="U328" i="1" s="1"/>
  <c r="V329" i="1"/>
  <c r="W329" i="1" s="1"/>
  <c r="T329" i="1"/>
  <c r="U329" i="1" s="1"/>
  <c r="R329" i="1"/>
  <c r="S329" i="1" s="1"/>
  <c r="P329" i="1"/>
  <c r="Q329" i="1" s="1"/>
  <c r="N329" i="1"/>
  <c r="O329" i="1" s="1"/>
  <c r="L329" i="1"/>
  <c r="M329" i="1" s="1"/>
  <c r="G329" i="1"/>
  <c r="F482" i="1"/>
  <c r="F481" i="1"/>
  <c r="F485" i="1"/>
  <c r="F484" i="1"/>
  <c r="F483" i="1"/>
  <c r="J483" i="1" l="1"/>
  <c r="K483" i="1" s="1"/>
  <c r="H483" i="1"/>
  <c r="L483" i="1"/>
  <c r="M483" i="1" s="1"/>
  <c r="V484" i="1"/>
  <c r="W484" i="1" s="1"/>
  <c r="H484" i="1"/>
  <c r="I484" i="1" s="1"/>
  <c r="T484" i="1"/>
  <c r="U484" i="1" s="1"/>
  <c r="R484" i="1"/>
  <c r="S484" i="1" s="1"/>
  <c r="N484" i="1"/>
  <c r="O484" i="1" s="1"/>
  <c r="L484" i="1"/>
  <c r="M484" i="1" s="1"/>
  <c r="J484" i="1"/>
  <c r="K484" i="1" s="1"/>
  <c r="P484" i="1"/>
  <c r="Q484" i="1" s="1"/>
  <c r="H485" i="1"/>
  <c r="L485" i="1"/>
  <c r="M485" i="1" s="1"/>
  <c r="J485" i="1"/>
  <c r="K485" i="1" s="1"/>
  <c r="J481" i="1"/>
  <c r="L481" i="1"/>
  <c r="N481" i="1"/>
  <c r="P481" i="1"/>
  <c r="H481" i="1"/>
  <c r="R481" i="1"/>
  <c r="T481" i="1"/>
  <c r="V481" i="1"/>
  <c r="L482" i="1"/>
  <c r="J482" i="1"/>
  <c r="H482" i="1"/>
  <c r="R344" i="1"/>
  <c r="S344" i="1" s="1"/>
  <c r="P344" i="1"/>
  <c r="Q344" i="1" s="1"/>
  <c r="N344" i="1"/>
  <c r="O344" i="1" s="1"/>
  <c r="L344" i="1"/>
  <c r="M344" i="1" s="1"/>
  <c r="T344" i="1"/>
  <c r="U344" i="1" s="1"/>
  <c r="V344" i="1"/>
  <c r="W344" i="1" s="1"/>
  <c r="G344" i="1"/>
  <c r="T651" i="1"/>
  <c r="U651" i="1" s="1"/>
  <c r="R651" i="1"/>
  <c r="S651" i="1" s="1"/>
  <c r="P651" i="1"/>
  <c r="Q651" i="1" s="1"/>
  <c r="N651" i="1"/>
  <c r="O651" i="1" s="1"/>
  <c r="L651" i="1"/>
  <c r="M651" i="1" s="1"/>
  <c r="J651" i="1"/>
  <c r="K651" i="1" s="1"/>
  <c r="G651" i="1"/>
  <c r="T650" i="1"/>
  <c r="U650" i="1" s="1"/>
  <c r="R650" i="1"/>
  <c r="S650" i="1" s="1"/>
  <c r="P650" i="1"/>
  <c r="Q650" i="1" s="1"/>
  <c r="N650" i="1"/>
  <c r="O650" i="1" s="1"/>
  <c r="L650" i="1"/>
  <c r="M650" i="1" s="1"/>
  <c r="J650" i="1"/>
  <c r="K650" i="1" s="1"/>
  <c r="G650" i="1"/>
  <c r="F290" i="1"/>
  <c r="F297" i="1"/>
  <c r="F614" i="1"/>
  <c r="F539" i="1"/>
  <c r="F405" i="1"/>
  <c r="F358" i="1"/>
  <c r="F386" i="1"/>
  <c r="G466" i="1"/>
  <c r="F414" i="1"/>
  <c r="F349" i="1"/>
  <c r="F350" i="1"/>
  <c r="F347" i="1"/>
  <c r="F353" i="1"/>
  <c r="R353" i="1" l="1"/>
  <c r="S353" i="1" s="1"/>
  <c r="P353" i="1"/>
  <c r="Q353" i="1" s="1"/>
  <c r="T353" i="1"/>
  <c r="U353" i="1" s="1"/>
  <c r="V353" i="1"/>
  <c r="W353" i="1" s="1"/>
  <c r="P539" i="1"/>
  <c r="Q539" i="1" s="1"/>
  <c r="R539" i="1"/>
  <c r="S539" i="1" s="1"/>
  <c r="T539" i="1"/>
  <c r="U539" i="1" s="1"/>
  <c r="V539" i="1"/>
  <c r="W539" i="1" s="1"/>
  <c r="H539" i="1"/>
  <c r="I539" i="1" s="1"/>
  <c r="J539" i="1"/>
  <c r="K539" i="1" s="1"/>
  <c r="L539" i="1"/>
  <c r="M539" i="1" s="1"/>
  <c r="N539" i="1"/>
  <c r="O539" i="1" s="1"/>
  <c r="P275" i="1"/>
  <c r="Q275" i="1" s="1"/>
  <c r="N275" i="1"/>
  <c r="O275" i="1" s="1"/>
  <c r="L275" i="1"/>
  <c r="M275" i="1" s="1"/>
  <c r="R275" i="1"/>
  <c r="S275" i="1" s="1"/>
  <c r="J275" i="1"/>
  <c r="K275" i="1" s="1"/>
  <c r="H275" i="1"/>
  <c r="I275" i="1" s="1"/>
  <c r="V275" i="1"/>
  <c r="W275" i="1" s="1"/>
  <c r="T275" i="1"/>
  <c r="U275" i="1" s="1"/>
  <c r="P290" i="1"/>
  <c r="Q290" i="1" s="1"/>
  <c r="N290" i="1"/>
  <c r="O290" i="1" s="1"/>
  <c r="L290" i="1"/>
  <c r="M290" i="1" s="1"/>
  <c r="J290" i="1"/>
  <c r="K290" i="1" s="1"/>
  <c r="H290" i="1"/>
  <c r="I290" i="1" s="1"/>
  <c r="V290" i="1"/>
  <c r="W290" i="1" s="1"/>
  <c r="T290" i="1"/>
  <c r="U290" i="1" s="1"/>
  <c r="R290" i="1"/>
  <c r="S290" i="1" s="1"/>
  <c r="P240" i="1"/>
  <c r="Q240" i="1" s="1"/>
  <c r="N240" i="1"/>
  <c r="O240" i="1" s="1"/>
  <c r="L240" i="1"/>
  <c r="M240" i="1" s="1"/>
  <c r="J240" i="1"/>
  <c r="K240" i="1" s="1"/>
  <c r="H240" i="1"/>
  <c r="I240" i="1" s="1"/>
  <c r="R240" i="1"/>
  <c r="S240" i="1" s="1"/>
  <c r="V240" i="1"/>
  <c r="W240" i="1" s="1"/>
  <c r="T240" i="1"/>
  <c r="U240" i="1" s="1"/>
  <c r="V256" i="1"/>
  <c r="W256" i="1" s="1"/>
  <c r="T256" i="1"/>
  <c r="U256" i="1" s="1"/>
  <c r="R256" i="1"/>
  <c r="S256" i="1" s="1"/>
  <c r="P256" i="1"/>
  <c r="Q256" i="1" s="1"/>
  <c r="N256" i="1"/>
  <c r="O256" i="1" s="1"/>
  <c r="L256" i="1"/>
  <c r="M256" i="1" s="1"/>
  <c r="J256" i="1"/>
  <c r="K256" i="1" s="1"/>
  <c r="H256" i="1"/>
  <c r="I256" i="1" s="1"/>
  <c r="T297" i="1"/>
  <c r="U297" i="1" s="1"/>
  <c r="R297" i="1"/>
  <c r="S297" i="1" s="1"/>
  <c r="P297" i="1"/>
  <c r="Q297" i="1" s="1"/>
  <c r="N297" i="1"/>
  <c r="O297" i="1" s="1"/>
  <c r="L297" i="1"/>
  <c r="M297" i="1" s="1"/>
  <c r="J297" i="1"/>
  <c r="K297" i="1" s="1"/>
  <c r="H297" i="1"/>
  <c r="I297" i="1" s="1"/>
  <c r="V297" i="1"/>
  <c r="W297" i="1" s="1"/>
  <c r="P198" i="1"/>
  <c r="Q198" i="1" s="1"/>
  <c r="N198" i="1"/>
  <c r="O198" i="1" s="1"/>
  <c r="L198" i="1"/>
  <c r="M198" i="1" s="1"/>
  <c r="J198" i="1"/>
  <c r="K198" i="1" s="1"/>
  <c r="R198" i="1"/>
  <c r="S198" i="1" s="1"/>
  <c r="V198" i="1"/>
  <c r="W198" i="1" s="1"/>
  <c r="T198" i="1"/>
  <c r="U198" i="1" s="1"/>
  <c r="L386" i="1"/>
  <c r="M386" i="1" s="1"/>
  <c r="N386" i="1"/>
  <c r="O386" i="1" s="1"/>
  <c r="P386" i="1"/>
  <c r="Q386" i="1" s="1"/>
  <c r="R386" i="1"/>
  <c r="S386" i="1" s="1"/>
  <c r="T386" i="1"/>
  <c r="U386" i="1" s="1"/>
  <c r="V386" i="1"/>
  <c r="W386" i="1" s="1"/>
  <c r="H405" i="1"/>
  <c r="I405" i="1" s="1"/>
  <c r="L405" i="1"/>
  <c r="M405" i="1" s="1"/>
  <c r="V405" i="1"/>
  <c r="W405" i="1" s="1"/>
  <c r="T405" i="1"/>
  <c r="U405" i="1" s="1"/>
  <c r="R405" i="1"/>
  <c r="S405" i="1" s="1"/>
  <c r="P405" i="1"/>
  <c r="Q405" i="1" s="1"/>
  <c r="N405" i="1"/>
  <c r="O405" i="1" s="1"/>
  <c r="J405" i="1"/>
  <c r="K405" i="1" s="1"/>
  <c r="T355" i="1"/>
  <c r="U355" i="1" s="1"/>
  <c r="J355" i="1"/>
  <c r="R355" i="1"/>
  <c r="S355" i="1" s="1"/>
  <c r="P355" i="1"/>
  <c r="Q355" i="1" s="1"/>
  <c r="N355" i="1"/>
  <c r="O355" i="1" s="1"/>
  <c r="L355" i="1"/>
  <c r="M355" i="1" s="1"/>
  <c r="V355" i="1"/>
  <c r="W355" i="1" s="1"/>
  <c r="V358" i="1"/>
  <c r="W358" i="1" s="1"/>
  <c r="T358" i="1"/>
  <c r="U358" i="1" s="1"/>
  <c r="R358" i="1"/>
  <c r="S358" i="1" s="1"/>
  <c r="P358" i="1"/>
  <c r="Q358" i="1" s="1"/>
  <c r="N358" i="1"/>
  <c r="O358" i="1" s="1"/>
  <c r="L358" i="1"/>
  <c r="M358" i="1" s="1"/>
  <c r="L382" i="1"/>
  <c r="M382" i="1" s="1"/>
  <c r="N382" i="1"/>
  <c r="O382" i="1" s="1"/>
  <c r="P382" i="1"/>
  <c r="Q382" i="1" s="1"/>
  <c r="R382" i="1"/>
  <c r="S382" i="1" s="1"/>
  <c r="T382" i="1"/>
  <c r="U382" i="1" s="1"/>
  <c r="V382" i="1"/>
  <c r="W382" i="1" s="1"/>
  <c r="V414" i="1"/>
  <c r="W414" i="1" s="1"/>
  <c r="T414" i="1"/>
  <c r="U414" i="1" s="1"/>
  <c r="R414" i="1"/>
  <c r="S414" i="1" s="1"/>
  <c r="P414" i="1"/>
  <c r="Q414" i="1" s="1"/>
  <c r="N414" i="1"/>
  <c r="O414" i="1" s="1"/>
  <c r="L414" i="1"/>
  <c r="M414" i="1" s="1"/>
  <c r="J414" i="1"/>
  <c r="K414" i="1" s="1"/>
  <c r="H414" i="1"/>
  <c r="I414" i="1" s="1"/>
  <c r="L370" i="1"/>
  <c r="M370" i="1" s="1"/>
  <c r="N370" i="1"/>
  <c r="O370" i="1" s="1"/>
  <c r="P370" i="1"/>
  <c r="Q370" i="1" s="1"/>
  <c r="R370" i="1"/>
  <c r="S370" i="1" s="1"/>
  <c r="T370" i="1"/>
  <c r="U370" i="1" s="1"/>
  <c r="V370" i="1"/>
  <c r="W370" i="1" s="1"/>
  <c r="P347" i="1"/>
  <c r="Q347" i="1" s="1"/>
  <c r="N347" i="1"/>
  <c r="O347" i="1" s="1"/>
  <c r="L347" i="1"/>
  <c r="M347" i="1" s="1"/>
  <c r="T362" i="1"/>
  <c r="U362" i="1" s="1"/>
  <c r="R362" i="1"/>
  <c r="S362" i="1" s="1"/>
  <c r="P362" i="1"/>
  <c r="Q362" i="1" s="1"/>
  <c r="N362" i="1"/>
  <c r="O362" i="1" s="1"/>
  <c r="L362" i="1"/>
  <c r="M362" i="1" s="1"/>
  <c r="V362" i="1"/>
  <c r="W362" i="1" s="1"/>
  <c r="L372" i="1"/>
  <c r="M372" i="1" s="1"/>
  <c r="N372" i="1"/>
  <c r="O372" i="1" s="1"/>
  <c r="P372" i="1"/>
  <c r="Q372" i="1" s="1"/>
  <c r="R372" i="1"/>
  <c r="S372" i="1" s="1"/>
  <c r="T372" i="1"/>
  <c r="U372" i="1" s="1"/>
  <c r="V372" i="1"/>
  <c r="W372" i="1" s="1"/>
  <c r="T359" i="1"/>
  <c r="U359" i="1" s="1"/>
  <c r="R359" i="1"/>
  <c r="S359" i="1" s="1"/>
  <c r="P359" i="1"/>
  <c r="Q359" i="1" s="1"/>
  <c r="N359" i="1"/>
  <c r="O359" i="1" s="1"/>
  <c r="L359" i="1"/>
  <c r="M359" i="1" s="1"/>
  <c r="V359" i="1"/>
  <c r="W359" i="1" s="1"/>
  <c r="N353" i="1"/>
  <c r="O353" i="1" s="1"/>
  <c r="L353" i="1"/>
  <c r="M353" i="1" s="1"/>
  <c r="V351" i="1"/>
  <c r="W351" i="1" s="1"/>
  <c r="T351" i="1"/>
  <c r="U351" i="1" s="1"/>
  <c r="R351" i="1"/>
  <c r="S351" i="1" s="1"/>
  <c r="P351" i="1"/>
  <c r="Q351" i="1" s="1"/>
  <c r="N351" i="1"/>
  <c r="O351" i="1" s="1"/>
  <c r="L351" i="1"/>
  <c r="M351" i="1" s="1"/>
  <c r="N350" i="1"/>
  <c r="O350" i="1" s="1"/>
  <c r="L350" i="1"/>
  <c r="M350" i="1" s="1"/>
  <c r="V350" i="1"/>
  <c r="W350" i="1" s="1"/>
  <c r="T350" i="1"/>
  <c r="U350" i="1" s="1"/>
  <c r="R350" i="1"/>
  <c r="S350" i="1" s="1"/>
  <c r="P350" i="1"/>
  <c r="Q350" i="1" s="1"/>
  <c r="V349" i="1"/>
  <c r="W349" i="1" s="1"/>
  <c r="T349" i="1"/>
  <c r="U349" i="1" s="1"/>
  <c r="R349" i="1"/>
  <c r="S349" i="1" s="1"/>
  <c r="P349" i="1"/>
  <c r="Q349" i="1" s="1"/>
  <c r="N349" i="1"/>
  <c r="O349" i="1" s="1"/>
  <c r="G124" i="1" l="1"/>
  <c r="G405" i="1" l="1"/>
  <c r="F303" i="1"/>
  <c r="F101" i="1"/>
  <c r="F100" i="1"/>
  <c r="F648" i="1"/>
  <c r="F645" i="1"/>
  <c r="F612" i="1"/>
  <c r="F567" i="1"/>
  <c r="F564" i="1"/>
  <c r="F563" i="1"/>
  <c r="F556" i="1"/>
  <c r="F554" i="1"/>
  <c r="F551" i="1"/>
  <c r="F526" i="1"/>
  <c r="F498" i="1"/>
  <c r="F493" i="1"/>
  <c r="F490" i="1"/>
  <c r="F489" i="1"/>
  <c r="F486" i="1"/>
  <c r="N554" i="1" l="1"/>
  <c r="O554" i="1" s="1"/>
  <c r="P554" i="1"/>
  <c r="Q554" i="1" s="1"/>
  <c r="R554" i="1"/>
  <c r="S554" i="1" s="1"/>
  <c r="T554" i="1"/>
  <c r="U554" i="1" s="1"/>
  <c r="H554" i="1"/>
  <c r="I554" i="1" s="1"/>
  <c r="J554" i="1"/>
  <c r="K554" i="1" s="1"/>
  <c r="V554" i="1"/>
  <c r="W554" i="1" s="1"/>
  <c r="L554" i="1"/>
  <c r="M554" i="1" s="1"/>
  <c r="N563" i="1"/>
  <c r="O563" i="1" s="1"/>
  <c r="P563" i="1"/>
  <c r="Q563" i="1" s="1"/>
  <c r="R563" i="1"/>
  <c r="S563" i="1" s="1"/>
  <c r="T563" i="1"/>
  <c r="U563" i="1" s="1"/>
  <c r="H563" i="1"/>
  <c r="I563" i="1" s="1"/>
  <c r="J563" i="1"/>
  <c r="K563" i="1" s="1"/>
  <c r="L563" i="1"/>
  <c r="M563" i="1" s="1"/>
  <c r="V563" i="1"/>
  <c r="W563" i="1" s="1"/>
  <c r="J567" i="1"/>
  <c r="K567" i="1" s="1"/>
  <c r="H567" i="1"/>
  <c r="I567" i="1" s="1"/>
  <c r="V567" i="1"/>
  <c r="W567" i="1" s="1"/>
  <c r="T567" i="1"/>
  <c r="U567" i="1" s="1"/>
  <c r="R567" i="1"/>
  <c r="S567" i="1" s="1"/>
  <c r="L567" i="1"/>
  <c r="M567" i="1" s="1"/>
  <c r="P567" i="1"/>
  <c r="Q567" i="1" s="1"/>
  <c r="N567" i="1"/>
  <c r="O567" i="1" s="1"/>
  <c r="L490" i="1"/>
  <c r="M490" i="1" s="1"/>
  <c r="J490" i="1"/>
  <c r="K490" i="1" s="1"/>
  <c r="H490" i="1"/>
  <c r="N556" i="1"/>
  <c r="O556" i="1" s="1"/>
  <c r="P556" i="1"/>
  <c r="Q556" i="1" s="1"/>
  <c r="R556" i="1"/>
  <c r="S556" i="1" s="1"/>
  <c r="T556" i="1"/>
  <c r="U556" i="1" s="1"/>
  <c r="H556" i="1"/>
  <c r="I556" i="1" s="1"/>
  <c r="J556" i="1"/>
  <c r="K556" i="1" s="1"/>
  <c r="L556" i="1"/>
  <c r="M556" i="1" s="1"/>
  <c r="V556" i="1"/>
  <c r="W556" i="1" s="1"/>
  <c r="H493" i="1"/>
  <c r="J493" i="1"/>
  <c r="K493" i="1" s="1"/>
  <c r="L493" i="1"/>
  <c r="M493" i="1" s="1"/>
  <c r="J526" i="1"/>
  <c r="K526" i="1" s="1"/>
  <c r="V526" i="1"/>
  <c r="W526" i="1" s="1"/>
  <c r="H526" i="1"/>
  <c r="I526" i="1" s="1"/>
  <c r="T526" i="1"/>
  <c r="U526" i="1" s="1"/>
  <c r="P526" i="1"/>
  <c r="Q526" i="1" s="1"/>
  <c r="N526" i="1"/>
  <c r="O526" i="1" s="1"/>
  <c r="L526" i="1"/>
  <c r="M526" i="1" s="1"/>
  <c r="R526" i="1"/>
  <c r="S526" i="1" s="1"/>
  <c r="R564" i="1"/>
  <c r="S564" i="1" s="1"/>
  <c r="P564" i="1"/>
  <c r="Q564" i="1" s="1"/>
  <c r="N564" i="1"/>
  <c r="O564" i="1" s="1"/>
  <c r="L564" i="1"/>
  <c r="M564" i="1" s="1"/>
  <c r="J564" i="1"/>
  <c r="K564" i="1" s="1"/>
  <c r="H564" i="1"/>
  <c r="I564" i="1" s="1"/>
  <c r="V564" i="1"/>
  <c r="W564" i="1" s="1"/>
  <c r="T564" i="1"/>
  <c r="U564" i="1" s="1"/>
  <c r="L486" i="1"/>
  <c r="M486" i="1" s="1"/>
  <c r="H486" i="1"/>
  <c r="J486" i="1"/>
  <c r="K486" i="1" s="1"/>
  <c r="P489" i="1"/>
  <c r="Q489" i="1" s="1"/>
  <c r="H489" i="1"/>
  <c r="I489" i="1" s="1"/>
  <c r="N489" i="1"/>
  <c r="O489" i="1" s="1"/>
  <c r="L489" i="1"/>
  <c r="M489" i="1" s="1"/>
  <c r="J489" i="1"/>
  <c r="K489" i="1" s="1"/>
  <c r="V489" i="1"/>
  <c r="W489" i="1" s="1"/>
  <c r="T489" i="1"/>
  <c r="U489" i="1" s="1"/>
  <c r="R489" i="1"/>
  <c r="S489" i="1" s="1"/>
  <c r="H498" i="1"/>
  <c r="L498" i="1"/>
  <c r="M498" i="1" s="1"/>
  <c r="J498" i="1"/>
  <c r="K498" i="1" s="1"/>
  <c r="N551" i="1"/>
  <c r="O551" i="1" s="1"/>
  <c r="P551" i="1"/>
  <c r="Q551" i="1" s="1"/>
  <c r="R551" i="1"/>
  <c r="S551" i="1" s="1"/>
  <c r="T551" i="1"/>
  <c r="U551" i="1" s="1"/>
  <c r="H551" i="1"/>
  <c r="I551" i="1" s="1"/>
  <c r="J551" i="1"/>
  <c r="K551" i="1" s="1"/>
  <c r="L551" i="1"/>
  <c r="M551" i="1" s="1"/>
  <c r="V551" i="1"/>
  <c r="W551" i="1" s="1"/>
  <c r="V100" i="1"/>
  <c r="W100" i="1" s="1"/>
  <c r="T100" i="1"/>
  <c r="U100" i="1" s="1"/>
  <c r="R100" i="1"/>
  <c r="S100" i="1" s="1"/>
  <c r="P100" i="1"/>
  <c r="Q100" i="1" s="1"/>
  <c r="N100" i="1"/>
  <c r="O100" i="1" s="1"/>
  <c r="L100" i="1"/>
  <c r="M100" i="1" s="1"/>
  <c r="H100" i="1"/>
  <c r="I100" i="1" s="1"/>
  <c r="J100" i="1"/>
  <c r="K100" i="1" s="1"/>
  <c r="J101" i="1"/>
  <c r="K101" i="1" s="1"/>
  <c r="H101" i="1"/>
  <c r="I101" i="1" s="1"/>
  <c r="V101" i="1"/>
  <c r="W101" i="1" s="1"/>
  <c r="N101" i="1"/>
  <c r="O101" i="1" s="1"/>
  <c r="L101" i="1"/>
  <c r="M101" i="1" s="1"/>
  <c r="T101" i="1"/>
  <c r="U101" i="1" s="1"/>
  <c r="R101" i="1"/>
  <c r="S101" i="1" s="1"/>
  <c r="P101" i="1"/>
  <c r="Q101" i="1" s="1"/>
  <c r="L381" i="1"/>
  <c r="M381" i="1" s="1"/>
  <c r="N381" i="1"/>
  <c r="O381" i="1" s="1"/>
  <c r="P381" i="1"/>
  <c r="Q381" i="1" s="1"/>
  <c r="R381" i="1"/>
  <c r="S381" i="1" s="1"/>
  <c r="T381" i="1"/>
  <c r="U381" i="1" s="1"/>
  <c r="V381" i="1"/>
  <c r="W381" i="1" s="1"/>
  <c r="N303" i="1"/>
  <c r="L303" i="1"/>
  <c r="V303" i="1"/>
  <c r="T303" i="1"/>
  <c r="P303" i="1"/>
  <c r="R303" i="1"/>
  <c r="T441" i="1"/>
  <c r="U441" i="1" s="1"/>
  <c r="R441" i="1"/>
  <c r="S441" i="1" s="1"/>
  <c r="P441" i="1"/>
  <c r="Q441" i="1" s="1"/>
  <c r="N441" i="1"/>
  <c r="O441" i="1" s="1"/>
  <c r="L441" i="1"/>
  <c r="M441" i="1" s="1"/>
  <c r="J441" i="1"/>
  <c r="K441" i="1" s="1"/>
  <c r="V441" i="1"/>
  <c r="W441" i="1" s="1"/>
  <c r="F511" i="1"/>
  <c r="F510" i="1"/>
  <c r="F413" i="1"/>
  <c r="F410" i="1"/>
  <c r="F406" i="1"/>
  <c r="F394" i="1"/>
  <c r="F409" i="1"/>
  <c r="F389" i="1"/>
  <c r="F384" i="1"/>
  <c r="F309" i="1"/>
  <c r="F308" i="1"/>
  <c r="F307" i="1"/>
  <c r="F305" i="1"/>
  <c r="F312" i="1"/>
  <c r="F314" i="1"/>
  <c r="F321" i="1"/>
  <c r="F333" i="1"/>
  <c r="F311" i="1"/>
  <c r="F310" i="1"/>
  <c r="F323" i="1"/>
  <c r="F326" i="1"/>
  <c r="F327" i="1"/>
  <c r="F334" i="1"/>
  <c r="F367" i="1"/>
  <c r="F369" i="1"/>
  <c r="F376" i="1"/>
  <c r="F377" i="1"/>
  <c r="F336" i="1"/>
  <c r="F339" i="1"/>
  <c r="F342" i="1"/>
  <c r="F345" i="1"/>
  <c r="F364" i="1"/>
  <c r="F363" i="1"/>
  <c r="F332" i="1"/>
  <c r="F330" i="1"/>
  <c r="F306" i="1"/>
  <c r="F301" i="1"/>
  <c r="F205" i="1"/>
  <c r="N394" i="1" l="1"/>
  <c r="O394" i="1" s="1"/>
  <c r="L394" i="1"/>
  <c r="M394" i="1" s="1"/>
  <c r="J394" i="1"/>
  <c r="K394" i="1" s="1"/>
  <c r="V394" i="1"/>
  <c r="W394" i="1" s="1"/>
  <c r="H394" i="1"/>
  <c r="I394" i="1" s="1"/>
  <c r="T394" i="1"/>
  <c r="U394" i="1" s="1"/>
  <c r="R394" i="1"/>
  <c r="S394" i="1" s="1"/>
  <c r="P394" i="1"/>
  <c r="Q394" i="1" s="1"/>
  <c r="T510" i="1"/>
  <c r="U510" i="1" s="1"/>
  <c r="R510" i="1"/>
  <c r="S510" i="1" s="1"/>
  <c r="P510" i="1"/>
  <c r="Q510" i="1" s="1"/>
  <c r="H510" i="1"/>
  <c r="I510" i="1" s="1"/>
  <c r="N510" i="1"/>
  <c r="O510" i="1" s="1"/>
  <c r="L510" i="1"/>
  <c r="M510" i="1" s="1"/>
  <c r="V510" i="1"/>
  <c r="W510" i="1" s="1"/>
  <c r="J510" i="1"/>
  <c r="K510" i="1" s="1"/>
  <c r="H511" i="1"/>
  <c r="L511" i="1"/>
  <c r="M511" i="1" s="1"/>
  <c r="J511" i="1"/>
  <c r="K511" i="1" s="1"/>
  <c r="L367" i="1"/>
  <c r="M367" i="1" s="1"/>
  <c r="H367" i="1"/>
  <c r="I367" i="1" s="1"/>
  <c r="J367" i="1"/>
  <c r="K367" i="1" s="1"/>
  <c r="P205" i="1"/>
  <c r="Q205" i="1" s="1"/>
  <c r="N205" i="1"/>
  <c r="O205" i="1" s="1"/>
  <c r="L205" i="1"/>
  <c r="M205" i="1" s="1"/>
  <c r="R205" i="1"/>
  <c r="S205" i="1" s="1"/>
  <c r="J205" i="1"/>
  <c r="K205" i="1" s="1"/>
  <c r="H205" i="1"/>
  <c r="I205" i="1" s="1"/>
  <c r="V205" i="1"/>
  <c r="W205" i="1" s="1"/>
  <c r="T205" i="1"/>
  <c r="U205" i="1" s="1"/>
  <c r="L314" i="1"/>
  <c r="M314" i="1" s="1"/>
  <c r="V314" i="1"/>
  <c r="W314" i="1" s="1"/>
  <c r="T314" i="1"/>
  <c r="U314" i="1" s="1"/>
  <c r="R314" i="1"/>
  <c r="S314" i="1" s="1"/>
  <c r="N314" i="1"/>
  <c r="O314" i="1" s="1"/>
  <c r="P314" i="1"/>
  <c r="Q314" i="1" s="1"/>
  <c r="V308" i="1"/>
  <c r="W308" i="1" s="1"/>
  <c r="T308" i="1"/>
  <c r="U308" i="1" s="1"/>
  <c r="R308" i="1"/>
  <c r="S308" i="1" s="1"/>
  <c r="P308" i="1"/>
  <c r="Q308" i="1" s="1"/>
  <c r="N308" i="1"/>
  <c r="O308" i="1" s="1"/>
  <c r="L308" i="1"/>
  <c r="M308" i="1" s="1"/>
  <c r="N301" i="1"/>
  <c r="O301" i="1" s="1"/>
  <c r="L301" i="1"/>
  <c r="M301" i="1" s="1"/>
  <c r="J301" i="1"/>
  <c r="K301" i="1" s="1"/>
  <c r="H301" i="1"/>
  <c r="I301" i="1" s="1"/>
  <c r="V301" i="1"/>
  <c r="W301" i="1" s="1"/>
  <c r="T301" i="1"/>
  <c r="U301" i="1" s="1"/>
  <c r="R301" i="1"/>
  <c r="S301" i="1" s="1"/>
  <c r="P301" i="1"/>
  <c r="Q301" i="1" s="1"/>
  <c r="L306" i="1"/>
  <c r="M306" i="1" s="1"/>
  <c r="V306" i="1"/>
  <c r="W306" i="1" s="1"/>
  <c r="T306" i="1"/>
  <c r="U306" i="1" s="1"/>
  <c r="R306" i="1"/>
  <c r="S306" i="1" s="1"/>
  <c r="P306" i="1"/>
  <c r="Q306" i="1" s="1"/>
  <c r="N306" i="1"/>
  <c r="O306" i="1" s="1"/>
  <c r="V321" i="1"/>
  <c r="W321" i="1" s="1"/>
  <c r="T321" i="1"/>
  <c r="U321" i="1" s="1"/>
  <c r="R321" i="1"/>
  <c r="S321" i="1" s="1"/>
  <c r="P321" i="1"/>
  <c r="Q321" i="1" s="1"/>
  <c r="N321" i="1"/>
  <c r="O321" i="1" s="1"/>
  <c r="L321" i="1"/>
  <c r="M321" i="1" s="1"/>
  <c r="N330" i="1"/>
  <c r="O330" i="1" s="1"/>
  <c r="L330" i="1"/>
  <c r="M330" i="1" s="1"/>
  <c r="V330" i="1"/>
  <c r="W330" i="1" s="1"/>
  <c r="T330" i="1"/>
  <c r="U330" i="1" s="1"/>
  <c r="R330" i="1"/>
  <c r="S330" i="1" s="1"/>
  <c r="P330" i="1"/>
  <c r="Q330" i="1" s="1"/>
  <c r="T307" i="1"/>
  <c r="U307" i="1" s="1"/>
  <c r="R307" i="1"/>
  <c r="S307" i="1" s="1"/>
  <c r="P307" i="1"/>
  <c r="Q307" i="1" s="1"/>
  <c r="N307" i="1"/>
  <c r="O307" i="1" s="1"/>
  <c r="L307" i="1"/>
  <c r="M307" i="1" s="1"/>
  <c r="V307" i="1"/>
  <c r="W307" i="1" s="1"/>
  <c r="V334" i="1"/>
  <c r="W334" i="1" s="1"/>
  <c r="T334" i="1"/>
  <c r="U334" i="1" s="1"/>
  <c r="R334" i="1"/>
  <c r="S334" i="1" s="1"/>
  <c r="P334" i="1"/>
  <c r="Q334" i="1" s="1"/>
  <c r="N334" i="1"/>
  <c r="O334" i="1" s="1"/>
  <c r="L334" i="1"/>
  <c r="M334" i="1" s="1"/>
  <c r="V327" i="1"/>
  <c r="W327" i="1" s="1"/>
  <c r="T327" i="1"/>
  <c r="U327" i="1" s="1"/>
  <c r="R327" i="1"/>
  <c r="S327" i="1" s="1"/>
  <c r="P327" i="1"/>
  <c r="Q327" i="1" s="1"/>
  <c r="N327" i="1"/>
  <c r="O327" i="1" s="1"/>
  <c r="L327" i="1"/>
  <c r="M327" i="1" s="1"/>
  <c r="T364" i="1"/>
  <c r="U364" i="1" s="1"/>
  <c r="R364" i="1"/>
  <c r="S364" i="1" s="1"/>
  <c r="P364" i="1"/>
  <c r="Q364" i="1" s="1"/>
  <c r="N364" i="1"/>
  <c r="O364" i="1" s="1"/>
  <c r="L364" i="1"/>
  <c r="M364" i="1" s="1"/>
  <c r="V364" i="1"/>
  <c r="W364" i="1" s="1"/>
  <c r="V365" i="1"/>
  <c r="W365" i="1" s="1"/>
  <c r="T365" i="1"/>
  <c r="U365" i="1" s="1"/>
  <c r="R365" i="1"/>
  <c r="S365" i="1" s="1"/>
  <c r="P365" i="1"/>
  <c r="Q365" i="1" s="1"/>
  <c r="N365" i="1"/>
  <c r="O365" i="1" s="1"/>
  <c r="L365" i="1"/>
  <c r="M365" i="1" s="1"/>
  <c r="T323" i="1"/>
  <c r="U323" i="1" s="1"/>
  <c r="R323" i="1"/>
  <c r="S323" i="1" s="1"/>
  <c r="P323" i="1"/>
  <c r="Q323" i="1" s="1"/>
  <c r="N323" i="1"/>
  <c r="O323" i="1" s="1"/>
  <c r="L323" i="1"/>
  <c r="M323" i="1" s="1"/>
  <c r="V323" i="1"/>
  <c r="W323" i="1" s="1"/>
  <c r="L384" i="1"/>
  <c r="M384" i="1" s="1"/>
  <c r="N384" i="1"/>
  <c r="O384" i="1" s="1"/>
  <c r="P384" i="1"/>
  <c r="Q384" i="1" s="1"/>
  <c r="R384" i="1"/>
  <c r="S384" i="1" s="1"/>
  <c r="T384" i="1"/>
  <c r="U384" i="1" s="1"/>
  <c r="V384" i="1"/>
  <c r="W384" i="1" s="1"/>
  <c r="P410" i="1"/>
  <c r="Q410" i="1" s="1"/>
  <c r="N410" i="1"/>
  <c r="O410" i="1" s="1"/>
  <c r="L410" i="1"/>
  <c r="M410" i="1" s="1"/>
  <c r="J410" i="1"/>
  <c r="K410" i="1" s="1"/>
  <c r="H410" i="1"/>
  <c r="I410" i="1" s="1"/>
  <c r="R410" i="1"/>
  <c r="S410" i="1" s="1"/>
  <c r="L376" i="1"/>
  <c r="M376" i="1" s="1"/>
  <c r="N376" i="1"/>
  <c r="O376" i="1" s="1"/>
  <c r="P376" i="1"/>
  <c r="Q376" i="1" s="1"/>
  <c r="R376" i="1"/>
  <c r="S376" i="1" s="1"/>
  <c r="T376" i="1"/>
  <c r="U376" i="1" s="1"/>
  <c r="V376" i="1"/>
  <c r="W376" i="1" s="1"/>
  <c r="V332" i="1"/>
  <c r="W332" i="1" s="1"/>
  <c r="T332" i="1"/>
  <c r="U332" i="1" s="1"/>
  <c r="R332" i="1"/>
  <c r="S332" i="1" s="1"/>
  <c r="P332" i="1"/>
  <c r="Q332" i="1" s="1"/>
  <c r="N332" i="1"/>
  <c r="O332" i="1" s="1"/>
  <c r="L332" i="1"/>
  <c r="M332" i="1" s="1"/>
  <c r="V389" i="1"/>
  <c r="W389" i="1" s="1"/>
  <c r="T389" i="1"/>
  <c r="U389" i="1" s="1"/>
  <c r="R389" i="1"/>
  <c r="S389" i="1" s="1"/>
  <c r="P389" i="1"/>
  <c r="Q389" i="1" s="1"/>
  <c r="N389" i="1"/>
  <c r="O389" i="1" s="1"/>
  <c r="L389" i="1"/>
  <c r="M389" i="1" s="1"/>
  <c r="J389" i="1"/>
  <c r="K389" i="1" s="1"/>
  <c r="H389" i="1"/>
  <c r="I389" i="1" s="1"/>
  <c r="N406" i="1"/>
  <c r="O406" i="1" s="1"/>
  <c r="L406" i="1"/>
  <c r="M406" i="1" s="1"/>
  <c r="J406" i="1"/>
  <c r="K406" i="1" s="1"/>
  <c r="P406" i="1"/>
  <c r="Q406" i="1" s="1"/>
  <c r="H406" i="1"/>
  <c r="I406" i="1" s="1"/>
  <c r="V406" i="1"/>
  <c r="W406" i="1" s="1"/>
  <c r="T406" i="1"/>
  <c r="U406" i="1" s="1"/>
  <c r="R406" i="1"/>
  <c r="S406" i="1" s="1"/>
  <c r="N413" i="1"/>
  <c r="R413" i="1"/>
  <c r="L413" i="1"/>
  <c r="J413" i="1"/>
  <c r="H413" i="1"/>
  <c r="V413" i="1"/>
  <c r="T413" i="1"/>
  <c r="P413" i="1"/>
  <c r="R309" i="1"/>
  <c r="S309" i="1" s="1"/>
  <c r="P309" i="1"/>
  <c r="Q309" i="1" s="1"/>
  <c r="N309" i="1"/>
  <c r="O309" i="1" s="1"/>
  <c r="L309" i="1"/>
  <c r="M309" i="1" s="1"/>
  <c r="V309" i="1"/>
  <c r="W309" i="1" s="1"/>
  <c r="T309" i="1"/>
  <c r="U309" i="1" s="1"/>
  <c r="T326" i="1"/>
  <c r="U326" i="1" s="1"/>
  <c r="R326" i="1"/>
  <c r="S326" i="1" s="1"/>
  <c r="P326" i="1"/>
  <c r="Q326" i="1" s="1"/>
  <c r="N326" i="1"/>
  <c r="O326" i="1" s="1"/>
  <c r="L326" i="1"/>
  <c r="M326" i="1" s="1"/>
  <c r="V326" i="1"/>
  <c r="W326" i="1" s="1"/>
  <c r="L380" i="1"/>
  <c r="M380" i="1" s="1"/>
  <c r="N380" i="1"/>
  <c r="O380" i="1" s="1"/>
  <c r="P380" i="1"/>
  <c r="Q380" i="1" s="1"/>
  <c r="R380" i="1"/>
  <c r="S380" i="1" s="1"/>
  <c r="T380" i="1"/>
  <c r="U380" i="1" s="1"/>
  <c r="V380" i="1"/>
  <c r="W380" i="1" s="1"/>
  <c r="V345" i="1"/>
  <c r="W345" i="1" s="1"/>
  <c r="T345" i="1"/>
  <c r="U345" i="1" s="1"/>
  <c r="R345" i="1"/>
  <c r="S345" i="1" s="1"/>
  <c r="P345" i="1"/>
  <c r="Q345" i="1" s="1"/>
  <c r="N345" i="1"/>
  <c r="O345" i="1" s="1"/>
  <c r="L345" i="1"/>
  <c r="M345" i="1" s="1"/>
  <c r="L342" i="1"/>
  <c r="M342" i="1" s="1"/>
  <c r="V342" i="1"/>
  <c r="W342" i="1" s="1"/>
  <c r="T342" i="1"/>
  <c r="U342" i="1" s="1"/>
  <c r="R342" i="1"/>
  <c r="S342" i="1" s="1"/>
  <c r="P342" i="1"/>
  <c r="Q342" i="1" s="1"/>
  <c r="N342" i="1"/>
  <c r="O342" i="1" s="1"/>
  <c r="L311" i="1"/>
  <c r="M311" i="1" s="1"/>
  <c r="V311" i="1"/>
  <c r="W311" i="1" s="1"/>
  <c r="T311" i="1"/>
  <c r="U311" i="1" s="1"/>
  <c r="R311" i="1"/>
  <c r="S311" i="1" s="1"/>
  <c r="P311" i="1"/>
  <c r="Q311" i="1" s="1"/>
  <c r="N311" i="1"/>
  <c r="O311" i="1" s="1"/>
  <c r="H409" i="1"/>
  <c r="I409" i="1" s="1"/>
  <c r="V409" i="1"/>
  <c r="W409" i="1" s="1"/>
  <c r="T409" i="1"/>
  <c r="U409" i="1" s="1"/>
  <c r="R409" i="1"/>
  <c r="S409" i="1" s="1"/>
  <c r="P409" i="1"/>
  <c r="Q409" i="1" s="1"/>
  <c r="N409" i="1"/>
  <c r="O409" i="1" s="1"/>
  <c r="L409" i="1"/>
  <c r="M409" i="1" s="1"/>
  <c r="J409" i="1"/>
  <c r="K409" i="1" s="1"/>
  <c r="V336" i="1"/>
  <c r="W336" i="1" s="1"/>
  <c r="T336" i="1"/>
  <c r="U336" i="1" s="1"/>
  <c r="R336" i="1"/>
  <c r="S336" i="1" s="1"/>
  <c r="P336" i="1"/>
  <c r="Q336" i="1" s="1"/>
  <c r="N336" i="1"/>
  <c r="O336" i="1" s="1"/>
  <c r="L336" i="1"/>
  <c r="M336" i="1" s="1"/>
  <c r="J336" i="1"/>
  <c r="K336" i="1" s="1"/>
  <c r="H336" i="1"/>
  <c r="I336" i="1" s="1"/>
  <c r="L377" i="1"/>
  <c r="M377" i="1" s="1"/>
  <c r="N377" i="1"/>
  <c r="O377" i="1" s="1"/>
  <c r="P377" i="1"/>
  <c r="Q377" i="1" s="1"/>
  <c r="R377" i="1"/>
  <c r="S377" i="1" s="1"/>
  <c r="T377" i="1"/>
  <c r="U377" i="1" s="1"/>
  <c r="V377" i="1"/>
  <c r="W377" i="1" s="1"/>
  <c r="V312" i="1"/>
  <c r="W312" i="1" s="1"/>
  <c r="T312" i="1"/>
  <c r="U312" i="1" s="1"/>
  <c r="R312" i="1"/>
  <c r="S312" i="1" s="1"/>
  <c r="P312" i="1"/>
  <c r="Q312" i="1" s="1"/>
  <c r="N312" i="1"/>
  <c r="O312" i="1" s="1"/>
  <c r="L312" i="1"/>
  <c r="M312" i="1" s="1"/>
  <c r="V369" i="1"/>
  <c r="W369" i="1" s="1"/>
  <c r="T369" i="1"/>
  <c r="U369" i="1" s="1"/>
  <c r="R369" i="1"/>
  <c r="S369" i="1" s="1"/>
  <c r="P369" i="1"/>
  <c r="Q369" i="1" s="1"/>
  <c r="N369" i="1"/>
  <c r="O369" i="1" s="1"/>
  <c r="L369" i="1"/>
  <c r="M369" i="1" s="1"/>
  <c r="V363" i="1"/>
  <c r="W363" i="1" s="1"/>
  <c r="T363" i="1"/>
  <c r="U363" i="1" s="1"/>
  <c r="R363" i="1"/>
  <c r="S363" i="1" s="1"/>
  <c r="P363" i="1"/>
  <c r="Q363" i="1" s="1"/>
  <c r="N363" i="1"/>
  <c r="O363" i="1" s="1"/>
  <c r="L363" i="1"/>
  <c r="M363" i="1" s="1"/>
  <c r="V310" i="1"/>
  <c r="W310" i="1" s="1"/>
  <c r="T310" i="1"/>
  <c r="U310" i="1" s="1"/>
  <c r="R310" i="1"/>
  <c r="S310" i="1" s="1"/>
  <c r="P310" i="1"/>
  <c r="Q310" i="1" s="1"/>
  <c r="N310" i="1"/>
  <c r="O310" i="1" s="1"/>
  <c r="L310" i="1"/>
  <c r="M310" i="1" s="1"/>
  <c r="N339" i="1"/>
  <c r="O339" i="1" s="1"/>
  <c r="L339" i="1"/>
  <c r="M339" i="1" s="1"/>
  <c r="V339" i="1"/>
  <c r="W339" i="1" s="1"/>
  <c r="T339" i="1"/>
  <c r="U339" i="1" s="1"/>
  <c r="P339" i="1"/>
  <c r="Q339" i="1" s="1"/>
  <c r="R339" i="1"/>
  <c r="S339" i="1" s="1"/>
  <c r="T333" i="1"/>
  <c r="U333" i="1" s="1"/>
  <c r="R333" i="1"/>
  <c r="S333" i="1" s="1"/>
  <c r="P333" i="1"/>
  <c r="Q333" i="1" s="1"/>
  <c r="N333" i="1"/>
  <c r="O333" i="1" s="1"/>
  <c r="L333" i="1"/>
  <c r="M333" i="1" s="1"/>
  <c r="V333" i="1"/>
  <c r="W333" i="1" s="1"/>
  <c r="F283" i="1"/>
  <c r="H283" i="1" l="1"/>
  <c r="I283" i="1" s="1"/>
  <c r="V283" i="1"/>
  <c r="W283" i="1" s="1"/>
  <c r="T283" i="1"/>
  <c r="U283" i="1" s="1"/>
  <c r="R283" i="1"/>
  <c r="S283" i="1" s="1"/>
  <c r="P283" i="1"/>
  <c r="Q283" i="1" s="1"/>
  <c r="N283" i="1"/>
  <c r="O283" i="1" s="1"/>
  <c r="L283" i="1"/>
  <c r="M283" i="1" s="1"/>
  <c r="J283" i="1"/>
  <c r="K283" i="1" s="1"/>
  <c r="F242" i="1"/>
  <c r="F233" i="1"/>
  <c r="F226" i="1"/>
  <c r="G276" i="1"/>
  <c r="V57" i="1"/>
  <c r="T57" i="1"/>
  <c r="P57" i="1"/>
  <c r="R57" i="1"/>
  <c r="N57" i="1"/>
  <c r="L57" i="1"/>
  <c r="J57" i="1"/>
  <c r="W127" i="1"/>
  <c r="U127" i="1"/>
  <c r="S127" i="1"/>
  <c r="Q127" i="1"/>
  <c r="O127" i="1"/>
  <c r="W48" i="1"/>
  <c r="U48" i="1"/>
  <c r="S48" i="1"/>
  <c r="Q48" i="1"/>
  <c r="O48" i="1"/>
  <c r="W47" i="1"/>
  <c r="U47" i="1"/>
  <c r="S47" i="1"/>
  <c r="Q47" i="1"/>
  <c r="O47" i="1"/>
  <c r="W45" i="1"/>
  <c r="U45" i="1"/>
  <c r="S45" i="1"/>
  <c r="Q45" i="1"/>
  <c r="O45" i="1"/>
  <c r="W44" i="1"/>
  <c r="U44" i="1"/>
  <c r="S44" i="1"/>
  <c r="Q44" i="1"/>
  <c r="O44" i="1"/>
  <c r="W42" i="1"/>
  <c r="U42" i="1"/>
  <c r="S42" i="1"/>
  <c r="Q42" i="1"/>
  <c r="O42" i="1"/>
  <c r="W41" i="1"/>
  <c r="U41" i="1"/>
  <c r="S41" i="1"/>
  <c r="Q41" i="1"/>
  <c r="O41" i="1"/>
  <c r="R242" i="1" l="1"/>
  <c r="S242" i="1" s="1"/>
  <c r="P242" i="1"/>
  <c r="Q242" i="1" s="1"/>
  <c r="N242" i="1"/>
  <c r="O242" i="1" s="1"/>
  <c r="L242" i="1"/>
  <c r="M242" i="1" s="1"/>
  <c r="J242" i="1"/>
  <c r="K242" i="1" s="1"/>
  <c r="H242" i="1"/>
  <c r="I242" i="1" s="1"/>
  <c r="T242" i="1"/>
  <c r="U242" i="1" s="1"/>
  <c r="V242" i="1"/>
  <c r="W242" i="1" s="1"/>
  <c r="L233" i="1"/>
  <c r="M233" i="1" s="1"/>
  <c r="J233" i="1"/>
  <c r="K233" i="1" s="1"/>
  <c r="V233" i="1"/>
  <c r="W233" i="1" s="1"/>
  <c r="H233" i="1"/>
  <c r="I233" i="1" s="1"/>
  <c r="N233" i="1"/>
  <c r="O233" i="1" s="1"/>
  <c r="T233" i="1"/>
  <c r="U233" i="1" s="1"/>
  <c r="R233" i="1"/>
  <c r="S233" i="1" s="1"/>
  <c r="P233" i="1"/>
  <c r="Q233" i="1" s="1"/>
  <c r="H248" i="1"/>
  <c r="I248" i="1" s="1"/>
  <c r="V248" i="1"/>
  <c r="W248" i="1" s="1"/>
  <c r="T248" i="1"/>
  <c r="U248" i="1" s="1"/>
  <c r="R248" i="1"/>
  <c r="S248" i="1" s="1"/>
  <c r="P248" i="1"/>
  <c r="Q248" i="1" s="1"/>
  <c r="N248" i="1"/>
  <c r="O248" i="1" s="1"/>
  <c r="L248" i="1"/>
  <c r="M248" i="1" s="1"/>
  <c r="J248" i="1"/>
  <c r="K248" i="1" s="1"/>
  <c r="H226" i="1"/>
  <c r="I226" i="1" s="1"/>
  <c r="V226" i="1"/>
  <c r="W226" i="1" s="1"/>
  <c r="T226" i="1"/>
  <c r="U226" i="1" s="1"/>
  <c r="R226" i="1"/>
  <c r="S226" i="1" s="1"/>
  <c r="P226" i="1"/>
  <c r="Q226" i="1" s="1"/>
  <c r="N226" i="1"/>
  <c r="O226" i="1" s="1"/>
  <c r="L226" i="1"/>
  <c r="M226" i="1" s="1"/>
  <c r="J226" i="1"/>
  <c r="K226" i="1" s="1"/>
  <c r="W39" i="1"/>
  <c r="U39" i="1"/>
  <c r="S39" i="1"/>
  <c r="Q39" i="1"/>
  <c r="O39" i="1"/>
  <c r="W33" i="1"/>
  <c r="U33" i="1"/>
  <c r="S33" i="1"/>
  <c r="Q33" i="1"/>
  <c r="O33" i="1"/>
  <c r="W32" i="1"/>
  <c r="U32" i="1"/>
  <c r="S32" i="1"/>
  <c r="Q32" i="1"/>
  <c r="O32" i="1"/>
  <c r="W31" i="1"/>
  <c r="U31" i="1"/>
  <c r="S31" i="1"/>
  <c r="Q31" i="1"/>
  <c r="O31" i="1"/>
  <c r="W30" i="1"/>
  <c r="U30" i="1"/>
  <c r="S30" i="1"/>
  <c r="Q30" i="1"/>
  <c r="O30" i="1"/>
  <c r="W36" i="1"/>
  <c r="U36" i="1"/>
  <c r="S36" i="1"/>
  <c r="Q36" i="1"/>
  <c r="O36" i="1"/>
  <c r="F366" i="1" l="1"/>
  <c r="F28" i="1"/>
  <c r="F186" i="1"/>
  <c r="F185" i="1"/>
  <c r="F265" i="1"/>
  <c r="F568" i="1"/>
  <c r="F254" i="1"/>
  <c r="F249" i="1"/>
  <c r="F448" i="1"/>
  <c r="F449" i="1"/>
  <c r="F247" i="1"/>
  <c r="F385" i="1"/>
  <c r="F264" i="1"/>
  <c r="F255" i="1"/>
  <c r="F401" i="1"/>
  <c r="F379" i="1"/>
  <c r="F411" i="1"/>
  <c r="F257" i="1"/>
  <c r="F378" i="1"/>
  <c r="F375" i="1"/>
  <c r="H449" i="1" l="1"/>
  <c r="I449" i="1" s="1"/>
  <c r="L449" i="1"/>
  <c r="M449" i="1" s="1"/>
  <c r="J449" i="1"/>
  <c r="K449" i="1" s="1"/>
  <c r="V448" i="1"/>
  <c r="W448" i="1" s="1"/>
  <c r="N448" i="1"/>
  <c r="O448" i="1" s="1"/>
  <c r="T448" i="1"/>
  <c r="U448" i="1" s="1"/>
  <c r="R448" i="1"/>
  <c r="S448" i="1" s="1"/>
  <c r="P448" i="1"/>
  <c r="Q448" i="1" s="1"/>
  <c r="J448" i="1"/>
  <c r="K448" i="1" s="1"/>
  <c r="H448" i="1"/>
  <c r="I448" i="1" s="1"/>
  <c r="L448" i="1"/>
  <c r="M448" i="1" s="1"/>
  <c r="P568" i="1"/>
  <c r="Q568" i="1" s="1"/>
  <c r="N568" i="1"/>
  <c r="O568" i="1" s="1"/>
  <c r="L568" i="1"/>
  <c r="M568" i="1" s="1"/>
  <c r="J568" i="1"/>
  <c r="K568" i="1" s="1"/>
  <c r="H568" i="1"/>
  <c r="I568" i="1" s="1"/>
  <c r="V568" i="1"/>
  <c r="W568" i="1" s="1"/>
  <c r="T568" i="1"/>
  <c r="U568" i="1" s="1"/>
  <c r="R568" i="1"/>
  <c r="S568" i="1" s="1"/>
  <c r="N167" i="1"/>
  <c r="O167" i="1" s="1"/>
  <c r="J167" i="1"/>
  <c r="K167" i="1" s="1"/>
  <c r="H167" i="1"/>
  <c r="I167" i="1" s="1"/>
  <c r="P167" i="1"/>
  <c r="Q167" i="1" s="1"/>
  <c r="L167" i="1"/>
  <c r="M167" i="1" s="1"/>
  <c r="V167" i="1"/>
  <c r="W167" i="1" s="1"/>
  <c r="T167" i="1"/>
  <c r="U167" i="1" s="1"/>
  <c r="R167" i="1"/>
  <c r="S167" i="1" s="1"/>
  <c r="P250" i="1"/>
  <c r="Q250" i="1" s="1"/>
  <c r="N250" i="1"/>
  <c r="O250" i="1" s="1"/>
  <c r="L250" i="1"/>
  <c r="M250" i="1" s="1"/>
  <c r="J250" i="1"/>
  <c r="K250" i="1" s="1"/>
  <c r="R250" i="1"/>
  <c r="S250" i="1" s="1"/>
  <c r="H250" i="1"/>
  <c r="I250" i="1" s="1"/>
  <c r="V250" i="1"/>
  <c r="W250" i="1" s="1"/>
  <c r="T250" i="1"/>
  <c r="U250" i="1" s="1"/>
  <c r="V166" i="1"/>
  <c r="W166" i="1" s="1"/>
  <c r="T166" i="1"/>
  <c r="U166" i="1" s="1"/>
  <c r="R166" i="1"/>
  <c r="S166" i="1" s="1"/>
  <c r="P166" i="1"/>
  <c r="Q166" i="1" s="1"/>
  <c r="H166" i="1"/>
  <c r="N166" i="1"/>
  <c r="O166" i="1" s="1"/>
  <c r="L166" i="1"/>
  <c r="M166" i="1" s="1"/>
  <c r="J166" i="1"/>
  <c r="K166" i="1" s="1"/>
  <c r="V186" i="1"/>
  <c r="W186" i="1" s="1"/>
  <c r="T186" i="1"/>
  <c r="U186" i="1" s="1"/>
  <c r="R186" i="1"/>
  <c r="S186" i="1" s="1"/>
  <c r="P186" i="1"/>
  <c r="Q186" i="1" s="1"/>
  <c r="N186" i="1"/>
  <c r="O186" i="1" s="1"/>
  <c r="L186" i="1"/>
  <c r="M186" i="1" s="1"/>
  <c r="V257" i="1"/>
  <c r="W257" i="1" s="1"/>
  <c r="T257" i="1"/>
  <c r="U257" i="1" s="1"/>
  <c r="R257" i="1"/>
  <c r="S257" i="1" s="1"/>
  <c r="P257" i="1"/>
  <c r="Q257" i="1" s="1"/>
  <c r="H257" i="1"/>
  <c r="I257" i="1" s="1"/>
  <c r="N257" i="1"/>
  <c r="O257" i="1" s="1"/>
  <c r="L257" i="1"/>
  <c r="M257" i="1" s="1"/>
  <c r="J257" i="1"/>
  <c r="K257" i="1" s="1"/>
  <c r="H254" i="1"/>
  <c r="I254" i="1" s="1"/>
  <c r="V254" i="1"/>
  <c r="W254" i="1" s="1"/>
  <c r="T254" i="1"/>
  <c r="U254" i="1" s="1"/>
  <c r="R254" i="1"/>
  <c r="S254" i="1" s="1"/>
  <c r="P254" i="1"/>
  <c r="Q254" i="1" s="1"/>
  <c r="N254" i="1"/>
  <c r="O254" i="1" s="1"/>
  <c r="L254" i="1"/>
  <c r="M254" i="1" s="1"/>
  <c r="J254" i="1"/>
  <c r="K254" i="1" s="1"/>
  <c r="R264" i="1"/>
  <c r="S264" i="1" s="1"/>
  <c r="P264" i="1"/>
  <c r="Q264" i="1" s="1"/>
  <c r="T264" i="1"/>
  <c r="U264" i="1" s="1"/>
  <c r="N264" i="1"/>
  <c r="O264" i="1" s="1"/>
  <c r="L264" i="1"/>
  <c r="M264" i="1" s="1"/>
  <c r="J264" i="1"/>
  <c r="K264" i="1" s="1"/>
  <c r="V264" i="1"/>
  <c r="W264" i="1" s="1"/>
  <c r="H264" i="1"/>
  <c r="I264" i="1" s="1"/>
  <c r="V251" i="1"/>
  <c r="W251" i="1" s="1"/>
  <c r="T251" i="1"/>
  <c r="U251" i="1" s="1"/>
  <c r="R251" i="1"/>
  <c r="S251" i="1" s="1"/>
  <c r="P251" i="1"/>
  <c r="Q251" i="1" s="1"/>
  <c r="N251" i="1"/>
  <c r="O251" i="1" s="1"/>
  <c r="L251" i="1"/>
  <c r="M251" i="1" s="1"/>
  <c r="J251" i="1"/>
  <c r="K251" i="1" s="1"/>
  <c r="H251" i="1"/>
  <c r="I251" i="1" s="1"/>
  <c r="L249" i="1"/>
  <c r="M249" i="1" s="1"/>
  <c r="J249" i="1"/>
  <c r="K249" i="1" s="1"/>
  <c r="H249" i="1"/>
  <c r="I249" i="1" s="1"/>
  <c r="N249" i="1"/>
  <c r="O249" i="1" s="1"/>
  <c r="V249" i="1"/>
  <c r="W249" i="1" s="1"/>
  <c r="T249" i="1"/>
  <c r="U249" i="1" s="1"/>
  <c r="R249" i="1"/>
  <c r="S249" i="1" s="1"/>
  <c r="P249" i="1"/>
  <c r="Q249" i="1" s="1"/>
  <c r="N255" i="1"/>
  <c r="O255" i="1" s="1"/>
  <c r="L255" i="1"/>
  <c r="M255" i="1" s="1"/>
  <c r="J255" i="1"/>
  <c r="K255" i="1" s="1"/>
  <c r="H255" i="1"/>
  <c r="I255" i="1" s="1"/>
  <c r="V255" i="1"/>
  <c r="W255" i="1" s="1"/>
  <c r="P255" i="1"/>
  <c r="Q255" i="1" s="1"/>
  <c r="T255" i="1"/>
  <c r="U255" i="1" s="1"/>
  <c r="R255" i="1"/>
  <c r="S255" i="1" s="1"/>
  <c r="R265" i="1"/>
  <c r="S265" i="1" s="1"/>
  <c r="P265" i="1"/>
  <c r="Q265" i="1" s="1"/>
  <c r="N265" i="1"/>
  <c r="O265" i="1" s="1"/>
  <c r="L265" i="1"/>
  <c r="M265" i="1" s="1"/>
  <c r="J265" i="1"/>
  <c r="K265" i="1" s="1"/>
  <c r="H265" i="1"/>
  <c r="I265" i="1" s="1"/>
  <c r="V265" i="1"/>
  <c r="W265" i="1" s="1"/>
  <c r="T265" i="1"/>
  <c r="U265" i="1" s="1"/>
  <c r="N185" i="1"/>
  <c r="O185" i="1" s="1"/>
  <c r="L185" i="1"/>
  <c r="M185" i="1" s="1"/>
  <c r="V185" i="1"/>
  <c r="W185" i="1" s="1"/>
  <c r="T185" i="1"/>
  <c r="U185" i="1" s="1"/>
  <c r="P185" i="1"/>
  <c r="Q185" i="1" s="1"/>
  <c r="R185" i="1"/>
  <c r="S185" i="1" s="1"/>
  <c r="V244" i="1"/>
  <c r="W244" i="1" s="1"/>
  <c r="T244" i="1"/>
  <c r="U244" i="1" s="1"/>
  <c r="R244" i="1"/>
  <c r="S244" i="1" s="1"/>
  <c r="P244" i="1"/>
  <c r="Q244" i="1" s="1"/>
  <c r="N244" i="1"/>
  <c r="O244" i="1" s="1"/>
  <c r="L244" i="1"/>
  <c r="M244" i="1" s="1"/>
  <c r="J244" i="1"/>
  <c r="K244" i="1" s="1"/>
  <c r="H244" i="1"/>
  <c r="I244" i="1" s="1"/>
  <c r="V247" i="1"/>
  <c r="W247" i="1" s="1"/>
  <c r="T247" i="1"/>
  <c r="U247" i="1" s="1"/>
  <c r="R247" i="1"/>
  <c r="S247" i="1" s="1"/>
  <c r="P247" i="1"/>
  <c r="Q247" i="1" s="1"/>
  <c r="N247" i="1"/>
  <c r="O247" i="1" s="1"/>
  <c r="L247" i="1"/>
  <c r="M247" i="1" s="1"/>
  <c r="J247" i="1"/>
  <c r="K247" i="1" s="1"/>
  <c r="H247" i="1"/>
  <c r="I247" i="1" s="1"/>
  <c r="L379" i="1"/>
  <c r="M379" i="1" s="1"/>
  <c r="N379" i="1"/>
  <c r="O379" i="1" s="1"/>
  <c r="P379" i="1"/>
  <c r="Q379" i="1" s="1"/>
  <c r="R379" i="1"/>
  <c r="S379" i="1" s="1"/>
  <c r="T379" i="1"/>
  <c r="U379" i="1" s="1"/>
  <c r="V379" i="1"/>
  <c r="W379" i="1" s="1"/>
  <c r="H411" i="1"/>
  <c r="I411" i="1" s="1"/>
  <c r="L411" i="1"/>
  <c r="M411" i="1" s="1"/>
  <c r="V411" i="1"/>
  <c r="W411" i="1" s="1"/>
  <c r="T411" i="1"/>
  <c r="U411" i="1" s="1"/>
  <c r="R411" i="1"/>
  <c r="S411" i="1" s="1"/>
  <c r="P411" i="1"/>
  <c r="Q411" i="1" s="1"/>
  <c r="N411" i="1"/>
  <c r="O411" i="1" s="1"/>
  <c r="J411" i="1"/>
  <c r="K411" i="1" s="1"/>
  <c r="H401" i="1"/>
  <c r="I401" i="1" s="1"/>
  <c r="L401" i="1"/>
  <c r="M401" i="1" s="1"/>
  <c r="V401" i="1"/>
  <c r="W401" i="1" s="1"/>
  <c r="T401" i="1"/>
  <c r="U401" i="1" s="1"/>
  <c r="R401" i="1"/>
  <c r="S401" i="1" s="1"/>
  <c r="P401" i="1"/>
  <c r="Q401" i="1" s="1"/>
  <c r="N401" i="1"/>
  <c r="O401" i="1" s="1"/>
  <c r="J401" i="1"/>
  <c r="K401" i="1" s="1"/>
  <c r="L385" i="1"/>
  <c r="M385" i="1" s="1"/>
  <c r="N385" i="1"/>
  <c r="O385" i="1" s="1"/>
  <c r="P385" i="1"/>
  <c r="Q385" i="1" s="1"/>
  <c r="R385" i="1"/>
  <c r="S385" i="1" s="1"/>
  <c r="T385" i="1"/>
  <c r="U385" i="1" s="1"/>
  <c r="V385" i="1"/>
  <c r="W385" i="1" s="1"/>
  <c r="L378" i="1"/>
  <c r="M378" i="1" s="1"/>
  <c r="N378" i="1"/>
  <c r="O378" i="1" s="1"/>
  <c r="P378" i="1"/>
  <c r="Q378" i="1" s="1"/>
  <c r="R378" i="1"/>
  <c r="S378" i="1" s="1"/>
  <c r="T378" i="1"/>
  <c r="U378" i="1" s="1"/>
  <c r="V378" i="1"/>
  <c r="W378" i="1" s="1"/>
  <c r="L375" i="1"/>
  <c r="M375" i="1" s="1"/>
  <c r="N375" i="1"/>
  <c r="O375" i="1" s="1"/>
  <c r="P375" i="1"/>
  <c r="Q375" i="1" s="1"/>
  <c r="R375" i="1"/>
  <c r="S375" i="1" s="1"/>
  <c r="T375" i="1"/>
  <c r="U375" i="1" s="1"/>
  <c r="V375" i="1"/>
  <c r="W375" i="1" s="1"/>
  <c r="T366" i="1"/>
  <c r="U366" i="1" s="1"/>
  <c r="R366" i="1"/>
  <c r="S366" i="1" s="1"/>
  <c r="P366" i="1"/>
  <c r="Q366" i="1" s="1"/>
  <c r="N366" i="1"/>
  <c r="O366" i="1" s="1"/>
  <c r="L366" i="1"/>
  <c r="M366" i="1" s="1"/>
  <c r="V366" i="1"/>
  <c r="W366" i="1" s="1"/>
  <c r="G186" i="1"/>
  <c r="G265" i="1"/>
  <c r="G568" i="1"/>
  <c r="J258" i="1" l="1"/>
  <c r="K258" i="1" s="1"/>
  <c r="H258" i="1"/>
  <c r="I258" i="1" s="1"/>
  <c r="V258" i="1"/>
  <c r="W258" i="1" s="1"/>
  <c r="T258" i="1"/>
  <c r="U258" i="1" s="1"/>
  <c r="R258" i="1"/>
  <c r="S258" i="1" s="1"/>
  <c r="P258" i="1"/>
  <c r="Q258" i="1" s="1"/>
  <c r="N258" i="1"/>
  <c r="O258" i="1" s="1"/>
  <c r="L258" i="1"/>
  <c r="M258" i="1" s="1"/>
  <c r="J422" i="1"/>
  <c r="K422" i="1" s="1"/>
  <c r="P422" i="1"/>
  <c r="R422" i="1"/>
  <c r="T422" i="1"/>
  <c r="V422" i="1"/>
  <c r="V144" i="1"/>
  <c r="W144" i="1" s="1"/>
  <c r="T144" i="1"/>
  <c r="U144" i="1" s="1"/>
  <c r="R144" i="1"/>
  <c r="S144" i="1" s="1"/>
  <c r="P144" i="1"/>
  <c r="Q144" i="1" s="1"/>
  <c r="N144" i="1"/>
  <c r="O144" i="1" s="1"/>
  <c r="L144" i="1"/>
  <c r="M144" i="1" s="1"/>
  <c r="J144" i="1"/>
  <c r="K144" i="1" s="1"/>
  <c r="J140" i="1"/>
  <c r="V140" i="1"/>
  <c r="T140" i="1"/>
  <c r="R140" i="1"/>
  <c r="P140" i="1"/>
  <c r="N140" i="1"/>
  <c r="L140" i="1"/>
  <c r="N207" i="1"/>
  <c r="O207" i="1" s="1"/>
  <c r="L207" i="1"/>
  <c r="M207" i="1" s="1"/>
  <c r="J207" i="1"/>
  <c r="K207" i="1" s="1"/>
  <c r="F636" i="1"/>
  <c r="F541" i="1" l="1"/>
  <c r="F540" i="1"/>
  <c r="F505" i="1"/>
  <c r="F504" i="1"/>
  <c r="F503" i="1"/>
  <c r="F502" i="1"/>
  <c r="F501" i="1"/>
  <c r="F500" i="1"/>
  <c r="F492" i="1"/>
  <c r="F491" i="1"/>
  <c r="V507" i="1"/>
  <c r="W507" i="1" s="1"/>
  <c r="T507" i="1"/>
  <c r="U507" i="1" s="1"/>
  <c r="R507" i="1"/>
  <c r="S507" i="1" s="1"/>
  <c r="P507" i="1"/>
  <c r="Q507" i="1" s="1"/>
  <c r="N507" i="1"/>
  <c r="O507" i="1" s="1"/>
  <c r="I507" i="1"/>
  <c r="V482" i="1"/>
  <c r="F548" i="1"/>
  <c r="F550" i="1"/>
  <c r="V178" i="1"/>
  <c r="T178" i="1"/>
  <c r="R178" i="1"/>
  <c r="P178" i="1"/>
  <c r="N178" i="1"/>
  <c r="L178" i="1"/>
  <c r="L500" i="1" l="1"/>
  <c r="M500" i="1" s="1"/>
  <c r="H500" i="1"/>
  <c r="J500" i="1"/>
  <c r="K500" i="1" s="1"/>
  <c r="N548" i="1"/>
  <c r="O548" i="1" s="1"/>
  <c r="P548" i="1"/>
  <c r="Q548" i="1" s="1"/>
  <c r="R548" i="1"/>
  <c r="S548" i="1" s="1"/>
  <c r="T548" i="1"/>
  <c r="U548" i="1" s="1"/>
  <c r="H548" i="1"/>
  <c r="I548" i="1" s="1"/>
  <c r="L548" i="1"/>
  <c r="M548" i="1" s="1"/>
  <c r="J548" i="1"/>
  <c r="K548" i="1" s="1"/>
  <c r="V548" i="1"/>
  <c r="W548" i="1" s="1"/>
  <c r="V503" i="1"/>
  <c r="W503" i="1" s="1"/>
  <c r="T503" i="1"/>
  <c r="U503" i="1" s="1"/>
  <c r="R503" i="1"/>
  <c r="S503" i="1" s="1"/>
  <c r="N503" i="1"/>
  <c r="O503" i="1" s="1"/>
  <c r="H503" i="1"/>
  <c r="I503" i="1" s="1"/>
  <c r="L503" i="1"/>
  <c r="M503" i="1" s="1"/>
  <c r="J503" i="1"/>
  <c r="K503" i="1" s="1"/>
  <c r="P503" i="1"/>
  <c r="Q503" i="1" s="1"/>
  <c r="N550" i="1"/>
  <c r="O550" i="1" s="1"/>
  <c r="P550" i="1"/>
  <c r="Q550" i="1" s="1"/>
  <c r="R550" i="1"/>
  <c r="S550" i="1" s="1"/>
  <c r="T550" i="1"/>
  <c r="U550" i="1" s="1"/>
  <c r="H550" i="1"/>
  <c r="I550" i="1" s="1"/>
  <c r="J550" i="1"/>
  <c r="K550" i="1" s="1"/>
  <c r="L550" i="1"/>
  <c r="M550" i="1" s="1"/>
  <c r="V550" i="1"/>
  <c r="W550" i="1" s="1"/>
  <c r="L504" i="1"/>
  <c r="M504" i="1" s="1"/>
  <c r="H504" i="1"/>
  <c r="J504" i="1"/>
  <c r="K504" i="1" s="1"/>
  <c r="L492" i="1"/>
  <c r="M492" i="1" s="1"/>
  <c r="J492" i="1"/>
  <c r="K492" i="1" s="1"/>
  <c r="H492" i="1"/>
  <c r="V501" i="1"/>
  <c r="W501" i="1" s="1"/>
  <c r="T501" i="1"/>
  <c r="U501" i="1" s="1"/>
  <c r="R501" i="1"/>
  <c r="S501" i="1" s="1"/>
  <c r="P501" i="1"/>
  <c r="Q501" i="1" s="1"/>
  <c r="N501" i="1"/>
  <c r="O501" i="1" s="1"/>
  <c r="L501" i="1"/>
  <c r="M501" i="1" s="1"/>
  <c r="J501" i="1"/>
  <c r="K501" i="1" s="1"/>
  <c r="H501" i="1"/>
  <c r="I501" i="1" s="1"/>
  <c r="L505" i="1"/>
  <c r="M505" i="1" s="1"/>
  <c r="J505" i="1"/>
  <c r="K505" i="1" s="1"/>
  <c r="V505" i="1"/>
  <c r="W505" i="1" s="1"/>
  <c r="H505" i="1"/>
  <c r="I505" i="1" s="1"/>
  <c r="R505" i="1"/>
  <c r="S505" i="1" s="1"/>
  <c r="P505" i="1"/>
  <c r="Q505" i="1" s="1"/>
  <c r="T505" i="1"/>
  <c r="U505" i="1" s="1"/>
  <c r="N505" i="1"/>
  <c r="O505" i="1" s="1"/>
  <c r="L502" i="1"/>
  <c r="M502" i="1" s="1"/>
  <c r="J502" i="1"/>
  <c r="K502" i="1" s="1"/>
  <c r="H502" i="1"/>
  <c r="P540" i="1"/>
  <c r="Q540" i="1" s="1"/>
  <c r="R540" i="1"/>
  <c r="S540" i="1" s="1"/>
  <c r="T540" i="1"/>
  <c r="U540" i="1" s="1"/>
  <c r="V540" i="1"/>
  <c r="W540" i="1" s="1"/>
  <c r="J540" i="1"/>
  <c r="K540" i="1" s="1"/>
  <c r="L540" i="1"/>
  <c r="M540" i="1" s="1"/>
  <c r="N540" i="1"/>
  <c r="O540" i="1" s="1"/>
  <c r="H540" i="1"/>
  <c r="I540" i="1" s="1"/>
  <c r="H491" i="1"/>
  <c r="I491" i="1" s="1"/>
  <c r="P491" i="1"/>
  <c r="Q491" i="1" s="1"/>
  <c r="N491" i="1"/>
  <c r="O491" i="1" s="1"/>
  <c r="L491" i="1"/>
  <c r="M491" i="1" s="1"/>
  <c r="J491" i="1"/>
  <c r="K491" i="1" s="1"/>
  <c r="V491" i="1"/>
  <c r="W491" i="1" s="1"/>
  <c r="T491" i="1"/>
  <c r="U491" i="1" s="1"/>
  <c r="R491" i="1"/>
  <c r="S491" i="1" s="1"/>
  <c r="P541" i="1"/>
  <c r="Q541" i="1" s="1"/>
  <c r="R541" i="1"/>
  <c r="S541" i="1" s="1"/>
  <c r="T541" i="1"/>
  <c r="U541" i="1" s="1"/>
  <c r="V541" i="1"/>
  <c r="W541" i="1" s="1"/>
  <c r="H541" i="1"/>
  <c r="I541" i="1" s="1"/>
  <c r="J541" i="1"/>
  <c r="K541" i="1" s="1"/>
  <c r="L541" i="1"/>
  <c r="M541" i="1" s="1"/>
  <c r="N541" i="1"/>
  <c r="O541" i="1" s="1"/>
  <c r="N482" i="1"/>
  <c r="P482" i="1"/>
  <c r="R482" i="1"/>
  <c r="T482" i="1"/>
  <c r="G548" i="1"/>
  <c r="T125" i="1"/>
  <c r="R125" i="1"/>
  <c r="P125" i="1"/>
  <c r="N125" i="1"/>
  <c r="L125" i="1"/>
  <c r="T13" i="1"/>
  <c r="R13" i="1"/>
  <c r="P13" i="1"/>
  <c r="N13" i="1"/>
  <c r="L13" i="1"/>
  <c r="J13" i="1"/>
  <c r="T26" i="1"/>
  <c r="R26" i="1"/>
  <c r="P26" i="1"/>
  <c r="N26" i="1"/>
  <c r="L26" i="1"/>
  <c r="T19" i="1"/>
  <c r="U19" i="1" s="1"/>
  <c r="R19" i="1"/>
  <c r="S19" i="1" s="1"/>
  <c r="P19" i="1"/>
  <c r="Q19" i="1" s="1"/>
  <c r="N19" i="1"/>
  <c r="O19" i="1" s="1"/>
  <c r="L19" i="1"/>
  <c r="M19" i="1" s="1"/>
  <c r="J19" i="1"/>
  <c r="K19" i="1" s="1"/>
  <c r="H19" i="1"/>
  <c r="I19" i="1" s="1"/>
  <c r="T18" i="1"/>
  <c r="U18" i="1" s="1"/>
  <c r="R18" i="1"/>
  <c r="S18" i="1" s="1"/>
  <c r="P18" i="1"/>
  <c r="Q18" i="1" s="1"/>
  <c r="N18" i="1"/>
  <c r="O18" i="1" s="1"/>
  <c r="L18" i="1"/>
  <c r="M18" i="1" s="1"/>
  <c r="J18" i="1"/>
  <c r="K18" i="1" s="1"/>
  <c r="H18" i="1"/>
  <c r="I18" i="1" s="1"/>
  <c r="H230" i="1" l="1"/>
  <c r="I230" i="1" s="1"/>
  <c r="V230" i="1"/>
  <c r="W230" i="1" s="1"/>
  <c r="T230" i="1"/>
  <c r="U230" i="1" s="1"/>
  <c r="R230" i="1"/>
  <c r="S230" i="1" s="1"/>
  <c r="P230" i="1"/>
  <c r="Q230" i="1" s="1"/>
  <c r="N230" i="1"/>
  <c r="O230" i="1" s="1"/>
  <c r="L230" i="1"/>
  <c r="M230" i="1" s="1"/>
  <c r="J230" i="1"/>
  <c r="K230" i="1" s="1"/>
  <c r="G240" i="1"/>
  <c r="G230" i="1"/>
  <c r="G389" i="1"/>
  <c r="W224" i="1" l="1"/>
  <c r="U224" i="1"/>
  <c r="S224" i="1"/>
  <c r="Q224" i="1"/>
  <c r="O224" i="1"/>
  <c r="M224" i="1"/>
  <c r="K224" i="1"/>
  <c r="I224" i="1"/>
  <c r="W184" i="1" l="1"/>
  <c r="U184" i="1"/>
  <c r="S184" i="1"/>
  <c r="Q184" i="1"/>
  <c r="O184" i="1"/>
  <c r="M184" i="1"/>
  <c r="T148" i="1" l="1"/>
  <c r="V148" i="1"/>
  <c r="R148" i="1"/>
  <c r="P110" i="1"/>
  <c r="Q110" i="1" s="1"/>
  <c r="N110" i="1"/>
  <c r="O110" i="1" s="1"/>
  <c r="P109" i="1"/>
  <c r="N109" i="1"/>
  <c r="J97" i="1"/>
  <c r="V96" i="1"/>
  <c r="W96" i="1" s="1"/>
  <c r="T96" i="1"/>
  <c r="U96" i="1" s="1"/>
  <c r="R96" i="1"/>
  <c r="S96" i="1" s="1"/>
  <c r="P96" i="1"/>
  <c r="Q96" i="1" s="1"/>
  <c r="N96" i="1"/>
  <c r="O96" i="1" s="1"/>
  <c r="L96" i="1"/>
  <c r="M96" i="1" s="1"/>
  <c r="J96" i="1"/>
  <c r="K96" i="1" s="1"/>
  <c r="V68" i="1"/>
  <c r="T68" i="1"/>
  <c r="R68" i="1"/>
  <c r="P68" i="1"/>
  <c r="N68" i="1"/>
  <c r="L68" i="1"/>
  <c r="J68" i="1"/>
  <c r="H68" i="1"/>
  <c r="V65" i="1"/>
  <c r="W65" i="1" s="1"/>
  <c r="T65" i="1"/>
  <c r="U65" i="1" s="1"/>
  <c r="R65" i="1"/>
  <c r="S65" i="1" s="1"/>
  <c r="P65" i="1"/>
  <c r="Q65" i="1" s="1"/>
  <c r="N65" i="1"/>
  <c r="O65" i="1" s="1"/>
  <c r="V64" i="1"/>
  <c r="W64" i="1" s="1"/>
  <c r="T64" i="1"/>
  <c r="U64" i="1" s="1"/>
  <c r="R64" i="1"/>
  <c r="S64" i="1" s="1"/>
  <c r="P64" i="1"/>
  <c r="Q64" i="1" s="1"/>
  <c r="N64" i="1"/>
  <c r="O64" i="1" s="1"/>
  <c r="V56" i="1"/>
  <c r="W56" i="1" s="1"/>
  <c r="T56" i="1"/>
  <c r="U56" i="1" s="1"/>
  <c r="R56" i="1"/>
  <c r="S56" i="1" s="1"/>
  <c r="P56" i="1"/>
  <c r="Q56" i="1" s="1"/>
  <c r="N56" i="1"/>
  <c r="O56" i="1" s="1"/>
  <c r="L56" i="1"/>
  <c r="M56" i="1" s="1"/>
  <c r="J56" i="1"/>
  <c r="K56" i="1" s="1"/>
  <c r="V55" i="1"/>
  <c r="W55" i="1" s="1"/>
  <c r="T55" i="1"/>
  <c r="U55" i="1" s="1"/>
  <c r="R55" i="1"/>
  <c r="S55" i="1" s="1"/>
  <c r="P55" i="1"/>
  <c r="Q55" i="1" s="1"/>
  <c r="N55" i="1"/>
  <c r="O55" i="1" s="1"/>
  <c r="L55" i="1"/>
  <c r="M55" i="1" s="1"/>
  <c r="J55" i="1"/>
  <c r="K55" i="1" s="1"/>
  <c r="V54" i="1"/>
  <c r="W54" i="1" s="1"/>
  <c r="T54" i="1"/>
  <c r="U54" i="1" s="1"/>
  <c r="R54" i="1"/>
  <c r="S54" i="1" s="1"/>
  <c r="P54" i="1"/>
  <c r="Q54" i="1" s="1"/>
  <c r="N54" i="1"/>
  <c r="O54" i="1" s="1"/>
  <c r="L54" i="1"/>
  <c r="M54" i="1" s="1"/>
  <c r="J54" i="1"/>
  <c r="K54" i="1" s="1"/>
  <c r="V53" i="1"/>
  <c r="T53" i="1"/>
  <c r="R53" i="1"/>
  <c r="P53" i="1"/>
  <c r="N53" i="1"/>
  <c r="L53" i="1"/>
  <c r="J53" i="1"/>
  <c r="V12" i="1"/>
  <c r="W12" i="1" s="1"/>
  <c r="T12" i="1"/>
  <c r="U12" i="1" s="1"/>
  <c r="R12" i="1"/>
  <c r="S12" i="1" s="1"/>
  <c r="P12" i="1"/>
  <c r="Q12" i="1" s="1"/>
  <c r="N12" i="1"/>
  <c r="O12" i="1" s="1"/>
  <c r="V11" i="1"/>
  <c r="W11" i="1" s="1"/>
  <c r="T11" i="1"/>
  <c r="U11" i="1" s="1"/>
  <c r="R11" i="1"/>
  <c r="S11" i="1" s="1"/>
  <c r="P11" i="1"/>
  <c r="Q11" i="1" s="1"/>
  <c r="N11" i="1"/>
  <c r="O11" i="1" s="1"/>
  <c r="V10" i="1"/>
  <c r="T10" i="1"/>
  <c r="R10" i="1"/>
  <c r="P10" i="1"/>
  <c r="N10" i="1"/>
  <c r="V272" i="1" l="1"/>
  <c r="W272" i="1" s="1"/>
  <c r="T272" i="1"/>
  <c r="U272" i="1" s="1"/>
  <c r="R272" i="1"/>
  <c r="S272" i="1" s="1"/>
  <c r="P272" i="1"/>
  <c r="Q272" i="1" s="1"/>
  <c r="N272" i="1"/>
  <c r="O272" i="1" s="1"/>
  <c r="V271" i="1"/>
  <c r="W271" i="1" s="1"/>
  <c r="T271" i="1"/>
  <c r="U271" i="1" s="1"/>
  <c r="R271" i="1"/>
  <c r="S271" i="1" s="1"/>
  <c r="P271" i="1"/>
  <c r="Q271" i="1" s="1"/>
  <c r="N271" i="1"/>
  <c r="O271" i="1" s="1"/>
  <c r="V270" i="1"/>
  <c r="W270" i="1" s="1"/>
  <c r="T270" i="1"/>
  <c r="U270" i="1" s="1"/>
  <c r="R270" i="1"/>
  <c r="S270" i="1" s="1"/>
  <c r="P270" i="1"/>
  <c r="Q270" i="1" s="1"/>
  <c r="N270" i="1"/>
  <c r="O270" i="1" s="1"/>
  <c r="V269" i="1"/>
  <c r="W269" i="1" s="1"/>
  <c r="T269" i="1"/>
  <c r="U269" i="1" s="1"/>
  <c r="R269" i="1"/>
  <c r="S269" i="1" s="1"/>
  <c r="P269" i="1"/>
  <c r="Q269" i="1" s="1"/>
  <c r="N269" i="1"/>
  <c r="O269" i="1" s="1"/>
  <c r="R268" i="1"/>
  <c r="T268" i="1"/>
  <c r="V268" i="1"/>
  <c r="P268" i="1"/>
  <c r="N268" i="1"/>
  <c r="W454" i="1"/>
  <c r="O454" i="1"/>
  <c r="V28" i="1" l="1"/>
  <c r="T28" i="1"/>
  <c r="R28" i="1"/>
  <c r="N28" i="1"/>
  <c r="P28" i="1"/>
  <c r="L28" i="1"/>
  <c r="K355" i="1"/>
  <c r="G355" i="1"/>
  <c r="W422" i="1"/>
  <c r="U422" i="1"/>
  <c r="S422" i="1"/>
  <c r="Q422" i="1"/>
  <c r="N422" i="1"/>
  <c r="O422" i="1" s="1"/>
  <c r="M422" i="1"/>
  <c r="V423" i="1"/>
  <c r="W423" i="1" s="1"/>
  <c r="T423" i="1"/>
  <c r="U423" i="1" s="1"/>
  <c r="R423" i="1"/>
  <c r="S423" i="1" s="1"/>
  <c r="P423" i="1"/>
  <c r="Q423" i="1" s="1"/>
  <c r="N423" i="1"/>
  <c r="O423" i="1" s="1"/>
  <c r="L423" i="1"/>
  <c r="M423" i="1" s="1"/>
  <c r="J423" i="1"/>
  <c r="K423" i="1" s="1"/>
  <c r="G423" i="1"/>
  <c r="G424" i="1"/>
  <c r="G422" i="1"/>
  <c r="S413" i="1" l="1"/>
  <c r="Q413" i="1"/>
  <c r="M413" i="1"/>
  <c r="K413" i="1"/>
  <c r="W413" i="1"/>
  <c r="U413" i="1"/>
  <c r="O413" i="1"/>
  <c r="G413" i="1"/>
  <c r="I413" i="1"/>
  <c r="G427" i="1" l="1"/>
  <c r="G347" i="1" l="1"/>
  <c r="G353" i="1"/>
  <c r="G350" i="1"/>
  <c r="G301" i="1"/>
  <c r="W10" i="1" l="1"/>
  <c r="U10" i="1"/>
  <c r="S10" i="1"/>
  <c r="Q10" i="1"/>
  <c r="O10" i="1"/>
  <c r="F343" i="1" l="1"/>
  <c r="F435" i="1"/>
  <c r="W446" i="1"/>
  <c r="U446" i="1"/>
  <c r="S446" i="1"/>
  <c r="Q446" i="1"/>
  <c r="O446" i="1"/>
  <c r="J435" i="1" l="1"/>
  <c r="K435" i="1" s="1"/>
  <c r="H435" i="1"/>
  <c r="I435" i="1" s="1"/>
  <c r="V435" i="1"/>
  <c r="W435" i="1" s="1"/>
  <c r="R435" i="1"/>
  <c r="S435" i="1" s="1"/>
  <c r="P435" i="1"/>
  <c r="Q435" i="1" s="1"/>
  <c r="N435" i="1"/>
  <c r="O435" i="1" s="1"/>
  <c r="T435" i="1"/>
  <c r="U435" i="1" s="1"/>
  <c r="L435" i="1"/>
  <c r="M435" i="1" s="1"/>
  <c r="N343" i="1"/>
  <c r="O343" i="1" s="1"/>
  <c r="L343" i="1"/>
  <c r="M343" i="1" s="1"/>
  <c r="V343" i="1"/>
  <c r="W343" i="1" s="1"/>
  <c r="T343" i="1"/>
  <c r="U343" i="1" s="1"/>
  <c r="R343" i="1"/>
  <c r="S343" i="1" s="1"/>
  <c r="P343" i="1"/>
  <c r="Q343" i="1" s="1"/>
  <c r="L129" i="1"/>
  <c r="M129" i="1" s="1"/>
  <c r="N129" i="1"/>
  <c r="O129" i="1" s="1"/>
  <c r="J129" i="1"/>
  <c r="K129" i="1" s="1"/>
  <c r="P129" i="1"/>
  <c r="Q129" i="1" s="1"/>
  <c r="V129" i="1"/>
  <c r="W129" i="1" s="1"/>
  <c r="T129" i="1"/>
  <c r="U129" i="1" s="1"/>
  <c r="R129" i="1"/>
  <c r="S129" i="1" s="1"/>
  <c r="G343" i="1"/>
  <c r="G251" i="1"/>
  <c r="G435" i="1"/>
  <c r="G129" i="1"/>
  <c r="G453" i="1"/>
  <c r="G349" i="1" l="1"/>
  <c r="G197" i="1"/>
  <c r="F647" i="1" l="1"/>
  <c r="G290" i="1" l="1"/>
  <c r="L145" i="1"/>
  <c r="M145" i="1" s="1"/>
  <c r="J145" i="1"/>
  <c r="K145" i="1" s="1"/>
  <c r="V145" i="1"/>
  <c r="W145" i="1" s="1"/>
  <c r="T145" i="1"/>
  <c r="U145" i="1" s="1"/>
  <c r="R145" i="1"/>
  <c r="S145" i="1" s="1"/>
  <c r="P145" i="1"/>
  <c r="Q145" i="1" s="1"/>
  <c r="N145" i="1"/>
  <c r="O145" i="1" s="1"/>
  <c r="V141" i="1"/>
  <c r="T141" i="1"/>
  <c r="R141" i="1"/>
  <c r="P141" i="1"/>
  <c r="N141" i="1"/>
  <c r="L141" i="1"/>
  <c r="J141" i="1"/>
  <c r="J148" i="1" l="1"/>
  <c r="L148" i="1"/>
  <c r="N148" i="1"/>
  <c r="P148" i="1"/>
  <c r="G200" i="1" l="1"/>
  <c r="W122" i="1"/>
  <c r="U122" i="1"/>
  <c r="S122" i="1"/>
  <c r="Q122" i="1"/>
  <c r="O122" i="1"/>
  <c r="M122" i="1"/>
  <c r="W117" i="1"/>
  <c r="U117" i="1"/>
  <c r="S117" i="1"/>
  <c r="Q117" i="1"/>
  <c r="O117" i="1"/>
  <c r="M117" i="1"/>
  <c r="W121" i="1"/>
  <c r="U121" i="1"/>
  <c r="S121" i="1"/>
  <c r="Q121" i="1"/>
  <c r="O121" i="1"/>
  <c r="M121" i="1"/>
  <c r="W116" i="1"/>
  <c r="U116" i="1"/>
  <c r="S116" i="1"/>
  <c r="Q116" i="1"/>
  <c r="O116" i="1"/>
  <c r="M116" i="1"/>
  <c r="W68" i="1"/>
  <c r="U68" i="1"/>
  <c r="S68" i="1"/>
  <c r="Q68" i="1"/>
  <c r="O68" i="1"/>
  <c r="M68" i="1"/>
  <c r="K68" i="1"/>
  <c r="V63" i="1"/>
  <c r="T63" i="1"/>
  <c r="R63" i="1"/>
  <c r="P63" i="1"/>
  <c r="N63" i="1"/>
  <c r="L63" i="1"/>
  <c r="J63" i="1"/>
  <c r="V60" i="1"/>
  <c r="W60" i="1" s="1"/>
  <c r="T60" i="1"/>
  <c r="U60" i="1" s="1"/>
  <c r="R60" i="1"/>
  <c r="S60" i="1" s="1"/>
  <c r="P60" i="1"/>
  <c r="Q60" i="1" s="1"/>
  <c r="N60" i="1"/>
  <c r="O60" i="1" s="1"/>
  <c r="L60" i="1"/>
  <c r="M60" i="1" s="1"/>
  <c r="V58" i="1"/>
  <c r="W58" i="1" s="1"/>
  <c r="T58" i="1"/>
  <c r="U58" i="1" s="1"/>
  <c r="R58" i="1"/>
  <c r="S58" i="1" s="1"/>
  <c r="P58" i="1"/>
  <c r="Q58" i="1" s="1"/>
  <c r="N58" i="1"/>
  <c r="O58" i="1" s="1"/>
  <c r="L58" i="1"/>
  <c r="M58" i="1" s="1"/>
  <c r="V61" i="1"/>
  <c r="W61" i="1" s="1"/>
  <c r="T61" i="1"/>
  <c r="U61" i="1" s="1"/>
  <c r="R61" i="1"/>
  <c r="S61" i="1" s="1"/>
  <c r="P61" i="1"/>
  <c r="Q61" i="1" s="1"/>
  <c r="N61" i="1"/>
  <c r="O61" i="1" s="1"/>
  <c r="L61" i="1"/>
  <c r="M61" i="1" s="1"/>
  <c r="L59" i="1"/>
  <c r="M59" i="1" s="1"/>
  <c r="V59" i="1"/>
  <c r="T59" i="1"/>
  <c r="R59" i="1"/>
  <c r="P59" i="1"/>
  <c r="N59" i="1"/>
  <c r="F474" i="1"/>
  <c r="F291" i="1"/>
  <c r="R474" i="1" l="1"/>
  <c r="S474" i="1" s="1"/>
  <c r="P474" i="1"/>
  <c r="Q474" i="1" s="1"/>
  <c r="N474" i="1"/>
  <c r="O474" i="1" s="1"/>
  <c r="L474" i="1"/>
  <c r="M474" i="1" s="1"/>
  <c r="J474" i="1"/>
  <c r="K474" i="1" s="1"/>
  <c r="H474" i="1"/>
  <c r="I474" i="1" s="1"/>
  <c r="V474" i="1"/>
  <c r="W474" i="1" s="1"/>
  <c r="T474" i="1"/>
  <c r="U474" i="1" s="1"/>
  <c r="P291" i="1"/>
  <c r="Q291" i="1" s="1"/>
  <c r="N291" i="1"/>
  <c r="O291" i="1" s="1"/>
  <c r="L291" i="1"/>
  <c r="M291" i="1" s="1"/>
  <c r="J291" i="1"/>
  <c r="K291" i="1" s="1"/>
  <c r="H291" i="1"/>
  <c r="I291" i="1" s="1"/>
  <c r="V291" i="1"/>
  <c r="W291" i="1" s="1"/>
  <c r="T291" i="1"/>
  <c r="U291" i="1" s="1"/>
  <c r="R291" i="1"/>
  <c r="S291" i="1" s="1"/>
  <c r="V302" i="1"/>
  <c r="W302" i="1" s="1"/>
  <c r="T302" i="1"/>
  <c r="U302" i="1" s="1"/>
  <c r="R302" i="1"/>
  <c r="S302" i="1" s="1"/>
  <c r="P302" i="1"/>
  <c r="Q302" i="1" s="1"/>
  <c r="N302" i="1"/>
  <c r="O302" i="1" s="1"/>
  <c r="L302" i="1"/>
  <c r="M302" i="1" s="1"/>
  <c r="J302" i="1"/>
  <c r="K302" i="1" s="1"/>
  <c r="H302" i="1"/>
  <c r="I302" i="1" s="1"/>
  <c r="P402" i="1"/>
  <c r="Q402" i="1" s="1"/>
  <c r="T402" i="1"/>
  <c r="U402" i="1" s="1"/>
  <c r="N402" i="1"/>
  <c r="O402" i="1" s="1"/>
  <c r="L402" i="1"/>
  <c r="M402" i="1" s="1"/>
  <c r="J402" i="1"/>
  <c r="K402" i="1" s="1"/>
  <c r="H402" i="1"/>
  <c r="I402" i="1" s="1"/>
  <c r="V402" i="1"/>
  <c r="W402" i="1" s="1"/>
  <c r="R402" i="1"/>
  <c r="S402" i="1" s="1"/>
  <c r="G291" i="1"/>
  <c r="G247" i="1"/>
  <c r="F24" i="1" l="1"/>
  <c r="F27" i="1"/>
  <c r="U26" i="1"/>
  <c r="S26" i="1"/>
  <c r="Q26" i="1"/>
  <c r="O26" i="1"/>
  <c r="M26" i="1"/>
  <c r="J27" i="1" l="1"/>
  <c r="N27" i="1"/>
  <c r="O27" i="1" s="1"/>
  <c r="T27" i="1"/>
  <c r="U27" i="1" s="1"/>
  <c r="L27" i="1"/>
  <c r="M27" i="1" s="1"/>
  <c r="R27" i="1"/>
  <c r="S27" i="1" s="1"/>
  <c r="P27" i="1"/>
  <c r="Q27" i="1" s="1"/>
  <c r="T24" i="1"/>
  <c r="U24" i="1" s="1"/>
  <c r="R24" i="1"/>
  <c r="S24" i="1" s="1"/>
  <c r="P24" i="1"/>
  <c r="Q24" i="1" s="1"/>
  <c r="L24" i="1"/>
  <c r="M24" i="1" s="1"/>
  <c r="N24" i="1"/>
  <c r="O24" i="1" s="1"/>
  <c r="G257" i="1" l="1"/>
  <c r="G254" i="1"/>
  <c r="F552" i="1" l="1"/>
  <c r="F542" i="1"/>
  <c r="F331" i="1"/>
  <c r="R542" i="1" l="1"/>
  <c r="S542" i="1" s="1"/>
  <c r="T542" i="1"/>
  <c r="U542" i="1" s="1"/>
  <c r="V542" i="1"/>
  <c r="W542" i="1" s="1"/>
  <c r="H542" i="1"/>
  <c r="I542" i="1" s="1"/>
  <c r="L542" i="1"/>
  <c r="M542" i="1" s="1"/>
  <c r="N542" i="1"/>
  <c r="O542" i="1" s="1"/>
  <c r="J542" i="1"/>
  <c r="K542" i="1" s="1"/>
  <c r="P542" i="1"/>
  <c r="Q542" i="1" s="1"/>
  <c r="N552" i="1"/>
  <c r="O552" i="1" s="1"/>
  <c r="P552" i="1"/>
  <c r="Q552" i="1" s="1"/>
  <c r="R552" i="1"/>
  <c r="S552" i="1" s="1"/>
  <c r="T552" i="1"/>
  <c r="U552" i="1" s="1"/>
  <c r="H552" i="1"/>
  <c r="I552" i="1" s="1"/>
  <c r="L552" i="1"/>
  <c r="M552" i="1" s="1"/>
  <c r="J552" i="1"/>
  <c r="K552" i="1" s="1"/>
  <c r="V552" i="1"/>
  <c r="W552" i="1" s="1"/>
  <c r="T331" i="1"/>
  <c r="U331" i="1" s="1"/>
  <c r="R331" i="1"/>
  <c r="S331" i="1" s="1"/>
  <c r="P331" i="1"/>
  <c r="Q331" i="1" s="1"/>
  <c r="N331" i="1"/>
  <c r="O331" i="1" s="1"/>
  <c r="L331" i="1"/>
  <c r="M331" i="1" s="1"/>
  <c r="V331" i="1"/>
  <c r="W331" i="1" s="1"/>
  <c r="I490" i="1"/>
  <c r="R490" i="1"/>
  <c r="S490" i="1" s="1"/>
  <c r="N490" i="1"/>
  <c r="O490" i="1" s="1"/>
  <c r="V490" i="1"/>
  <c r="W490" i="1" s="1"/>
  <c r="T490" i="1"/>
  <c r="U490" i="1" s="1"/>
  <c r="P490" i="1"/>
  <c r="Q490" i="1" s="1"/>
  <c r="W115" i="1" l="1"/>
  <c r="U115" i="1"/>
  <c r="S115" i="1"/>
  <c r="Q115" i="1"/>
  <c r="O115" i="1"/>
  <c r="M115" i="1"/>
  <c r="W120" i="1"/>
  <c r="U120" i="1"/>
  <c r="S120" i="1"/>
  <c r="Q120" i="1"/>
  <c r="O120" i="1"/>
  <c r="M120" i="1"/>
  <c r="S118" i="1"/>
  <c r="F62" i="1" l="1"/>
  <c r="T62" i="1" l="1"/>
  <c r="R62" i="1"/>
  <c r="S62" i="1" s="1"/>
  <c r="P62" i="1"/>
  <c r="Q62" i="1" s="1"/>
  <c r="N62" i="1"/>
  <c r="O62" i="1" s="1"/>
  <c r="L62" i="1"/>
  <c r="J62" i="1"/>
  <c r="K62" i="1" s="1"/>
  <c r="V62" i="1"/>
  <c r="W62" i="1" s="1"/>
  <c r="G62" i="1"/>
  <c r="M62" i="1"/>
  <c r="U62" i="1"/>
  <c r="G63" i="1" l="1"/>
  <c r="K63" i="1"/>
  <c r="M63" i="1"/>
  <c r="O63" i="1"/>
  <c r="Q63" i="1"/>
  <c r="S63" i="1"/>
  <c r="U63" i="1"/>
  <c r="W63" i="1"/>
  <c r="V125" i="1" l="1"/>
  <c r="W125" i="1" s="1"/>
  <c r="U125" i="1"/>
  <c r="S125" i="1"/>
  <c r="Q125" i="1"/>
  <c r="O125" i="1"/>
  <c r="M125" i="1"/>
  <c r="G125" i="1"/>
  <c r="G450" i="1" l="1"/>
  <c r="G286" i="1"/>
  <c r="G61" i="1" l="1"/>
  <c r="V340" i="1" l="1"/>
  <c r="W340" i="1" s="1"/>
  <c r="T340" i="1"/>
  <c r="U340" i="1" s="1"/>
  <c r="R340" i="1"/>
  <c r="S340" i="1" s="1"/>
  <c r="P340" i="1"/>
  <c r="Q340" i="1" s="1"/>
  <c r="N340" i="1"/>
  <c r="O340" i="1" s="1"/>
  <c r="L340" i="1"/>
  <c r="M340" i="1" s="1"/>
  <c r="G547" i="1"/>
  <c r="L14" i="1" l="1"/>
  <c r="H14" i="1"/>
  <c r="J14" i="1"/>
  <c r="T14" i="1"/>
  <c r="R14" i="1"/>
  <c r="P14" i="1"/>
  <c r="N14" i="1"/>
  <c r="R403" i="1" l="1"/>
  <c r="S403" i="1" s="1"/>
  <c r="P403" i="1"/>
  <c r="Q403" i="1" s="1"/>
  <c r="N403" i="1"/>
  <c r="O403" i="1" s="1"/>
  <c r="L403" i="1"/>
  <c r="M403" i="1" s="1"/>
  <c r="V403" i="1"/>
  <c r="W403" i="1" s="1"/>
  <c r="J403" i="1"/>
  <c r="K403" i="1" s="1"/>
  <c r="H403" i="1"/>
  <c r="I403" i="1" s="1"/>
  <c r="T403" i="1"/>
  <c r="U403" i="1" s="1"/>
  <c r="F495" i="1"/>
  <c r="F496" i="1"/>
  <c r="H496" i="1" l="1"/>
  <c r="L496" i="1"/>
  <c r="M496" i="1" s="1"/>
  <c r="J496" i="1"/>
  <c r="K496" i="1" s="1"/>
  <c r="P495" i="1"/>
  <c r="Q495" i="1" s="1"/>
  <c r="N495" i="1"/>
  <c r="O495" i="1" s="1"/>
  <c r="L495" i="1"/>
  <c r="M495" i="1" s="1"/>
  <c r="V495" i="1"/>
  <c r="W495" i="1" s="1"/>
  <c r="T495" i="1"/>
  <c r="U495" i="1" s="1"/>
  <c r="H495" i="1"/>
  <c r="I495" i="1" s="1"/>
  <c r="R495" i="1"/>
  <c r="S495" i="1" s="1"/>
  <c r="J495" i="1"/>
  <c r="K495" i="1" s="1"/>
  <c r="R496" i="1"/>
  <c r="S496" i="1" s="1"/>
  <c r="V496" i="1"/>
  <c r="W496" i="1" s="1"/>
  <c r="P496" i="1"/>
  <c r="Q496" i="1" s="1"/>
  <c r="N496" i="1"/>
  <c r="O496" i="1" s="1"/>
  <c r="T496" i="1"/>
  <c r="U496" i="1" s="1"/>
  <c r="I496" i="1"/>
  <c r="G496" i="1"/>
  <c r="G495" i="1"/>
  <c r="F407" i="1" l="1"/>
  <c r="F408" i="1"/>
  <c r="V408" i="1" l="1"/>
  <c r="W408" i="1" s="1"/>
  <c r="T408" i="1"/>
  <c r="U408" i="1" s="1"/>
  <c r="R408" i="1"/>
  <c r="S408" i="1" s="1"/>
  <c r="P408" i="1"/>
  <c r="Q408" i="1" s="1"/>
  <c r="N408" i="1"/>
  <c r="O408" i="1" s="1"/>
  <c r="L408" i="1"/>
  <c r="M408" i="1" s="1"/>
  <c r="J408" i="1"/>
  <c r="K408" i="1" s="1"/>
  <c r="H408" i="1"/>
  <c r="I408" i="1" s="1"/>
  <c r="P407" i="1"/>
  <c r="Q407" i="1" s="1"/>
  <c r="N407" i="1"/>
  <c r="O407" i="1" s="1"/>
  <c r="L407" i="1"/>
  <c r="M407" i="1" s="1"/>
  <c r="J407" i="1"/>
  <c r="K407" i="1" s="1"/>
  <c r="H407" i="1"/>
  <c r="I407" i="1" s="1"/>
  <c r="T407" i="1"/>
  <c r="U407" i="1" s="1"/>
  <c r="V407" i="1"/>
  <c r="W407" i="1" s="1"/>
  <c r="R407" i="1"/>
  <c r="S407" i="1" s="1"/>
  <c r="G408" i="1"/>
  <c r="H654" i="1" l="1"/>
  <c r="I654" i="1" s="1"/>
  <c r="H655" i="1"/>
  <c r="I655" i="1" s="1"/>
  <c r="T655" i="1" l="1"/>
  <c r="U655" i="1" s="1"/>
  <c r="R655" i="1"/>
  <c r="S655" i="1" s="1"/>
  <c r="P655" i="1"/>
  <c r="Q655" i="1" s="1"/>
  <c r="N655" i="1"/>
  <c r="O655" i="1" s="1"/>
  <c r="L655" i="1"/>
  <c r="M655" i="1" s="1"/>
  <c r="J655" i="1"/>
  <c r="K655" i="1" s="1"/>
  <c r="G655" i="1"/>
  <c r="F523" i="1" l="1"/>
  <c r="V523" i="1" l="1"/>
  <c r="W523" i="1" s="1"/>
  <c r="T523" i="1"/>
  <c r="U523" i="1" s="1"/>
  <c r="R523" i="1"/>
  <c r="S523" i="1" s="1"/>
  <c r="P523" i="1"/>
  <c r="Q523" i="1" s="1"/>
  <c r="N523" i="1"/>
  <c r="O523" i="1" s="1"/>
  <c r="L523" i="1"/>
  <c r="M523" i="1" s="1"/>
  <c r="J523" i="1"/>
  <c r="K523" i="1" s="1"/>
  <c r="G523" i="1"/>
  <c r="F609" i="1" l="1"/>
  <c r="J609" i="1" l="1"/>
  <c r="L609" i="1"/>
  <c r="N609" i="1"/>
  <c r="P609" i="1"/>
  <c r="R609" i="1"/>
  <c r="H609" i="1"/>
  <c r="T609" i="1"/>
  <c r="V609" i="1"/>
  <c r="W609" i="1" s="1"/>
  <c r="M609" i="1" l="1"/>
  <c r="O609" i="1"/>
  <c r="G609" i="1"/>
  <c r="Q609" i="1"/>
  <c r="S609" i="1"/>
  <c r="I609" i="1"/>
  <c r="U609" i="1"/>
  <c r="K609" i="1"/>
  <c r="U482" i="1" l="1"/>
  <c r="W481" i="1"/>
  <c r="O481" i="1" l="1"/>
  <c r="I481" i="1"/>
  <c r="K481" i="1"/>
  <c r="M481" i="1"/>
  <c r="Q481" i="1"/>
  <c r="S481" i="1"/>
  <c r="U481" i="1"/>
  <c r="W482" i="1"/>
  <c r="M482" i="1"/>
  <c r="O482" i="1"/>
  <c r="K482" i="1"/>
  <c r="Q482" i="1"/>
  <c r="S482" i="1"/>
  <c r="G482" i="1"/>
  <c r="I482" i="1"/>
  <c r="G481" i="1"/>
  <c r="G533" i="1" l="1"/>
  <c r="G567" i="1" l="1"/>
  <c r="G566" i="1"/>
  <c r="V644" i="1" l="1"/>
  <c r="W644" i="1" s="1"/>
  <c r="T644" i="1"/>
  <c r="U644" i="1" s="1"/>
  <c r="R644" i="1"/>
  <c r="S644" i="1" s="1"/>
  <c r="P644" i="1"/>
  <c r="Q644" i="1" s="1"/>
  <c r="N644" i="1"/>
  <c r="O644" i="1" s="1"/>
  <c r="L644" i="1"/>
  <c r="M644" i="1" s="1"/>
  <c r="J644" i="1"/>
  <c r="K644" i="1" s="1"/>
  <c r="H644" i="1"/>
  <c r="I644" i="1" s="1"/>
  <c r="V643" i="1"/>
  <c r="W643" i="1" s="1"/>
  <c r="T643" i="1"/>
  <c r="U643" i="1" s="1"/>
  <c r="R643" i="1"/>
  <c r="S643" i="1" s="1"/>
  <c r="P643" i="1"/>
  <c r="Q643" i="1" s="1"/>
  <c r="N643" i="1"/>
  <c r="O643" i="1" s="1"/>
  <c r="L643" i="1"/>
  <c r="M643" i="1" s="1"/>
  <c r="J643" i="1"/>
  <c r="H643" i="1"/>
  <c r="I643" i="1" s="1"/>
  <c r="F570" i="1" l="1"/>
  <c r="T570" i="1" l="1"/>
  <c r="U570" i="1" s="1"/>
  <c r="R570" i="1"/>
  <c r="S570" i="1" s="1"/>
  <c r="P570" i="1"/>
  <c r="Q570" i="1" s="1"/>
  <c r="N570" i="1"/>
  <c r="O570" i="1" s="1"/>
  <c r="L570" i="1"/>
  <c r="M570" i="1" s="1"/>
  <c r="J570" i="1"/>
  <c r="K570" i="1" s="1"/>
  <c r="V570" i="1"/>
  <c r="W570" i="1" s="1"/>
  <c r="H570" i="1"/>
  <c r="I570" i="1" s="1"/>
  <c r="G570" i="1"/>
  <c r="G565" i="1"/>
  <c r="V619" i="1"/>
  <c r="P619" i="1" l="1"/>
  <c r="Q619" i="1" s="1"/>
  <c r="H619" i="1"/>
  <c r="I619" i="1" s="1"/>
  <c r="R619" i="1"/>
  <c r="S619" i="1" s="1"/>
  <c r="J619" i="1"/>
  <c r="K619" i="1" s="1"/>
  <c r="T619" i="1"/>
  <c r="U619" i="1" s="1"/>
  <c r="N619" i="1"/>
  <c r="O619" i="1" s="1"/>
  <c r="L619" i="1"/>
  <c r="M619" i="1" s="1"/>
  <c r="G619" i="1"/>
  <c r="W619" i="1"/>
  <c r="G636" i="1"/>
  <c r="W634" i="1" l="1"/>
  <c r="S634" i="1"/>
  <c r="O634" i="1"/>
  <c r="K634" i="1"/>
  <c r="G634" i="1"/>
  <c r="M634" i="1" l="1"/>
  <c r="Q634" i="1"/>
  <c r="U634" i="1"/>
  <c r="H612" i="1" l="1"/>
  <c r="I612" i="1" s="1"/>
  <c r="F646" i="1"/>
  <c r="F569" i="1"/>
  <c r="T569" i="1" l="1"/>
  <c r="U569" i="1" s="1"/>
  <c r="R569" i="1"/>
  <c r="S569" i="1" s="1"/>
  <c r="P569" i="1"/>
  <c r="Q569" i="1" s="1"/>
  <c r="N569" i="1"/>
  <c r="O569" i="1" s="1"/>
  <c r="L569" i="1"/>
  <c r="M569" i="1" s="1"/>
  <c r="J569" i="1"/>
  <c r="K569" i="1" s="1"/>
  <c r="H569" i="1"/>
  <c r="I569" i="1" s="1"/>
  <c r="V569" i="1"/>
  <c r="W569" i="1" s="1"/>
  <c r="P614" i="1"/>
  <c r="Q614" i="1" s="1"/>
  <c r="H614" i="1"/>
  <c r="I614" i="1" s="1"/>
  <c r="R612" i="1"/>
  <c r="S612" i="1" s="1"/>
  <c r="J612" i="1"/>
  <c r="K612" i="1" s="1"/>
  <c r="P612" i="1"/>
  <c r="Q612" i="1" s="1"/>
  <c r="T612" i="1"/>
  <c r="U612" i="1" s="1"/>
  <c r="V612" i="1"/>
  <c r="W612" i="1" s="1"/>
  <c r="L612" i="1"/>
  <c r="M612" i="1" s="1"/>
  <c r="N612" i="1"/>
  <c r="O612" i="1" s="1"/>
  <c r="R614" i="1"/>
  <c r="S614" i="1" s="1"/>
  <c r="V614" i="1"/>
  <c r="W614" i="1" s="1"/>
  <c r="T614" i="1"/>
  <c r="U614" i="1" s="1"/>
  <c r="J614" i="1"/>
  <c r="K614" i="1" s="1"/>
  <c r="L614" i="1"/>
  <c r="M614" i="1" s="1"/>
  <c r="N614" i="1"/>
  <c r="O614" i="1" s="1"/>
  <c r="G614" i="1"/>
  <c r="G612" i="1"/>
  <c r="F494" i="1"/>
  <c r="H494" i="1" l="1"/>
  <c r="J494" i="1"/>
  <c r="K494" i="1" s="1"/>
  <c r="L494" i="1"/>
  <c r="M494" i="1" s="1"/>
  <c r="V483" i="1"/>
  <c r="W483" i="1" s="1"/>
  <c r="T483" i="1"/>
  <c r="U483" i="1" s="1"/>
  <c r="R483" i="1"/>
  <c r="S483" i="1" s="1"/>
  <c r="I483" i="1"/>
  <c r="P483" i="1"/>
  <c r="Q483" i="1" s="1"/>
  <c r="N483" i="1"/>
  <c r="O483" i="1" s="1"/>
  <c r="T498" i="1"/>
  <c r="U498" i="1" s="1"/>
  <c r="R498" i="1"/>
  <c r="S498" i="1" s="1"/>
  <c r="P498" i="1"/>
  <c r="Q498" i="1" s="1"/>
  <c r="I498" i="1"/>
  <c r="N498" i="1"/>
  <c r="O498" i="1" s="1"/>
  <c r="V498" i="1"/>
  <c r="W498" i="1" s="1"/>
  <c r="I504" i="1"/>
  <c r="V504" i="1"/>
  <c r="W504" i="1" s="1"/>
  <c r="P504" i="1"/>
  <c r="Q504" i="1" s="1"/>
  <c r="T504" i="1"/>
  <c r="U504" i="1" s="1"/>
  <c r="R504" i="1"/>
  <c r="S504" i="1" s="1"/>
  <c r="N504" i="1"/>
  <c r="O504" i="1" s="1"/>
  <c r="I492" i="1"/>
  <c r="V492" i="1"/>
  <c r="W492" i="1" s="1"/>
  <c r="R492" i="1"/>
  <c r="S492" i="1" s="1"/>
  <c r="P492" i="1"/>
  <c r="Q492" i="1" s="1"/>
  <c r="T492" i="1"/>
  <c r="U492" i="1" s="1"/>
  <c r="N492" i="1"/>
  <c r="O492" i="1" s="1"/>
  <c r="V485" i="1"/>
  <c r="W485" i="1" s="1"/>
  <c r="T485" i="1"/>
  <c r="U485" i="1" s="1"/>
  <c r="N485" i="1"/>
  <c r="O485" i="1" s="1"/>
  <c r="R485" i="1"/>
  <c r="S485" i="1" s="1"/>
  <c r="I485" i="1"/>
  <c r="P485" i="1"/>
  <c r="Q485" i="1" s="1"/>
  <c r="P494" i="1"/>
  <c r="Q494" i="1" s="1"/>
  <c r="N494" i="1"/>
  <c r="O494" i="1" s="1"/>
  <c r="R494" i="1"/>
  <c r="S494" i="1" s="1"/>
  <c r="V494" i="1"/>
  <c r="W494" i="1" s="1"/>
  <c r="T494" i="1"/>
  <c r="U494" i="1" s="1"/>
  <c r="I494" i="1"/>
  <c r="F352" i="1"/>
  <c r="F234" i="1"/>
  <c r="V214" i="1"/>
  <c r="F196" i="1"/>
  <c r="F189" i="1"/>
  <c r="L234" i="1" l="1"/>
  <c r="M234" i="1" s="1"/>
  <c r="J234" i="1"/>
  <c r="K234" i="1" s="1"/>
  <c r="H234" i="1"/>
  <c r="I234" i="1" s="1"/>
  <c r="V234" i="1"/>
  <c r="W234" i="1" s="1"/>
  <c r="T234" i="1"/>
  <c r="U234" i="1" s="1"/>
  <c r="R234" i="1"/>
  <c r="S234" i="1" s="1"/>
  <c r="P234" i="1"/>
  <c r="Q234" i="1" s="1"/>
  <c r="N234" i="1"/>
  <c r="O234" i="1" s="1"/>
  <c r="R280" i="1"/>
  <c r="S280" i="1" s="1"/>
  <c r="P280" i="1"/>
  <c r="Q280" i="1" s="1"/>
  <c r="N280" i="1"/>
  <c r="O280" i="1" s="1"/>
  <c r="L280" i="1"/>
  <c r="M280" i="1" s="1"/>
  <c r="J280" i="1"/>
  <c r="K280" i="1" s="1"/>
  <c r="H280" i="1"/>
  <c r="I280" i="1" s="1"/>
  <c r="V280" i="1"/>
  <c r="W280" i="1" s="1"/>
  <c r="T280" i="1"/>
  <c r="U280" i="1" s="1"/>
  <c r="H189" i="1"/>
  <c r="I189" i="1" s="1"/>
  <c r="V189" i="1"/>
  <c r="W189" i="1" s="1"/>
  <c r="T189" i="1"/>
  <c r="U189" i="1" s="1"/>
  <c r="R189" i="1"/>
  <c r="S189" i="1" s="1"/>
  <c r="P189" i="1"/>
  <c r="Q189" i="1" s="1"/>
  <c r="N189" i="1"/>
  <c r="O189" i="1" s="1"/>
  <c r="L189" i="1"/>
  <c r="M189" i="1" s="1"/>
  <c r="J189" i="1"/>
  <c r="K189" i="1" s="1"/>
  <c r="V196" i="1"/>
  <c r="W196" i="1" s="1"/>
  <c r="T196" i="1"/>
  <c r="U196" i="1" s="1"/>
  <c r="R196" i="1"/>
  <c r="S196" i="1" s="1"/>
  <c r="P196" i="1"/>
  <c r="Q196" i="1" s="1"/>
  <c r="N196" i="1"/>
  <c r="O196" i="1" s="1"/>
  <c r="L196" i="1"/>
  <c r="M196" i="1" s="1"/>
  <c r="J196" i="1"/>
  <c r="K196" i="1" s="1"/>
  <c r="V404" i="1"/>
  <c r="W404" i="1" s="1"/>
  <c r="T404" i="1"/>
  <c r="U404" i="1" s="1"/>
  <c r="R404" i="1"/>
  <c r="S404" i="1" s="1"/>
  <c r="P404" i="1"/>
  <c r="Q404" i="1" s="1"/>
  <c r="N404" i="1"/>
  <c r="O404" i="1" s="1"/>
  <c r="L404" i="1"/>
  <c r="M404" i="1" s="1"/>
  <c r="J404" i="1"/>
  <c r="K404" i="1" s="1"/>
  <c r="H404" i="1"/>
  <c r="I404" i="1" s="1"/>
  <c r="N352" i="1"/>
  <c r="O352" i="1" s="1"/>
  <c r="L352" i="1"/>
  <c r="M352" i="1" s="1"/>
  <c r="V352" i="1"/>
  <c r="W352" i="1" s="1"/>
  <c r="T352" i="1"/>
  <c r="U352" i="1" s="1"/>
  <c r="R352" i="1"/>
  <c r="S352" i="1" s="1"/>
  <c r="P352" i="1"/>
  <c r="Q352" i="1" s="1"/>
  <c r="H214" i="1"/>
  <c r="I214" i="1" s="1"/>
  <c r="P214" i="1"/>
  <c r="R214" i="1"/>
  <c r="J214" i="1"/>
  <c r="N214" i="1"/>
  <c r="T214" i="1"/>
  <c r="L214" i="1"/>
  <c r="G14" i="1"/>
  <c r="U14" i="1" l="1"/>
  <c r="S14" i="1"/>
  <c r="Q14" i="1"/>
  <c r="O14" i="1"/>
  <c r="M14" i="1"/>
  <c r="K14" i="1"/>
  <c r="I14" i="1"/>
  <c r="F357" i="1" l="1"/>
  <c r="T357" i="1" l="1"/>
  <c r="U357" i="1" s="1"/>
  <c r="R357" i="1"/>
  <c r="S357" i="1" s="1"/>
  <c r="P357" i="1"/>
  <c r="Q357" i="1" s="1"/>
  <c r="N357" i="1"/>
  <c r="O357" i="1" s="1"/>
  <c r="L357" i="1"/>
  <c r="M357" i="1" s="1"/>
  <c r="V357" i="1"/>
  <c r="W357" i="1" s="1"/>
  <c r="G28" i="1"/>
  <c r="F543" i="1"/>
  <c r="F499" i="1"/>
  <c r="F497" i="1"/>
  <c r="F488" i="1"/>
  <c r="F487" i="1"/>
  <c r="L487" i="1" l="1"/>
  <c r="M487" i="1" s="1"/>
  <c r="J487" i="1"/>
  <c r="K487" i="1" s="1"/>
  <c r="H487" i="1"/>
  <c r="I487" i="1" s="1"/>
  <c r="V487" i="1"/>
  <c r="W487" i="1" s="1"/>
  <c r="R487" i="1"/>
  <c r="S487" i="1" s="1"/>
  <c r="P487" i="1"/>
  <c r="Q487" i="1" s="1"/>
  <c r="T487" i="1"/>
  <c r="U487" i="1" s="1"/>
  <c r="N487" i="1"/>
  <c r="O487" i="1" s="1"/>
  <c r="L488" i="1"/>
  <c r="M488" i="1" s="1"/>
  <c r="H488" i="1"/>
  <c r="I488" i="1" s="1"/>
  <c r="J488" i="1"/>
  <c r="K488" i="1" s="1"/>
  <c r="T543" i="1"/>
  <c r="U543" i="1" s="1"/>
  <c r="V543" i="1"/>
  <c r="W543" i="1" s="1"/>
  <c r="H543" i="1"/>
  <c r="I543" i="1" s="1"/>
  <c r="J543" i="1"/>
  <c r="K543" i="1" s="1"/>
  <c r="L543" i="1"/>
  <c r="M543" i="1" s="1"/>
  <c r="N543" i="1"/>
  <c r="O543" i="1" s="1"/>
  <c r="P543" i="1"/>
  <c r="Q543" i="1" s="1"/>
  <c r="R543" i="1"/>
  <c r="S543" i="1" s="1"/>
  <c r="R497" i="1"/>
  <c r="S497" i="1" s="1"/>
  <c r="P497" i="1"/>
  <c r="Q497" i="1" s="1"/>
  <c r="N497" i="1"/>
  <c r="O497" i="1" s="1"/>
  <c r="L497" i="1"/>
  <c r="M497" i="1" s="1"/>
  <c r="J497" i="1"/>
  <c r="K497" i="1" s="1"/>
  <c r="V497" i="1"/>
  <c r="W497" i="1" s="1"/>
  <c r="H497" i="1"/>
  <c r="I497" i="1" s="1"/>
  <c r="T497" i="1"/>
  <c r="U497" i="1" s="1"/>
  <c r="L499" i="1"/>
  <c r="M499" i="1" s="1"/>
  <c r="J499" i="1"/>
  <c r="K499" i="1" s="1"/>
  <c r="H499" i="1"/>
  <c r="I499" i="1" s="1"/>
  <c r="N511" i="1"/>
  <c r="O511" i="1" s="1"/>
  <c r="I511" i="1"/>
  <c r="V488" i="1"/>
  <c r="W488" i="1" s="1"/>
  <c r="T488" i="1"/>
  <c r="U488" i="1" s="1"/>
  <c r="N488" i="1"/>
  <c r="O488" i="1" s="1"/>
  <c r="R488" i="1"/>
  <c r="S488" i="1" s="1"/>
  <c r="P488" i="1"/>
  <c r="Q488" i="1" s="1"/>
  <c r="I493" i="1"/>
  <c r="N493" i="1"/>
  <c r="O493" i="1" s="1"/>
  <c r="R493" i="1"/>
  <c r="S493" i="1" s="1"/>
  <c r="V493" i="1"/>
  <c r="W493" i="1" s="1"/>
  <c r="T493" i="1"/>
  <c r="U493" i="1" s="1"/>
  <c r="P493" i="1"/>
  <c r="Q493" i="1" s="1"/>
  <c r="V499" i="1"/>
  <c r="W499" i="1" s="1"/>
  <c r="T499" i="1"/>
  <c r="U499" i="1" s="1"/>
  <c r="R499" i="1"/>
  <c r="S499" i="1" s="1"/>
  <c r="N499" i="1"/>
  <c r="O499" i="1" s="1"/>
  <c r="P499" i="1"/>
  <c r="Q499" i="1" s="1"/>
  <c r="G483" i="1"/>
  <c r="F440" i="1"/>
  <c r="F390" i="1"/>
  <c r="P390" i="1" l="1"/>
  <c r="Q390" i="1" s="1"/>
  <c r="N390" i="1"/>
  <c r="O390" i="1" s="1"/>
  <c r="L390" i="1"/>
  <c r="M390" i="1" s="1"/>
  <c r="J390" i="1"/>
  <c r="K390" i="1" s="1"/>
  <c r="H390" i="1"/>
  <c r="I390" i="1" s="1"/>
  <c r="V390" i="1"/>
  <c r="W390" i="1" s="1"/>
  <c r="T390" i="1"/>
  <c r="U390" i="1" s="1"/>
  <c r="R390" i="1"/>
  <c r="S390" i="1" s="1"/>
  <c r="T440" i="1"/>
  <c r="U440" i="1" s="1"/>
  <c r="R440" i="1"/>
  <c r="S440" i="1" s="1"/>
  <c r="P440" i="1"/>
  <c r="Q440" i="1" s="1"/>
  <c r="J440" i="1"/>
  <c r="K440" i="1" s="1"/>
  <c r="N440" i="1"/>
  <c r="O440" i="1" s="1"/>
  <c r="V440" i="1"/>
  <c r="W440" i="1" s="1"/>
  <c r="L440" i="1"/>
  <c r="M440" i="1" s="1"/>
  <c r="F371" i="1"/>
  <c r="F346" i="1"/>
  <c r="F325" i="1"/>
  <c r="F324" i="1"/>
  <c r="F322" i="1"/>
  <c r="F320" i="1"/>
  <c r="F313" i="1"/>
  <c r="F263" i="1"/>
  <c r="F261" i="1"/>
  <c r="F259" i="1"/>
  <c r="F222" i="1"/>
  <c r="F218" i="1"/>
  <c r="F217" i="1"/>
  <c r="F146" i="1"/>
  <c r="F103" i="1"/>
  <c r="F102" i="1"/>
  <c r="F99" i="1"/>
  <c r="F98" i="1"/>
  <c r="F95" i="1"/>
  <c r="T95" i="1" l="1"/>
  <c r="U95" i="1" s="1"/>
  <c r="R95" i="1"/>
  <c r="S95" i="1" s="1"/>
  <c r="P95" i="1"/>
  <c r="Q95" i="1" s="1"/>
  <c r="N95" i="1"/>
  <c r="O95" i="1" s="1"/>
  <c r="L95" i="1"/>
  <c r="M95" i="1" s="1"/>
  <c r="J95" i="1"/>
  <c r="K95" i="1" s="1"/>
  <c r="V95" i="1"/>
  <c r="W95" i="1" s="1"/>
  <c r="N102" i="1"/>
  <c r="O102" i="1" s="1"/>
  <c r="L102" i="1"/>
  <c r="M102" i="1" s="1"/>
  <c r="J102" i="1"/>
  <c r="K102" i="1" s="1"/>
  <c r="H102" i="1"/>
  <c r="I102" i="1" s="1"/>
  <c r="P102" i="1"/>
  <c r="Q102" i="1" s="1"/>
  <c r="V102" i="1"/>
  <c r="W102" i="1" s="1"/>
  <c r="T102" i="1"/>
  <c r="U102" i="1" s="1"/>
  <c r="R102" i="1"/>
  <c r="S102" i="1" s="1"/>
  <c r="T98" i="1"/>
  <c r="U98" i="1" s="1"/>
  <c r="R98" i="1"/>
  <c r="S98" i="1" s="1"/>
  <c r="P98" i="1"/>
  <c r="Q98" i="1" s="1"/>
  <c r="N98" i="1"/>
  <c r="O98" i="1" s="1"/>
  <c r="L98" i="1"/>
  <c r="M98" i="1" s="1"/>
  <c r="J98" i="1"/>
  <c r="K98" i="1" s="1"/>
  <c r="H98" i="1"/>
  <c r="I98" i="1" s="1"/>
  <c r="V98" i="1"/>
  <c r="W98" i="1" s="1"/>
  <c r="T99" i="1"/>
  <c r="U99" i="1" s="1"/>
  <c r="R99" i="1"/>
  <c r="S99" i="1" s="1"/>
  <c r="P99" i="1"/>
  <c r="Q99" i="1" s="1"/>
  <c r="L99" i="1"/>
  <c r="M99" i="1" s="1"/>
  <c r="N99" i="1"/>
  <c r="O99" i="1" s="1"/>
  <c r="H99" i="1"/>
  <c r="I99" i="1" s="1"/>
  <c r="J99" i="1"/>
  <c r="K99" i="1" s="1"/>
  <c r="V99" i="1"/>
  <c r="W99" i="1" s="1"/>
  <c r="N103" i="1"/>
  <c r="O103" i="1" s="1"/>
  <c r="L103" i="1"/>
  <c r="M103" i="1" s="1"/>
  <c r="J103" i="1"/>
  <c r="K103" i="1" s="1"/>
  <c r="H103" i="1"/>
  <c r="I103" i="1" s="1"/>
  <c r="V103" i="1"/>
  <c r="W103" i="1" s="1"/>
  <c r="T103" i="1"/>
  <c r="U103" i="1" s="1"/>
  <c r="R103" i="1"/>
  <c r="S103" i="1" s="1"/>
  <c r="P103" i="1"/>
  <c r="Q103" i="1" s="1"/>
  <c r="J162" i="1"/>
  <c r="V162" i="1"/>
  <c r="R162" i="1"/>
  <c r="T162" i="1"/>
  <c r="P162" i="1"/>
  <c r="N162" i="1"/>
  <c r="L162" i="1"/>
  <c r="H162" i="1"/>
  <c r="H295" i="1"/>
  <c r="I295" i="1" s="1"/>
  <c r="V295" i="1"/>
  <c r="W295" i="1" s="1"/>
  <c r="T295" i="1"/>
  <c r="U295" i="1" s="1"/>
  <c r="J295" i="1"/>
  <c r="K295" i="1" s="1"/>
  <c r="R295" i="1"/>
  <c r="S295" i="1" s="1"/>
  <c r="P295" i="1"/>
  <c r="Q295" i="1" s="1"/>
  <c r="N295" i="1"/>
  <c r="O295" i="1" s="1"/>
  <c r="L295" i="1"/>
  <c r="M295" i="1" s="1"/>
  <c r="V217" i="1"/>
  <c r="W217" i="1" s="1"/>
  <c r="T217" i="1"/>
  <c r="U217" i="1" s="1"/>
  <c r="R217" i="1"/>
  <c r="S217" i="1" s="1"/>
  <c r="P217" i="1"/>
  <c r="Q217" i="1" s="1"/>
  <c r="J217" i="1"/>
  <c r="K217" i="1" s="1"/>
  <c r="N217" i="1"/>
  <c r="O217" i="1" s="1"/>
  <c r="L217" i="1"/>
  <c r="M217" i="1" s="1"/>
  <c r="N218" i="1"/>
  <c r="O218" i="1" s="1"/>
  <c r="L218" i="1"/>
  <c r="M218" i="1" s="1"/>
  <c r="J218" i="1"/>
  <c r="K218" i="1" s="1"/>
  <c r="P218" i="1"/>
  <c r="Q218" i="1" s="1"/>
  <c r="V218" i="1"/>
  <c r="W218" i="1" s="1"/>
  <c r="T218" i="1"/>
  <c r="U218" i="1" s="1"/>
  <c r="R218" i="1"/>
  <c r="S218" i="1" s="1"/>
  <c r="J259" i="1"/>
  <c r="K259" i="1" s="1"/>
  <c r="H259" i="1"/>
  <c r="I259" i="1" s="1"/>
  <c r="L259" i="1"/>
  <c r="M259" i="1" s="1"/>
  <c r="V259" i="1"/>
  <c r="W259" i="1" s="1"/>
  <c r="T259" i="1"/>
  <c r="U259" i="1" s="1"/>
  <c r="R259" i="1"/>
  <c r="S259" i="1" s="1"/>
  <c r="P259" i="1"/>
  <c r="Q259" i="1" s="1"/>
  <c r="N259" i="1"/>
  <c r="O259" i="1" s="1"/>
  <c r="R219" i="1"/>
  <c r="S219" i="1" s="1"/>
  <c r="P219" i="1"/>
  <c r="Q219" i="1" s="1"/>
  <c r="N219" i="1"/>
  <c r="O219" i="1" s="1"/>
  <c r="L219" i="1"/>
  <c r="M219" i="1" s="1"/>
  <c r="J219" i="1"/>
  <c r="K219" i="1" s="1"/>
  <c r="V219" i="1"/>
  <c r="W219" i="1" s="1"/>
  <c r="T219" i="1"/>
  <c r="U219" i="1" s="1"/>
  <c r="N222" i="1"/>
  <c r="O222" i="1" s="1"/>
  <c r="L222" i="1"/>
  <c r="M222" i="1" s="1"/>
  <c r="J222" i="1"/>
  <c r="K222" i="1" s="1"/>
  <c r="P222" i="1"/>
  <c r="Q222" i="1" s="1"/>
  <c r="V222" i="1"/>
  <c r="W222" i="1" s="1"/>
  <c r="T222" i="1"/>
  <c r="U222" i="1" s="1"/>
  <c r="R222" i="1"/>
  <c r="S222" i="1" s="1"/>
  <c r="P261" i="1"/>
  <c r="Q261" i="1" s="1"/>
  <c r="R261" i="1"/>
  <c r="S261" i="1" s="1"/>
  <c r="N261" i="1"/>
  <c r="O261" i="1" s="1"/>
  <c r="L261" i="1"/>
  <c r="M261" i="1" s="1"/>
  <c r="J261" i="1"/>
  <c r="K261" i="1" s="1"/>
  <c r="H261" i="1"/>
  <c r="I261" i="1" s="1"/>
  <c r="V261" i="1"/>
  <c r="W261" i="1" s="1"/>
  <c r="T261" i="1"/>
  <c r="U261" i="1" s="1"/>
  <c r="H263" i="1"/>
  <c r="I263" i="1" s="1"/>
  <c r="T161" i="1"/>
  <c r="U161" i="1" s="1"/>
  <c r="R161" i="1"/>
  <c r="S161" i="1" s="1"/>
  <c r="P161" i="1"/>
  <c r="Q161" i="1" s="1"/>
  <c r="N161" i="1"/>
  <c r="O161" i="1" s="1"/>
  <c r="L161" i="1"/>
  <c r="M161" i="1" s="1"/>
  <c r="J161" i="1"/>
  <c r="K161" i="1" s="1"/>
  <c r="V161" i="1"/>
  <c r="W161" i="1" s="1"/>
  <c r="R188" i="1"/>
  <c r="S188" i="1" s="1"/>
  <c r="P188" i="1"/>
  <c r="Q188" i="1" s="1"/>
  <c r="N188" i="1"/>
  <c r="O188" i="1" s="1"/>
  <c r="L188" i="1"/>
  <c r="M188" i="1" s="1"/>
  <c r="T188" i="1"/>
  <c r="U188" i="1" s="1"/>
  <c r="V188" i="1"/>
  <c r="W188" i="1" s="1"/>
  <c r="T262" i="1"/>
  <c r="U262" i="1" s="1"/>
  <c r="R262" i="1"/>
  <c r="S262" i="1" s="1"/>
  <c r="P262" i="1"/>
  <c r="Q262" i="1" s="1"/>
  <c r="N262" i="1"/>
  <c r="O262" i="1" s="1"/>
  <c r="L262" i="1"/>
  <c r="M262" i="1" s="1"/>
  <c r="J262" i="1"/>
  <c r="K262" i="1" s="1"/>
  <c r="H262" i="1"/>
  <c r="I262" i="1" s="1"/>
  <c r="V262" i="1"/>
  <c r="W262" i="1" s="1"/>
  <c r="N313" i="1"/>
  <c r="L313" i="1"/>
  <c r="M313" i="1" s="1"/>
  <c r="L371" i="1"/>
  <c r="M371" i="1" s="1"/>
  <c r="N371" i="1"/>
  <c r="O371" i="1" s="1"/>
  <c r="P371" i="1"/>
  <c r="Q371" i="1" s="1"/>
  <c r="R371" i="1"/>
  <c r="S371" i="1" s="1"/>
  <c r="T371" i="1"/>
  <c r="U371" i="1" s="1"/>
  <c r="V371" i="1"/>
  <c r="W371" i="1" s="1"/>
  <c r="T320" i="1"/>
  <c r="U320" i="1" s="1"/>
  <c r="R320" i="1"/>
  <c r="S320" i="1" s="1"/>
  <c r="P320" i="1"/>
  <c r="Q320" i="1" s="1"/>
  <c r="N320" i="1"/>
  <c r="O320" i="1" s="1"/>
  <c r="L320" i="1"/>
  <c r="M320" i="1" s="1"/>
  <c r="V320" i="1"/>
  <c r="W320" i="1" s="1"/>
  <c r="N322" i="1"/>
  <c r="O322" i="1" s="1"/>
  <c r="L322" i="1"/>
  <c r="M322" i="1" s="1"/>
  <c r="V322" i="1"/>
  <c r="W322" i="1" s="1"/>
  <c r="T322" i="1"/>
  <c r="U322" i="1" s="1"/>
  <c r="R322" i="1"/>
  <c r="S322" i="1" s="1"/>
  <c r="P322" i="1"/>
  <c r="Q322" i="1" s="1"/>
  <c r="V324" i="1"/>
  <c r="W324" i="1" s="1"/>
  <c r="T324" i="1"/>
  <c r="U324" i="1" s="1"/>
  <c r="R324" i="1"/>
  <c r="S324" i="1" s="1"/>
  <c r="P324" i="1"/>
  <c r="Q324" i="1" s="1"/>
  <c r="N324" i="1"/>
  <c r="O324" i="1" s="1"/>
  <c r="L324" i="1"/>
  <c r="M324" i="1" s="1"/>
  <c r="R346" i="1"/>
  <c r="S346" i="1" s="1"/>
  <c r="P346" i="1"/>
  <c r="Q346" i="1" s="1"/>
  <c r="N346" i="1"/>
  <c r="O346" i="1" s="1"/>
  <c r="L346" i="1"/>
  <c r="M346" i="1" s="1"/>
  <c r="V346" i="1"/>
  <c r="W346" i="1" s="1"/>
  <c r="T346" i="1"/>
  <c r="U346" i="1" s="1"/>
  <c r="P325" i="1"/>
  <c r="Q325" i="1" s="1"/>
  <c r="N325" i="1"/>
  <c r="O325" i="1" s="1"/>
  <c r="L325" i="1"/>
  <c r="M325" i="1" s="1"/>
  <c r="L146" i="1"/>
  <c r="M146" i="1" s="1"/>
  <c r="J146" i="1"/>
  <c r="K146" i="1" s="1"/>
  <c r="H146" i="1"/>
  <c r="I146" i="1" s="1"/>
  <c r="W303" i="1"/>
  <c r="U303" i="1"/>
  <c r="S303" i="1"/>
  <c r="Q303" i="1"/>
  <c r="O303" i="1"/>
  <c r="M303" i="1"/>
  <c r="O313" i="1"/>
  <c r="N146" i="1"/>
  <c r="O146" i="1" s="1"/>
  <c r="T146" i="1"/>
  <c r="U146" i="1" s="1"/>
  <c r="P146" i="1"/>
  <c r="Q146" i="1" s="1"/>
  <c r="V146" i="1"/>
  <c r="W146" i="1" s="1"/>
  <c r="R146" i="1"/>
  <c r="S146" i="1" s="1"/>
  <c r="G574" i="1" l="1"/>
  <c r="G340" i="1"/>
  <c r="G339" i="1" l="1"/>
  <c r="G406" i="1" l="1"/>
  <c r="G407" i="1"/>
  <c r="G403" i="1"/>
  <c r="G404" i="1"/>
  <c r="G226" i="1"/>
  <c r="J11" i="1" l="1"/>
  <c r="G11" i="1"/>
  <c r="I417" i="1" l="1"/>
  <c r="G231" i="1" l="1"/>
  <c r="G233" i="1" l="1"/>
  <c r="V338" i="1" l="1"/>
  <c r="W338" i="1" s="1"/>
  <c r="T338" i="1"/>
  <c r="U338" i="1" s="1"/>
  <c r="R338" i="1"/>
  <c r="S338" i="1" s="1"/>
  <c r="P338" i="1"/>
  <c r="Q338" i="1" s="1"/>
  <c r="N338" i="1"/>
  <c r="O338" i="1" s="1"/>
  <c r="L338" i="1"/>
  <c r="M338" i="1" s="1"/>
  <c r="G338" i="1"/>
  <c r="G379" i="1"/>
  <c r="G474" i="1" l="1"/>
  <c r="T656" i="1"/>
  <c r="U656" i="1" s="1"/>
  <c r="R656" i="1"/>
  <c r="S656" i="1" s="1"/>
  <c r="P656" i="1"/>
  <c r="Q656" i="1" s="1"/>
  <c r="N656" i="1"/>
  <c r="O656" i="1" s="1"/>
  <c r="L656" i="1"/>
  <c r="M656" i="1" s="1"/>
  <c r="J656" i="1"/>
  <c r="K656" i="1" s="1"/>
  <c r="T652" i="1"/>
  <c r="R652" i="1"/>
  <c r="P652" i="1"/>
  <c r="N652" i="1"/>
  <c r="L652" i="1"/>
  <c r="J652" i="1"/>
  <c r="L654" i="1"/>
  <c r="J654" i="1"/>
  <c r="L653" i="1"/>
  <c r="W214" i="1" l="1"/>
  <c r="U214" i="1"/>
  <c r="S214" i="1"/>
  <c r="Q214" i="1"/>
  <c r="O214" i="1"/>
  <c r="M214" i="1"/>
  <c r="K214" i="1"/>
  <c r="U179" i="1"/>
  <c r="S179" i="1"/>
  <c r="Q179" i="1"/>
  <c r="O179" i="1"/>
  <c r="M179" i="1"/>
  <c r="J10" i="1"/>
  <c r="W28" i="1"/>
  <c r="U28" i="1"/>
  <c r="S28" i="1"/>
  <c r="Q28" i="1"/>
  <c r="O28" i="1"/>
  <c r="M28" i="1"/>
  <c r="W59" i="1"/>
  <c r="U59" i="1"/>
  <c r="S59" i="1"/>
  <c r="Q59" i="1"/>
  <c r="O59" i="1"/>
  <c r="I68" i="1"/>
  <c r="W268" i="1"/>
  <c r="U268" i="1"/>
  <c r="S268" i="1"/>
  <c r="Q268" i="1"/>
  <c r="O268" i="1"/>
  <c r="F356" i="1" l="1"/>
  <c r="V356" i="1" l="1"/>
  <c r="W356" i="1" s="1"/>
  <c r="T356" i="1"/>
  <c r="U356" i="1" s="1"/>
  <c r="R356" i="1"/>
  <c r="S356" i="1" s="1"/>
  <c r="P356" i="1"/>
  <c r="Q356" i="1" s="1"/>
  <c r="N356" i="1"/>
  <c r="O356" i="1" s="1"/>
  <c r="L356" i="1"/>
  <c r="M356" i="1" s="1"/>
  <c r="G411" i="1"/>
  <c r="L659" i="1" l="1"/>
  <c r="M659" i="1" s="1"/>
  <c r="J659" i="1"/>
  <c r="K659" i="1" s="1"/>
  <c r="T659" i="1"/>
  <c r="U659" i="1" s="1"/>
  <c r="R659" i="1"/>
  <c r="S659" i="1" s="1"/>
  <c r="P659" i="1"/>
  <c r="Q659" i="1" s="1"/>
  <c r="N659" i="1"/>
  <c r="O659" i="1" s="1"/>
  <c r="R660" i="1"/>
  <c r="S660" i="1" s="1"/>
  <c r="P660" i="1"/>
  <c r="Q660" i="1" s="1"/>
  <c r="N660" i="1"/>
  <c r="O660" i="1" s="1"/>
  <c r="L660" i="1"/>
  <c r="M660" i="1" s="1"/>
  <c r="J660" i="1"/>
  <c r="K660" i="1" s="1"/>
  <c r="T660" i="1"/>
  <c r="U660" i="1" s="1"/>
  <c r="P657" i="1"/>
  <c r="Q657" i="1" s="1"/>
  <c r="N657" i="1"/>
  <c r="O657" i="1" s="1"/>
  <c r="L657" i="1"/>
  <c r="M657" i="1" s="1"/>
  <c r="J657" i="1"/>
  <c r="K657" i="1" s="1"/>
  <c r="R657" i="1"/>
  <c r="S657" i="1" s="1"/>
  <c r="T657" i="1"/>
  <c r="U657" i="1" s="1"/>
  <c r="F544" i="1"/>
  <c r="V544" i="1" l="1"/>
  <c r="W544" i="1" s="1"/>
  <c r="H544" i="1"/>
  <c r="I544" i="1" s="1"/>
  <c r="J544" i="1"/>
  <c r="K544" i="1" s="1"/>
  <c r="L544" i="1"/>
  <c r="M544" i="1" s="1"/>
  <c r="P544" i="1"/>
  <c r="Q544" i="1" s="1"/>
  <c r="R544" i="1"/>
  <c r="S544" i="1" s="1"/>
  <c r="N544" i="1"/>
  <c r="O544" i="1" s="1"/>
  <c r="T544" i="1"/>
  <c r="U544" i="1" s="1"/>
  <c r="U417" i="1"/>
  <c r="S417" i="1"/>
  <c r="Q417" i="1"/>
  <c r="O417" i="1"/>
  <c r="M417" i="1"/>
  <c r="K417" i="1"/>
  <c r="G417" i="1"/>
  <c r="G485" i="1" l="1"/>
  <c r="G484" i="1"/>
  <c r="U141" i="1"/>
  <c r="W141" i="1"/>
  <c r="S141" i="1"/>
  <c r="Q141" i="1"/>
  <c r="O141" i="1"/>
  <c r="M141" i="1"/>
  <c r="K141" i="1"/>
  <c r="W140" i="1"/>
  <c r="U140" i="1"/>
  <c r="S140" i="1"/>
  <c r="Q140" i="1"/>
  <c r="O140" i="1"/>
  <c r="M140" i="1"/>
  <c r="K140" i="1"/>
  <c r="G382" i="1" l="1"/>
  <c r="G410" i="1" l="1"/>
  <c r="G498" i="1" l="1"/>
  <c r="U454" i="1" l="1"/>
  <c r="S454" i="1"/>
  <c r="Q454" i="1"/>
  <c r="M454" i="1"/>
  <c r="K468" i="1"/>
  <c r="I468" i="1"/>
  <c r="K467" i="1"/>
  <c r="I467" i="1"/>
  <c r="G461" i="1" l="1"/>
  <c r="Q461" i="1" l="1"/>
  <c r="O461" i="1"/>
  <c r="M461" i="1"/>
  <c r="W461" i="1"/>
  <c r="K461" i="1"/>
  <c r="U461" i="1"/>
  <c r="S461" i="1"/>
  <c r="I461" i="1"/>
  <c r="L646" i="1" l="1"/>
  <c r="L645" i="1"/>
  <c r="G394" i="1" l="1"/>
  <c r="F15" i="1" l="1"/>
  <c r="H15" i="1" s="1"/>
  <c r="F16" i="1"/>
  <c r="H16" i="1" s="1"/>
  <c r="N163" i="1" l="1"/>
  <c r="O163" i="1" s="1"/>
  <c r="J163" i="1"/>
  <c r="K163" i="1" s="1"/>
  <c r="P163" i="1"/>
  <c r="Q163" i="1" s="1"/>
  <c r="L163" i="1"/>
  <c r="M163" i="1" s="1"/>
  <c r="V187" i="1"/>
  <c r="W187" i="1" s="1"/>
  <c r="T187" i="1"/>
  <c r="U187" i="1" s="1"/>
  <c r="R187" i="1"/>
  <c r="S187" i="1" s="1"/>
  <c r="P187" i="1"/>
  <c r="Q187" i="1" s="1"/>
  <c r="N187" i="1"/>
  <c r="O187" i="1" s="1"/>
  <c r="L187" i="1"/>
  <c r="M187" i="1" s="1"/>
  <c r="V220" i="1"/>
  <c r="W220" i="1" s="1"/>
  <c r="T220" i="1"/>
  <c r="U220" i="1" s="1"/>
  <c r="R220" i="1"/>
  <c r="S220" i="1" s="1"/>
  <c r="P220" i="1"/>
  <c r="Q220" i="1" s="1"/>
  <c r="N220" i="1"/>
  <c r="O220" i="1" s="1"/>
  <c r="L220" i="1"/>
  <c r="M220" i="1" s="1"/>
  <c r="J220" i="1"/>
  <c r="K220" i="1" s="1"/>
  <c r="T223" i="1"/>
  <c r="U223" i="1" s="1"/>
  <c r="R223" i="1"/>
  <c r="S223" i="1" s="1"/>
  <c r="P223" i="1"/>
  <c r="Q223" i="1" s="1"/>
  <c r="V223" i="1"/>
  <c r="W223" i="1" s="1"/>
  <c r="N223" i="1"/>
  <c r="O223" i="1" s="1"/>
  <c r="H223" i="1"/>
  <c r="I223" i="1" s="1"/>
  <c r="L223" i="1"/>
  <c r="M223" i="1" s="1"/>
  <c r="J223" i="1"/>
  <c r="K223" i="1" s="1"/>
  <c r="J147" i="1"/>
  <c r="K147" i="1" s="1"/>
  <c r="H147" i="1"/>
  <c r="I147" i="1" s="1"/>
  <c r="L147" i="1"/>
  <c r="M147" i="1" s="1"/>
  <c r="V147" i="1"/>
  <c r="W147" i="1" s="1"/>
  <c r="T147" i="1"/>
  <c r="U147" i="1" s="1"/>
  <c r="R147" i="1"/>
  <c r="S147" i="1" s="1"/>
  <c r="N147" i="1"/>
  <c r="O147" i="1" s="1"/>
  <c r="P147" i="1"/>
  <c r="Q147" i="1" s="1"/>
  <c r="I162" i="1"/>
  <c r="W162" i="1"/>
  <c r="U162" i="1"/>
  <c r="S162" i="1"/>
  <c r="Q162" i="1"/>
  <c r="O162" i="1"/>
  <c r="M162" i="1"/>
  <c r="K162" i="1"/>
  <c r="G546" i="1"/>
  <c r="G388" i="1" l="1"/>
  <c r="V486" i="1" l="1"/>
  <c r="W486" i="1" s="1"/>
  <c r="I486" i="1"/>
  <c r="T486" i="1"/>
  <c r="U486" i="1" s="1"/>
  <c r="P486" i="1"/>
  <c r="Q486" i="1" s="1"/>
  <c r="R486" i="1"/>
  <c r="S486" i="1" s="1"/>
  <c r="N486" i="1"/>
  <c r="O486" i="1" s="1"/>
  <c r="G486" i="1"/>
  <c r="G364" i="1" l="1"/>
  <c r="F508" i="1" l="1"/>
  <c r="P508" i="1" l="1"/>
  <c r="Q508" i="1" s="1"/>
  <c r="N508" i="1"/>
  <c r="O508" i="1" s="1"/>
  <c r="L508" i="1"/>
  <c r="M508" i="1" s="1"/>
  <c r="J508" i="1"/>
  <c r="K508" i="1" s="1"/>
  <c r="H508" i="1"/>
  <c r="I508" i="1" s="1"/>
  <c r="V508" i="1"/>
  <c r="W508" i="1" s="1"/>
  <c r="T508" i="1"/>
  <c r="U508" i="1" s="1"/>
  <c r="R508" i="1"/>
  <c r="S508" i="1" s="1"/>
  <c r="G508" i="1"/>
  <c r="G366" i="1" l="1"/>
  <c r="G362" i="1" l="1"/>
  <c r="P646" i="1" l="1"/>
  <c r="Q646" i="1" s="1"/>
  <c r="M646" i="1" l="1"/>
  <c r="V646" i="1"/>
  <c r="W646" i="1" s="1"/>
  <c r="G646" i="1"/>
  <c r="R646" i="1"/>
  <c r="S646" i="1" s="1"/>
  <c r="N646" i="1"/>
  <c r="O646" i="1" s="1"/>
  <c r="T646" i="1"/>
  <c r="U646" i="1" s="1"/>
  <c r="G527" i="1"/>
  <c r="G569" i="1"/>
  <c r="G99" i="1"/>
  <c r="G147" i="1"/>
  <c r="R654" i="1" l="1"/>
  <c r="R653" i="1"/>
  <c r="P654" i="1"/>
  <c r="P653" i="1"/>
  <c r="N654" i="1"/>
  <c r="N653" i="1"/>
  <c r="T653" i="1"/>
  <c r="T654" i="1"/>
  <c r="G431" i="1" l="1"/>
  <c r="V645" i="1"/>
  <c r="W645" i="1" s="1"/>
  <c r="P645" i="1"/>
  <c r="Q645" i="1" s="1"/>
  <c r="R645" i="1"/>
  <c r="S645" i="1" s="1"/>
  <c r="N645" i="1"/>
  <c r="O645" i="1" s="1"/>
  <c r="T645" i="1"/>
  <c r="U645" i="1" s="1"/>
  <c r="G645" i="1"/>
  <c r="M645" i="1"/>
  <c r="F434" i="1"/>
  <c r="F432" i="1"/>
  <c r="F433" i="1"/>
  <c r="H434" i="1" l="1"/>
  <c r="I434" i="1" s="1"/>
  <c r="R434" i="1"/>
  <c r="S434" i="1" s="1"/>
  <c r="V434" i="1"/>
  <c r="W434" i="1" s="1"/>
  <c r="T434" i="1"/>
  <c r="U434" i="1" s="1"/>
  <c r="N434" i="1"/>
  <c r="O434" i="1" s="1"/>
  <c r="L434" i="1"/>
  <c r="M434" i="1" s="1"/>
  <c r="J434" i="1"/>
  <c r="K434" i="1" s="1"/>
  <c r="P434" i="1"/>
  <c r="Q434" i="1" s="1"/>
  <c r="H433" i="1"/>
  <c r="I433" i="1" s="1"/>
  <c r="R433" i="1"/>
  <c r="S433" i="1" s="1"/>
  <c r="V433" i="1"/>
  <c r="W433" i="1" s="1"/>
  <c r="T433" i="1"/>
  <c r="U433" i="1" s="1"/>
  <c r="N433" i="1"/>
  <c r="O433" i="1" s="1"/>
  <c r="L433" i="1"/>
  <c r="M433" i="1" s="1"/>
  <c r="J433" i="1"/>
  <c r="K433" i="1" s="1"/>
  <c r="P433" i="1"/>
  <c r="Q433" i="1" s="1"/>
  <c r="R432" i="1"/>
  <c r="S432" i="1" s="1"/>
  <c r="L432" i="1"/>
  <c r="M432" i="1" s="1"/>
  <c r="P432" i="1"/>
  <c r="Q432" i="1" s="1"/>
  <c r="N432" i="1"/>
  <c r="O432" i="1" s="1"/>
  <c r="H432" i="1"/>
  <c r="I432" i="1" s="1"/>
  <c r="V432" i="1"/>
  <c r="W432" i="1" s="1"/>
  <c r="J432" i="1"/>
  <c r="K432" i="1" s="1"/>
  <c r="T432" i="1"/>
  <c r="U432" i="1" s="1"/>
  <c r="G432" i="1"/>
  <c r="G433" i="1"/>
  <c r="G434" i="1"/>
  <c r="G363" i="1" l="1"/>
  <c r="W148" i="1" l="1"/>
  <c r="U148" i="1"/>
  <c r="S148" i="1"/>
  <c r="Q148" i="1"/>
  <c r="O148" i="1"/>
  <c r="M148" i="1"/>
  <c r="K148" i="1"/>
  <c r="W447" i="1"/>
  <c r="W443" i="1"/>
  <c r="W442" i="1"/>
  <c r="U447" i="1"/>
  <c r="U443" i="1"/>
  <c r="U442" i="1"/>
  <c r="S447" i="1"/>
  <c r="S443" i="1"/>
  <c r="S442" i="1"/>
  <c r="Q447" i="1"/>
  <c r="Q443" i="1"/>
  <c r="Q442" i="1"/>
  <c r="O447" i="1"/>
  <c r="O443" i="1"/>
  <c r="O442" i="1"/>
  <c r="G445" i="1"/>
  <c r="G446" i="1"/>
  <c r="G447" i="1"/>
  <c r="G444" i="1"/>
  <c r="G443" i="1"/>
  <c r="G442" i="1"/>
  <c r="G330" i="1" l="1"/>
  <c r="F473" i="1" l="1"/>
  <c r="N473" i="1" l="1"/>
  <c r="O473" i="1" s="1"/>
  <c r="L473" i="1"/>
  <c r="M473" i="1" s="1"/>
  <c r="J473" i="1"/>
  <c r="K473" i="1" s="1"/>
  <c r="H473" i="1"/>
  <c r="I473" i="1" s="1"/>
  <c r="T473" i="1"/>
  <c r="U473" i="1" s="1"/>
  <c r="R473" i="1"/>
  <c r="S473" i="1" s="1"/>
  <c r="P473" i="1"/>
  <c r="Q473" i="1" s="1"/>
  <c r="V473" i="1"/>
  <c r="W473" i="1" s="1"/>
  <c r="M127" i="1"/>
  <c r="F509" i="1" l="1"/>
  <c r="L509" i="1" l="1"/>
  <c r="M509" i="1" s="1"/>
  <c r="J509" i="1"/>
  <c r="K509" i="1" s="1"/>
  <c r="H509" i="1"/>
  <c r="P509" i="1"/>
  <c r="Q509" i="1" s="1"/>
  <c r="N509" i="1"/>
  <c r="O509" i="1" s="1"/>
  <c r="V509" i="1"/>
  <c r="W509" i="1" s="1"/>
  <c r="R509" i="1"/>
  <c r="S509" i="1" s="1"/>
  <c r="I509" i="1"/>
  <c r="T509" i="1"/>
  <c r="U509" i="1" s="1"/>
  <c r="G275" i="1" l="1"/>
  <c r="V502" i="1" l="1"/>
  <c r="W502" i="1" s="1"/>
  <c r="I502" i="1"/>
  <c r="T502" i="1"/>
  <c r="U502" i="1" s="1"/>
  <c r="N502" i="1"/>
  <c r="O502" i="1" s="1"/>
  <c r="R502" i="1"/>
  <c r="S502" i="1" s="1"/>
  <c r="P502" i="1"/>
  <c r="Q502" i="1" s="1"/>
  <c r="T500" i="1"/>
  <c r="U500" i="1" s="1"/>
  <c r="V500" i="1"/>
  <c r="W500" i="1" s="1"/>
  <c r="R500" i="1"/>
  <c r="S500" i="1" s="1"/>
  <c r="N500" i="1"/>
  <c r="O500" i="1" s="1"/>
  <c r="I500" i="1"/>
  <c r="P500" i="1"/>
  <c r="Q500" i="1" s="1"/>
  <c r="G500" i="1"/>
  <c r="G352" i="1"/>
  <c r="F341" i="1" l="1"/>
  <c r="F173" i="1"/>
  <c r="F172" i="1"/>
  <c r="F171" i="1"/>
  <c r="F170" i="1"/>
  <c r="F169" i="1"/>
  <c r="F168" i="1"/>
  <c r="P168" i="1" l="1"/>
  <c r="Q168" i="1" s="1"/>
  <c r="N168" i="1"/>
  <c r="O168" i="1" s="1"/>
  <c r="L168" i="1"/>
  <c r="M168" i="1" s="1"/>
  <c r="J168" i="1"/>
  <c r="K168" i="1" s="1"/>
  <c r="T168" i="1"/>
  <c r="U168" i="1" s="1"/>
  <c r="R168" i="1"/>
  <c r="S168" i="1" s="1"/>
  <c r="H168" i="1"/>
  <c r="I168" i="1" s="1"/>
  <c r="V168" i="1"/>
  <c r="W168" i="1" s="1"/>
  <c r="R171" i="1"/>
  <c r="S171" i="1" s="1"/>
  <c r="P171" i="1"/>
  <c r="Q171" i="1" s="1"/>
  <c r="N171" i="1"/>
  <c r="O171" i="1" s="1"/>
  <c r="L171" i="1"/>
  <c r="M171" i="1" s="1"/>
  <c r="J171" i="1"/>
  <c r="K171" i="1" s="1"/>
  <c r="T171" i="1"/>
  <c r="U171" i="1" s="1"/>
  <c r="V169" i="1"/>
  <c r="W169" i="1" s="1"/>
  <c r="R169" i="1"/>
  <c r="S169" i="1" s="1"/>
  <c r="T169" i="1"/>
  <c r="U169" i="1" s="1"/>
  <c r="P169" i="1"/>
  <c r="Q169" i="1" s="1"/>
  <c r="N169" i="1"/>
  <c r="O169" i="1" s="1"/>
  <c r="L169" i="1"/>
  <c r="M169" i="1" s="1"/>
  <c r="J169" i="1"/>
  <c r="K169" i="1" s="1"/>
  <c r="H169" i="1"/>
  <c r="I169" i="1" s="1"/>
  <c r="N172" i="1"/>
  <c r="O172" i="1" s="1"/>
  <c r="L172" i="1"/>
  <c r="M172" i="1" s="1"/>
  <c r="J172" i="1"/>
  <c r="K172" i="1" s="1"/>
  <c r="V172" i="1"/>
  <c r="W172" i="1" s="1"/>
  <c r="T172" i="1"/>
  <c r="U172" i="1" s="1"/>
  <c r="P172" i="1"/>
  <c r="Q172" i="1" s="1"/>
  <c r="R172" i="1"/>
  <c r="S172" i="1" s="1"/>
  <c r="H172" i="1"/>
  <c r="I172" i="1" s="1"/>
  <c r="R173" i="1"/>
  <c r="S173" i="1" s="1"/>
  <c r="N173" i="1"/>
  <c r="O173" i="1" s="1"/>
  <c r="L173" i="1"/>
  <c r="M173" i="1" s="1"/>
  <c r="J173" i="1"/>
  <c r="K173" i="1" s="1"/>
  <c r="H173" i="1"/>
  <c r="I173" i="1" s="1"/>
  <c r="T173" i="1"/>
  <c r="U173" i="1" s="1"/>
  <c r="P173" i="1"/>
  <c r="Q173" i="1" s="1"/>
  <c r="V173" i="1"/>
  <c r="W173" i="1" s="1"/>
  <c r="T170" i="1"/>
  <c r="U170" i="1" s="1"/>
  <c r="R170" i="1"/>
  <c r="S170" i="1" s="1"/>
  <c r="P170" i="1"/>
  <c r="Q170" i="1" s="1"/>
  <c r="N170" i="1"/>
  <c r="O170" i="1" s="1"/>
  <c r="L170" i="1"/>
  <c r="M170" i="1" s="1"/>
  <c r="J170" i="1"/>
  <c r="K170" i="1" s="1"/>
  <c r="H170" i="1"/>
  <c r="I170" i="1" s="1"/>
  <c r="R341" i="1"/>
  <c r="S341" i="1" s="1"/>
  <c r="P341" i="1"/>
  <c r="Q341" i="1" s="1"/>
  <c r="N341" i="1"/>
  <c r="O341" i="1" s="1"/>
  <c r="L341" i="1"/>
  <c r="M341" i="1" s="1"/>
  <c r="T341" i="1"/>
  <c r="U341" i="1" s="1"/>
  <c r="T130" i="1" l="1"/>
  <c r="U130" i="1" s="1"/>
  <c r="R130" i="1"/>
  <c r="S130" i="1" s="1"/>
  <c r="P130" i="1"/>
  <c r="Q130" i="1" s="1"/>
  <c r="V130" i="1"/>
  <c r="W130" i="1" s="1"/>
  <c r="N130" i="1"/>
  <c r="O130" i="1" s="1"/>
  <c r="L130" i="1"/>
  <c r="M130" i="1" s="1"/>
  <c r="J130" i="1"/>
  <c r="K130" i="1" s="1"/>
  <c r="T658" i="1"/>
  <c r="U658" i="1" s="1"/>
  <c r="R658" i="1"/>
  <c r="S658" i="1" s="1"/>
  <c r="P658" i="1"/>
  <c r="Q658" i="1" s="1"/>
  <c r="N658" i="1"/>
  <c r="O658" i="1" s="1"/>
  <c r="L658" i="1"/>
  <c r="M658" i="1" s="1"/>
  <c r="J658" i="1"/>
  <c r="K658" i="1" s="1"/>
  <c r="G378" i="1"/>
  <c r="L647" i="1"/>
  <c r="V647" i="1" l="1"/>
  <c r="T647" i="1"/>
  <c r="R647" i="1"/>
  <c r="P647" i="1"/>
  <c r="N647" i="1"/>
  <c r="O671" i="1"/>
  <c r="L648" i="1"/>
  <c r="V415" i="1" l="1"/>
  <c r="W415" i="1" s="1"/>
  <c r="T415" i="1"/>
  <c r="U415" i="1" s="1"/>
  <c r="R415" i="1"/>
  <c r="S415" i="1" s="1"/>
  <c r="P415" i="1"/>
  <c r="Q415" i="1" s="1"/>
  <c r="N415" i="1"/>
  <c r="O415" i="1" s="1"/>
  <c r="L415" i="1"/>
  <c r="M415" i="1" s="1"/>
  <c r="J415" i="1"/>
  <c r="K415" i="1" s="1"/>
  <c r="T648" i="1"/>
  <c r="R648" i="1"/>
  <c r="P648" i="1"/>
  <c r="N648" i="1"/>
  <c r="G299" i="1" l="1"/>
  <c r="F335" i="1" l="1"/>
  <c r="T335" i="1" l="1"/>
  <c r="U335" i="1" s="1"/>
  <c r="R335" i="1"/>
  <c r="S335" i="1" s="1"/>
  <c r="P335" i="1"/>
  <c r="Q335" i="1" s="1"/>
  <c r="N335" i="1"/>
  <c r="O335" i="1" s="1"/>
  <c r="L335" i="1"/>
  <c r="M335" i="1" s="1"/>
  <c r="V335" i="1"/>
  <c r="W335" i="1" s="1"/>
  <c r="G659" i="1"/>
  <c r="G504" i="1" l="1"/>
  <c r="G503" i="1" l="1"/>
  <c r="G493" i="1" l="1"/>
  <c r="G488" i="1"/>
  <c r="G487" i="1" l="1"/>
  <c r="G259" i="1" l="1"/>
  <c r="G256" i="1"/>
  <c r="G244" i="1" l="1"/>
  <c r="G234" i="1"/>
  <c r="G572" i="1" l="1"/>
  <c r="G573" i="1"/>
  <c r="G472" i="1" l="1"/>
  <c r="G199" i="1" l="1"/>
  <c r="G198" i="1" l="1"/>
  <c r="G214" i="1"/>
  <c r="G540" i="1" l="1"/>
  <c r="G539" i="1"/>
  <c r="G351" i="1" l="1"/>
  <c r="G243" i="1" l="1"/>
  <c r="G365" i="1" l="1"/>
  <c r="G172" i="1" l="1"/>
  <c r="G173" i="1"/>
  <c r="G169" i="1" l="1"/>
  <c r="G171" i="1"/>
  <c r="G170" i="1"/>
  <c r="G168" i="1"/>
  <c r="G167" i="1"/>
  <c r="G166" i="1"/>
  <c r="I166" i="1"/>
  <c r="G414" i="1" l="1"/>
  <c r="G293" i="1" l="1"/>
  <c r="W575" i="1" l="1"/>
  <c r="U575" i="1"/>
  <c r="S575" i="1"/>
  <c r="Q575" i="1"/>
  <c r="O575" i="1"/>
  <c r="M575" i="1"/>
  <c r="K575" i="1"/>
  <c r="I575" i="1"/>
  <c r="W513" i="1" l="1"/>
  <c r="U513" i="1"/>
  <c r="S513" i="1"/>
  <c r="Q513" i="1"/>
  <c r="O513" i="1"/>
  <c r="M513" i="1"/>
  <c r="K513" i="1"/>
  <c r="I513" i="1"/>
  <c r="W35" i="1" l="1"/>
  <c r="U35" i="1"/>
  <c r="S35" i="1"/>
  <c r="Q35" i="1"/>
  <c r="O35" i="1"/>
  <c r="G60" i="1"/>
  <c r="U13" i="1"/>
  <c r="S13" i="1"/>
  <c r="Q13" i="1"/>
  <c r="O13" i="1"/>
  <c r="M13" i="1"/>
  <c r="K13" i="1"/>
  <c r="K27" i="1" l="1"/>
  <c r="G409" i="1" l="1"/>
  <c r="G264" i="1"/>
  <c r="G258" i="1" l="1"/>
  <c r="G492" i="1" l="1"/>
  <c r="G491" i="1" l="1"/>
  <c r="G183" i="1"/>
  <c r="G182" i="1"/>
  <c r="G179" i="1"/>
  <c r="W174" i="1"/>
  <c r="U174" i="1"/>
  <c r="S174" i="1"/>
  <c r="Q174" i="1"/>
  <c r="O174" i="1"/>
  <c r="K643" i="1"/>
  <c r="G181" i="1" l="1"/>
  <c r="G180" i="1"/>
  <c r="W179" i="1"/>
  <c r="G184" i="1"/>
  <c r="G550" i="1"/>
  <c r="I674" i="1" l="1"/>
  <c r="I673" i="1"/>
  <c r="I671" i="1"/>
  <c r="I672" i="1"/>
  <c r="W671" i="1"/>
  <c r="U671" i="1"/>
  <c r="S671" i="1"/>
  <c r="Q671" i="1"/>
  <c r="M671" i="1"/>
  <c r="K671" i="1"/>
  <c r="W512" i="1" l="1"/>
  <c r="U512" i="1" l="1"/>
  <c r="I512" i="1"/>
  <c r="M512" i="1"/>
  <c r="Q512" i="1"/>
  <c r="K512" i="1"/>
  <c r="O512" i="1"/>
  <c r="S512" i="1"/>
  <c r="G490" i="1" l="1"/>
  <c r="G489" i="1"/>
  <c r="K304" i="1" l="1"/>
  <c r="I471" i="1" l="1"/>
  <c r="G242" i="1" l="1"/>
  <c r="G545" i="1" l="1"/>
  <c r="G564" i="1" l="1"/>
  <c r="G554" i="1"/>
  <c r="G563" i="1"/>
  <c r="G532" i="1" l="1"/>
  <c r="K522" i="1" l="1"/>
  <c r="G525" i="1"/>
  <c r="G537" i="1"/>
  <c r="G526" i="1" l="1"/>
  <c r="G536" i="1"/>
  <c r="G529" i="1"/>
  <c r="I522" i="1"/>
  <c r="G556" i="1"/>
  <c r="G552" i="1"/>
  <c r="G551" i="1"/>
  <c r="G544" i="1"/>
  <c r="G543" i="1"/>
  <c r="G542" i="1"/>
  <c r="G541" i="1"/>
  <c r="G528" i="1"/>
  <c r="G522" i="1"/>
  <c r="G278" i="1" l="1"/>
  <c r="G383" i="1" l="1"/>
  <c r="G277" i="1" l="1"/>
  <c r="G300" i="1"/>
  <c r="G289" i="1"/>
  <c r="G287" i="1"/>
  <c r="G288" i="1"/>
  <c r="I15" i="1"/>
  <c r="I16" i="1"/>
  <c r="G16" i="1"/>
  <c r="G15" i="1"/>
  <c r="N16" i="1"/>
  <c r="G45" i="1"/>
  <c r="G44" i="1"/>
  <c r="W43" i="1"/>
  <c r="U43" i="1"/>
  <c r="S43" i="1"/>
  <c r="Q43" i="1"/>
  <c r="O43" i="1"/>
  <c r="G43" i="1"/>
  <c r="G127" i="1"/>
  <c r="G221" i="1" l="1"/>
  <c r="G386" i="1" l="1"/>
  <c r="G657" i="1" l="1"/>
  <c r="U652" i="1" l="1"/>
  <c r="K652" i="1"/>
  <c r="S652" i="1"/>
  <c r="Q652" i="1"/>
  <c r="O652" i="1"/>
  <c r="M652" i="1"/>
  <c r="G652" i="1"/>
  <c r="U654" i="1"/>
  <c r="S654" i="1"/>
  <c r="Q654" i="1"/>
  <c r="O654" i="1"/>
  <c r="M654" i="1"/>
  <c r="K654" i="1"/>
  <c r="G654" i="1"/>
  <c r="G421" i="1" l="1"/>
  <c r="G420" i="1"/>
  <c r="Q57" i="1" l="1"/>
  <c r="M57" i="1"/>
  <c r="K57" i="1"/>
  <c r="W57" i="1"/>
  <c r="U57" i="1"/>
  <c r="S57" i="1"/>
  <c r="O57" i="1"/>
  <c r="G57" i="1"/>
  <c r="G331" i="1" l="1"/>
  <c r="G354" i="1" l="1"/>
  <c r="G285" i="1"/>
  <c r="G224" i="1" l="1"/>
  <c r="G225" i="1"/>
  <c r="G228" i="1" l="1"/>
  <c r="I667" i="1" l="1"/>
  <c r="K667" i="1"/>
  <c r="W667" i="1"/>
  <c r="U667" i="1"/>
  <c r="S667" i="1"/>
  <c r="Q667" i="1"/>
  <c r="O667" i="1"/>
  <c r="M667" i="1"/>
  <c r="W666" i="1"/>
  <c r="U666" i="1"/>
  <c r="S666" i="1"/>
  <c r="Q666" i="1"/>
  <c r="O666" i="1"/>
  <c r="M666" i="1"/>
  <c r="S672" i="1"/>
  <c r="U672" i="1"/>
  <c r="W672" i="1"/>
  <c r="S673" i="1"/>
  <c r="U673" i="1"/>
  <c r="W673" i="1"/>
  <c r="S674" i="1"/>
  <c r="U674" i="1"/>
  <c r="W674" i="1"/>
  <c r="Q674" i="1"/>
  <c r="O674" i="1"/>
  <c r="M674" i="1"/>
  <c r="K674" i="1"/>
  <c r="M123" i="1" l="1"/>
  <c r="M119" i="1"/>
  <c r="M118" i="1"/>
  <c r="M114" i="1"/>
  <c r="M113" i="1"/>
  <c r="O108" i="1"/>
  <c r="O107" i="1"/>
  <c r="Q74" i="1" l="1"/>
  <c r="Q73" i="1"/>
  <c r="Q71" i="1"/>
  <c r="Q69" i="1"/>
  <c r="Q70" i="1"/>
  <c r="U653" i="1" l="1"/>
  <c r="S653" i="1"/>
  <c r="Q653" i="1"/>
  <c r="O653" i="1"/>
  <c r="M653" i="1"/>
  <c r="W647" i="1"/>
  <c r="U647" i="1"/>
  <c r="S647" i="1"/>
  <c r="Q647" i="1"/>
  <c r="O647" i="1"/>
  <c r="M647" i="1"/>
  <c r="W471" i="1"/>
  <c r="U471" i="1"/>
  <c r="S471" i="1"/>
  <c r="Q471" i="1"/>
  <c r="O471" i="1"/>
  <c r="M471" i="1"/>
  <c r="K471" i="1"/>
  <c r="Q437" i="1"/>
  <c r="Q418" i="1"/>
  <c r="Q416" i="1"/>
  <c r="G644" i="1" l="1"/>
  <c r="G643" i="1"/>
  <c r="Q178" i="1" l="1"/>
  <c r="Q123" i="1" l="1"/>
  <c r="Q119" i="1"/>
  <c r="Q118" i="1"/>
  <c r="Q114" i="1"/>
  <c r="Q113" i="1"/>
  <c r="Q109" i="1"/>
  <c r="Q108" i="1"/>
  <c r="Q107" i="1"/>
  <c r="Q106" i="1"/>
  <c r="Q105" i="1"/>
  <c r="K53" i="1"/>
  <c r="Q53" i="1"/>
  <c r="Q126" i="1" l="1"/>
  <c r="Q46" i="1" l="1"/>
  <c r="Q40" i="1"/>
  <c r="Q38" i="1"/>
  <c r="Q37" i="1"/>
  <c r="Q34" i="1"/>
  <c r="Q29" i="1"/>
  <c r="G509" i="1" l="1"/>
  <c r="G222" i="1"/>
  <c r="G246" i="1" l="1"/>
  <c r="G209" i="1"/>
  <c r="G428" i="1" l="1"/>
  <c r="G381" i="1" l="1"/>
  <c r="G415" i="1"/>
  <c r="G282" i="1"/>
  <c r="G359" i="1"/>
  <c r="Q143" i="1"/>
  <c r="Q142" i="1"/>
  <c r="W38" i="1"/>
  <c r="G130" i="1" l="1"/>
  <c r="G262" i="1" l="1"/>
  <c r="G188" i="1"/>
  <c r="G380" i="1" l="1"/>
  <c r="O71" i="1" l="1"/>
  <c r="G204" i="1"/>
  <c r="G283" i="1" l="1"/>
  <c r="W69" i="1" l="1"/>
  <c r="U69" i="1"/>
  <c r="S69" i="1"/>
  <c r="O69" i="1"/>
  <c r="G280" i="1"/>
  <c r="G370" i="1" l="1"/>
  <c r="G163" i="1" l="1"/>
  <c r="G335" i="1" l="1"/>
  <c r="G658" i="1"/>
  <c r="G660" i="1"/>
  <c r="G425" i="1" l="1"/>
  <c r="G494" i="1" l="1"/>
  <c r="G39" i="1" l="1"/>
  <c r="U38" i="1"/>
  <c r="S38" i="1"/>
  <c r="O38" i="1"/>
  <c r="G38" i="1"/>
  <c r="I582" i="1" l="1"/>
  <c r="G249" i="1" l="1"/>
  <c r="G255" i="1" l="1"/>
  <c r="G250" i="1"/>
  <c r="G164" i="1" l="1"/>
  <c r="V97" i="1" l="1"/>
  <c r="T97" i="1"/>
  <c r="R97" i="1"/>
  <c r="N97" i="1"/>
  <c r="K97" i="1"/>
  <c r="G393" i="1" l="1"/>
  <c r="G502" i="1" l="1"/>
  <c r="G205" i="1" l="1"/>
  <c r="G462" i="1" l="1"/>
  <c r="G401" i="1"/>
  <c r="I698" i="1" l="1"/>
  <c r="M126" i="1"/>
  <c r="W123" i="1"/>
  <c r="W119" i="1"/>
  <c r="W118" i="1"/>
  <c r="W114" i="1"/>
  <c r="W113" i="1"/>
  <c r="U123" i="1"/>
  <c r="U119" i="1"/>
  <c r="U118" i="1"/>
  <c r="U114" i="1"/>
  <c r="U113" i="1"/>
  <c r="S123" i="1"/>
  <c r="S119" i="1"/>
  <c r="S114" i="1"/>
  <c r="S113" i="1"/>
  <c r="O114" i="1"/>
  <c r="O118" i="1"/>
  <c r="O119" i="1"/>
  <c r="O123" i="1"/>
  <c r="O113" i="1"/>
  <c r="W105" i="1"/>
  <c r="W106" i="1"/>
  <c r="W107" i="1"/>
  <c r="W108" i="1"/>
  <c r="U105" i="1"/>
  <c r="U106" i="1"/>
  <c r="U107" i="1"/>
  <c r="U108" i="1"/>
  <c r="S105" i="1"/>
  <c r="S106" i="1"/>
  <c r="S107" i="1"/>
  <c r="S108" i="1"/>
  <c r="W126" i="1" l="1"/>
  <c r="G511" i="1" l="1"/>
  <c r="G510" i="1"/>
  <c r="G497" i="1"/>
  <c r="G499" i="1"/>
  <c r="G507" i="1"/>
  <c r="G506" i="1"/>
  <c r="G454" i="1" l="1"/>
  <c r="G281" i="1" l="1"/>
  <c r="G298" i="1"/>
  <c r="G284" i="1"/>
  <c r="G297" i="1" l="1"/>
  <c r="G220" i="1" l="1"/>
  <c r="G10" i="1"/>
  <c r="G211" i="1" l="1"/>
  <c r="G647" i="1" l="1"/>
  <c r="G212" i="1" l="1"/>
  <c r="O34" i="1"/>
  <c r="G187" i="1" l="1"/>
  <c r="G268" i="1" l="1"/>
  <c r="G270" i="1"/>
  <c r="G269" i="1"/>
  <c r="G384" i="1" l="1"/>
  <c r="G385" i="1"/>
  <c r="S40" i="1" l="1"/>
  <c r="G110" i="1" l="1"/>
  <c r="G451" i="1" l="1"/>
  <c r="G656" i="1" l="1"/>
  <c r="G653" i="1"/>
  <c r="G267" i="1"/>
  <c r="G213" i="1"/>
  <c r="G210" i="1"/>
  <c r="G208" i="1"/>
  <c r="G202" i="1"/>
  <c r="G203" i="1"/>
  <c r="G201" i="1"/>
  <c r="G104" i="1"/>
  <c r="G64" i="1"/>
  <c r="G22" i="1"/>
  <c r="G20" i="1"/>
  <c r="G21" i="1"/>
  <c r="G377" i="1" l="1"/>
  <c r="U416" i="1" l="1"/>
  <c r="S416" i="1"/>
  <c r="M416" i="1"/>
  <c r="O416" i="1"/>
  <c r="G416" i="1"/>
  <c r="J460" i="1" l="1"/>
  <c r="J457" i="1"/>
  <c r="J456" i="1"/>
  <c r="J455" i="1"/>
  <c r="J459" i="1"/>
  <c r="J454" i="1"/>
  <c r="O109" i="1" l="1"/>
  <c r="G19" i="1"/>
  <c r="G418" i="1"/>
  <c r="M418" i="1"/>
  <c r="O418" i="1"/>
  <c r="S418" i="1"/>
  <c r="U418" i="1"/>
  <c r="G154" i="1"/>
  <c r="G24" i="1" l="1"/>
  <c r="G501" i="1" l="1"/>
  <c r="G54" i="1" l="1"/>
  <c r="G56" i="1"/>
  <c r="O29" i="1"/>
  <c r="G58" i="1"/>
  <c r="U29" i="1" l="1"/>
  <c r="G196" i="1"/>
  <c r="G27" i="1" l="1"/>
  <c r="G302" i="1"/>
  <c r="O126" i="1"/>
  <c r="S126" i="1"/>
  <c r="U126" i="1"/>
  <c r="G295" i="1" l="1"/>
  <c r="G13" i="1" l="1"/>
  <c r="G473" i="1" l="1"/>
  <c r="G146" i="1" l="1"/>
  <c r="G12" i="1"/>
  <c r="G18" i="1"/>
  <c r="G29" i="1"/>
  <c r="S29" i="1"/>
  <c r="W29" i="1"/>
  <c r="G30" i="1"/>
  <c r="G31" i="1"/>
  <c r="G32" i="1"/>
  <c r="G33" i="1"/>
  <c r="G34" i="1"/>
  <c r="S34" i="1"/>
  <c r="U34" i="1"/>
  <c r="W34" i="1"/>
  <c r="G35" i="1"/>
  <c r="G36" i="1"/>
  <c r="G37" i="1"/>
  <c r="O37" i="1"/>
  <c r="S37" i="1"/>
  <c r="U37" i="1"/>
  <c r="W37" i="1"/>
  <c r="G40" i="1"/>
  <c r="O40" i="1"/>
  <c r="U40" i="1"/>
  <c r="W40" i="1"/>
  <c r="G41" i="1"/>
  <c r="G42" i="1"/>
  <c r="G46" i="1"/>
  <c r="O46" i="1"/>
  <c r="S46" i="1"/>
  <c r="U46" i="1"/>
  <c r="W46" i="1"/>
  <c r="G47" i="1"/>
  <c r="G48" i="1"/>
  <c r="G53" i="1"/>
  <c r="M53" i="1"/>
  <c r="O53" i="1"/>
  <c r="S53" i="1"/>
  <c r="U53" i="1"/>
  <c r="W53" i="1"/>
  <c r="G55" i="1"/>
  <c r="G59" i="1"/>
  <c r="G65" i="1"/>
  <c r="G68" i="1"/>
  <c r="O70" i="1"/>
  <c r="S70" i="1"/>
  <c r="U70" i="1"/>
  <c r="W70" i="1"/>
  <c r="S71" i="1"/>
  <c r="U71" i="1"/>
  <c r="W71" i="1"/>
  <c r="M73" i="1"/>
  <c r="O73" i="1"/>
  <c r="S73" i="1"/>
  <c r="U73" i="1"/>
  <c r="M74" i="1"/>
  <c r="O74" i="1"/>
  <c r="S74" i="1"/>
  <c r="U74" i="1"/>
  <c r="G94" i="1"/>
  <c r="K94" i="1"/>
  <c r="M94" i="1"/>
  <c r="N94" i="1"/>
  <c r="G95" i="1"/>
  <c r="G96" i="1"/>
  <c r="G97" i="1"/>
  <c r="G98" i="1"/>
  <c r="G100" i="1"/>
  <c r="G101" i="1"/>
  <c r="G102" i="1"/>
  <c r="G103" i="1"/>
  <c r="G109" i="1"/>
  <c r="G126" i="1"/>
  <c r="G138" i="1"/>
  <c r="Q138" i="1"/>
  <c r="G139" i="1"/>
  <c r="Q139" i="1"/>
  <c r="G142" i="1"/>
  <c r="G143" i="1"/>
  <c r="G148" i="1"/>
  <c r="G161" i="1"/>
  <c r="G162" i="1"/>
  <c r="G178" i="1"/>
  <c r="M178" i="1"/>
  <c r="O178" i="1"/>
  <c r="S178" i="1"/>
  <c r="U178" i="1"/>
  <c r="W178" i="1"/>
  <c r="G185" i="1"/>
  <c r="G189" i="1"/>
  <c r="G207" i="1"/>
  <c r="G215" i="1"/>
  <c r="G216" i="1"/>
  <c r="M216" i="1"/>
  <c r="P216" i="1"/>
  <c r="G217" i="1"/>
  <c r="G218" i="1"/>
  <c r="G219" i="1"/>
  <c r="G223" i="1"/>
  <c r="G248" i="1"/>
  <c r="G261" i="1"/>
  <c r="G263" i="1"/>
  <c r="G271" i="1"/>
  <c r="G27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20" i="1"/>
  <c r="G321" i="1"/>
  <c r="G322" i="1"/>
  <c r="G323" i="1"/>
  <c r="G324" i="1"/>
  <c r="G325" i="1"/>
  <c r="G326" i="1"/>
  <c r="G327" i="1"/>
  <c r="G328" i="1"/>
  <c r="G332" i="1"/>
  <c r="G333" i="1"/>
  <c r="G334" i="1"/>
  <c r="G336" i="1"/>
  <c r="G337" i="1"/>
  <c r="G341" i="1"/>
  <c r="G342" i="1"/>
  <c r="G345" i="1"/>
  <c r="G346" i="1"/>
  <c r="G356" i="1"/>
  <c r="G357" i="1"/>
  <c r="G358" i="1"/>
  <c r="G360" i="1"/>
  <c r="G367" i="1"/>
  <c r="G368" i="1"/>
  <c r="G369" i="1"/>
  <c r="G371" i="1"/>
  <c r="G372" i="1"/>
  <c r="G375" i="1"/>
  <c r="G376" i="1"/>
  <c r="G390" i="1"/>
  <c r="G400" i="1"/>
  <c r="G402" i="1"/>
  <c r="G419" i="1"/>
  <c r="G426" i="1"/>
  <c r="G437" i="1"/>
  <c r="O437" i="1"/>
  <c r="S437" i="1"/>
  <c r="U437" i="1"/>
  <c r="W437" i="1"/>
  <c r="G438" i="1"/>
  <c r="G439" i="1"/>
  <c r="G440" i="1"/>
  <c r="G441" i="1"/>
  <c r="G448" i="1"/>
  <c r="G449" i="1"/>
  <c r="G452" i="1"/>
  <c r="G455" i="1"/>
  <c r="G456" i="1"/>
  <c r="G457" i="1"/>
  <c r="G459" i="1"/>
  <c r="G460" i="1"/>
  <c r="G463" i="1"/>
  <c r="G464" i="1"/>
  <c r="G465" i="1"/>
  <c r="G467" i="1"/>
  <c r="G468" i="1"/>
  <c r="G469" i="1"/>
  <c r="G470" i="1"/>
  <c r="G471" i="1"/>
  <c r="G505" i="1"/>
  <c r="G648" i="1"/>
  <c r="M648" i="1"/>
  <c r="O648" i="1"/>
  <c r="Q648" i="1"/>
  <c r="S648" i="1"/>
  <c r="U648" i="1"/>
  <c r="M664" i="1"/>
  <c r="O664" i="1"/>
  <c r="Q664" i="1"/>
  <c r="S664" i="1"/>
  <c r="U664" i="1"/>
  <c r="W664" i="1"/>
  <c r="K665" i="1"/>
  <c r="M665" i="1"/>
  <c r="O665" i="1"/>
  <c r="Q665" i="1"/>
  <c r="S665" i="1"/>
  <c r="U665" i="1"/>
  <c r="W665" i="1"/>
  <c r="K672" i="1"/>
  <c r="M672" i="1"/>
  <c r="O672" i="1"/>
  <c r="Q672" i="1"/>
  <c r="K673" i="1"/>
  <c r="M673" i="1"/>
  <c r="O673" i="1"/>
  <c r="Q673" i="1"/>
  <c r="M676" i="1"/>
  <c r="Q676" i="1"/>
  <c r="I697" i="1"/>
</calcChain>
</file>

<file path=xl/comments1.xml><?xml version="1.0" encoding="utf-8"?>
<comments xmlns="http://schemas.openxmlformats.org/spreadsheetml/2006/main">
  <authors>
    <author>Usuario</author>
  </authors>
  <commentList>
    <comment ref="B14" authorId="0" shapeId="0">
      <text>
        <r>
          <rPr>
            <b/>
            <sz val="9"/>
            <color indexed="81"/>
            <rFont val="Tahoma"/>
            <family val="2"/>
          </rPr>
          <t>CONSULTAR ADICIONAL POR IMPRESIÓN DE LOGO EN LA CAJA</t>
        </r>
      </text>
    </comment>
    <comment ref="B481" authorId="0" shapeId="0">
      <text>
        <r>
          <rPr>
            <b/>
            <sz val="9"/>
            <color indexed="81"/>
            <rFont val="Tahoma"/>
            <family val="2"/>
          </rPr>
          <t>LOGO FULL COLOR</t>
        </r>
      </text>
    </comment>
    <comment ref="B482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483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484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485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486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487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488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489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490" authorId="0" shapeId="0">
      <text>
        <r>
          <rPr>
            <b/>
            <sz val="9"/>
            <color indexed="81"/>
            <rFont val="Tahoma"/>
            <family val="2"/>
          </rPr>
          <t>LOGO 200cm</t>
        </r>
        <r>
          <rPr>
            <b/>
            <sz val="8"/>
            <color indexed="81"/>
            <rFont val="Tahoma"/>
            <family val="2"/>
          </rPr>
          <t>2
Por estampado de logo de mayor tamaño solicitar cotización</t>
        </r>
      </text>
    </comment>
    <comment ref="B491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492" authorId="0" shapeId="0">
      <text>
        <r>
          <rPr>
            <b/>
            <sz val="9"/>
            <color indexed="81"/>
            <rFont val="Tahoma"/>
            <family val="2"/>
          </rPr>
          <t>LOGO 200cm</t>
        </r>
        <r>
          <rPr>
            <b/>
            <sz val="8"/>
            <color indexed="81"/>
            <rFont val="Tahoma"/>
            <family val="2"/>
          </rPr>
          <t>2
Por estampado de logo de mayor tamaño solicitar cotización</t>
        </r>
      </text>
    </comment>
    <comment ref="B493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494" authorId="0" shapeId="0">
      <text>
        <r>
          <rPr>
            <b/>
            <sz val="9"/>
            <color indexed="81"/>
            <rFont val="Tahoma"/>
            <family val="2"/>
          </rPr>
          <t>LOGO 200cm</t>
        </r>
        <r>
          <rPr>
            <b/>
            <sz val="8"/>
            <color indexed="81"/>
            <rFont val="Tahoma"/>
            <family val="2"/>
          </rPr>
          <t>2
Por estampado de logo de mayor tamaño solicitar cotización</t>
        </r>
      </text>
    </comment>
    <comment ref="B495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496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497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498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499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00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01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502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03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504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05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506" authorId="0" shapeId="0">
      <text>
        <r>
          <rPr>
            <b/>
            <sz val="9"/>
            <color indexed="81"/>
            <rFont val="Tahoma"/>
            <family val="2"/>
          </rPr>
          <t>LOGO NEGRO TAMAÑO A4</t>
        </r>
      </text>
    </comment>
    <comment ref="B507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08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509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10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511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</commentList>
</comments>
</file>

<file path=xl/sharedStrings.xml><?xml version="1.0" encoding="utf-8"?>
<sst xmlns="http://schemas.openxmlformats.org/spreadsheetml/2006/main" count="1173" uniqueCount="949">
  <si>
    <t>PRESIONE CONTROL+B PARA BUSCAR UN PRODUCTO POR NOMBRE O POR CÓDIGO COMPLETO Ej. 02193</t>
  </si>
  <si>
    <t xml:space="preserve">Ingrese aquí su porcentaje </t>
  </si>
  <si>
    <t>Cómo funciona este sistema?</t>
  </si>
  <si>
    <t>IR A PAGINA 1</t>
  </si>
  <si>
    <t>(por ejemplo 40% se ingresa 1.40)</t>
  </si>
  <si>
    <t>CLICK AQUÍ</t>
  </si>
  <si>
    <t>LOS PRECIOS PUEDEN VARIAR SIN PREVIO AVISO</t>
  </si>
  <si>
    <t>20% DE DESCUENTO PARA REVENDEDORES</t>
  </si>
  <si>
    <t>Consultas  WHATSAPP  11-2615-1932</t>
  </si>
  <si>
    <t>Al posicionarse sobre los casilleros que tienen triangulito rojo puede visualizar comentarios importantes del producto.</t>
  </si>
  <si>
    <t>PARA IR A LOS RECARGOS POR IMPRESIONES ADICIONALES CLICK AQUÍ</t>
  </si>
  <si>
    <t xml:space="preserve"> ART.</t>
  </si>
  <si>
    <t>DETALLE</t>
  </si>
  <si>
    <t>Sin Impresión</t>
  </si>
  <si>
    <t>ACLARACIONES IMPORTANTES SOBRE EL PRODUCTO</t>
  </si>
  <si>
    <t>VISITAR PRODUCTO EN WEB</t>
  </si>
  <si>
    <t>REGISTRATE EN NUESTRA WEB PARA BAJAR LISTA DE PRECIOS DESDE CUALQUIER PC</t>
  </si>
  <si>
    <t>x30</t>
  </si>
  <si>
    <t>x50</t>
  </si>
  <si>
    <t>x100</t>
  </si>
  <si>
    <t>x300</t>
  </si>
  <si>
    <t>x500</t>
  </si>
  <si>
    <t>x1000</t>
  </si>
  <si>
    <t>IR A PAGINA 3</t>
  </si>
  <si>
    <t>IR A PAGINA 7</t>
  </si>
  <si>
    <t>00024 - Mate de algarrobo encerado</t>
  </si>
  <si>
    <t>00030 - Mate geométrico de Eucalyptus Grandis rústico</t>
  </si>
  <si>
    <t>00033-1 - Mate copita torneado con base de aluminio</t>
  </si>
  <si>
    <t>00033-1</t>
  </si>
  <si>
    <t xml:space="preserve">00034-1 - Mate redondo torneado base forrada aluminio          </t>
  </si>
  <si>
    <t>00034-1</t>
  </si>
  <si>
    <t>00036-1 - Bombilla coco 16 cm.</t>
  </si>
  <si>
    <t>00036-1</t>
  </si>
  <si>
    <t>IR A CARPITAS</t>
  </si>
  <si>
    <t>00037-1 - Bombilla 16cm con portalogo - Dome full color</t>
  </si>
  <si>
    <t>00037-1</t>
  </si>
  <si>
    <t>IR A PINES</t>
  </si>
  <si>
    <t>00039 - Mate aluminio c/cinta cuero. Grabado Laser 7x3,5cm</t>
  </si>
  <si>
    <t>00039-1 - Mate aluminio con cuerina impresión full color</t>
  </si>
  <si>
    <t>00039-1</t>
  </si>
  <si>
    <t>IR A GORROS</t>
  </si>
  <si>
    <t>00040 - Mate canela forrado aluminio imp. 1 color</t>
  </si>
  <si>
    <t>IR A PORTADOCUMENTOS</t>
  </si>
  <si>
    <t>00046-1 - Llavero plástico dome full color - OVALADO</t>
  </si>
  <si>
    <t>s/imp. MINIMO 200</t>
  </si>
  <si>
    <t>00046-1</t>
  </si>
  <si>
    <t>00046-2 - Llavero plástico dome full color - ESCUDO</t>
  </si>
  <si>
    <t>00046-2</t>
  </si>
  <si>
    <t>00046-3 - Llavero plástico dome full color - RECT. CORTO</t>
  </si>
  <si>
    <t>00046-3</t>
  </si>
  <si>
    <t>00046-4 - Llavero plástico dome full color - RECT. LARGO</t>
  </si>
  <si>
    <t>00046-4</t>
  </si>
  <si>
    <t>00046-5 - Llavero plástico dome full color - REDONDO</t>
  </si>
  <si>
    <t>00046-5</t>
  </si>
  <si>
    <r>
      <t xml:space="preserve">00046-6 - Llavero plástico dome full color 1 lado - </t>
    </r>
    <r>
      <rPr>
        <sz val="8"/>
        <rFont val="Arial Narrow"/>
        <family val="2"/>
      </rPr>
      <t>AUTO</t>
    </r>
  </si>
  <si>
    <t>00046-7 - Llavero plástico dome full color 1 lado - REDONDO</t>
  </si>
  <si>
    <r>
      <t xml:space="preserve">00046-8 - Llavero plástico dome full color 1 lado - </t>
    </r>
    <r>
      <rPr>
        <sz val="8"/>
        <rFont val="Arial Narrow"/>
        <family val="2"/>
      </rPr>
      <t>RECT.LARGO</t>
    </r>
  </si>
  <si>
    <r>
      <t xml:space="preserve">00046-9 - Llavero plástico dome full color 1 lado - </t>
    </r>
    <r>
      <rPr>
        <sz val="8"/>
        <rFont val="Arial Narrow"/>
        <family val="2"/>
      </rPr>
      <t>CAMISETA</t>
    </r>
  </si>
  <si>
    <t>00046-1M - Llavero metálico c/dome full color - OVALADO</t>
  </si>
  <si>
    <t>s/imp. MINIMO 100</t>
  </si>
  <si>
    <t>00046-1M</t>
  </si>
  <si>
    <t>00046-4M - Llavero metálico c/dome full color - RECT. LARGO</t>
  </si>
  <si>
    <t>00046-4M</t>
  </si>
  <si>
    <t>00046-5M - Llavero metálico c/dome full color - REDONDO</t>
  </si>
  <si>
    <t>00046-5M</t>
  </si>
  <si>
    <t>00046-1SC - Llavero metal y simil cuero c/dome - OVALADO</t>
  </si>
  <si>
    <t>00046-1SC</t>
  </si>
  <si>
    <t>00046-4SC - Llavero metal y simil cuero c/dome RECT.LARGO</t>
  </si>
  <si>
    <t>00046-4SC</t>
  </si>
  <si>
    <t>00046-5SC - Llavero metal y simil cuero c/dome - REDONDO</t>
  </si>
  <si>
    <t>00046-5SC</t>
  </si>
  <si>
    <t>00047R1 - Llavero de cuero simple</t>
  </si>
  <si>
    <t>00047R1</t>
  </si>
  <si>
    <t>00047R2 - Llavero de cuero doble, grabado ambos lados</t>
  </si>
  <si>
    <t>00047R2</t>
  </si>
  <si>
    <t>S1</t>
  </si>
  <si>
    <t>S2</t>
  </si>
  <si>
    <t>S3</t>
  </si>
  <si>
    <t>00054 - Llavero simil cuero con dome full color frente</t>
  </si>
  <si>
    <t>00060 - Cubo Portalápices blanco inyectado (imp. 2 lados)</t>
  </si>
  <si>
    <t>00062 - Cubo Portalápices de color inyectado (imp. 2 lados)</t>
  </si>
  <si>
    <r>
      <t xml:space="preserve">00063 - Cubo Portalápices de color inyectado </t>
    </r>
    <r>
      <rPr>
        <sz val="8"/>
        <color indexed="10"/>
        <rFont val="Arial"/>
        <family val="2"/>
      </rPr>
      <t xml:space="preserve">con calendario </t>
    </r>
  </si>
  <si>
    <t xml:space="preserve"> </t>
  </si>
  <si>
    <t>00091-1 - Portatarjeta SUBE tela plástica</t>
  </si>
  <si>
    <t>00091-1</t>
  </si>
  <si>
    <t>00092 - Pluviómetro acrilico excelente calidad (Alto 20 cm)</t>
  </si>
  <si>
    <t>00102N</t>
  </si>
  <si>
    <t>00102D</t>
  </si>
  <si>
    <t>00102-1</t>
  </si>
  <si>
    <t>00102-2</t>
  </si>
  <si>
    <t xml:space="preserve">00104A - Llavero Cuero con Costura 1/2/3/4/5                                 </t>
  </si>
  <si>
    <t>00104A</t>
  </si>
  <si>
    <t>A1</t>
  </si>
  <si>
    <t>A2</t>
  </si>
  <si>
    <t>A3</t>
  </si>
  <si>
    <t>A4</t>
  </si>
  <si>
    <t>A5</t>
  </si>
  <si>
    <t xml:space="preserve">00105B - Llavero Cuero con Costura 1/2/3/4/5/6                             </t>
  </si>
  <si>
    <t>00105B</t>
  </si>
  <si>
    <t>B1</t>
  </si>
  <si>
    <t>B2</t>
  </si>
  <si>
    <t>B3</t>
  </si>
  <si>
    <t>B4</t>
  </si>
  <si>
    <t>B5</t>
  </si>
  <si>
    <t>B6</t>
  </si>
  <si>
    <t xml:space="preserve">00106C - Llavero Cuero Pegado 1/2/3/4/5/6 (costura opcional)                      </t>
  </si>
  <si>
    <t>00106C</t>
  </si>
  <si>
    <t>C1</t>
  </si>
  <si>
    <t>C2</t>
  </si>
  <si>
    <t>C3</t>
  </si>
  <si>
    <t>C4</t>
  </si>
  <si>
    <t>C5</t>
  </si>
  <si>
    <t>C6</t>
  </si>
  <si>
    <t xml:space="preserve">00107D - Llavero Cuero Pegado 1/2/3/4 (costura opcional) </t>
  </si>
  <si>
    <t>00107D</t>
  </si>
  <si>
    <t>D1</t>
  </si>
  <si>
    <t>D2</t>
  </si>
  <si>
    <t>D3</t>
  </si>
  <si>
    <t>D4</t>
  </si>
  <si>
    <t>00108H - Llavero Cuero - FULL COLOR 1/2/3/4/5</t>
  </si>
  <si>
    <t>00108H</t>
  </si>
  <si>
    <t>H1</t>
  </si>
  <si>
    <t>H2</t>
  </si>
  <si>
    <t>H3</t>
  </si>
  <si>
    <t>H4</t>
  </si>
  <si>
    <t>H5</t>
  </si>
  <si>
    <t>00108K - Llavero Cuero con ventana - FULL COLOR  1/2/3</t>
  </si>
  <si>
    <t>00108K</t>
  </si>
  <si>
    <t>K1</t>
  </si>
  <si>
    <t>K2</t>
  </si>
  <si>
    <t>K3</t>
  </si>
  <si>
    <t>00109Q - Llavero Cuero c/cadena - 1/2/3/4/5/6 (costura opcional)</t>
  </si>
  <si>
    <t>00109Q</t>
  </si>
  <si>
    <t>Q1</t>
  </si>
  <si>
    <t>Q2</t>
  </si>
  <si>
    <t>Q3</t>
  </si>
  <si>
    <t>Q4</t>
  </si>
  <si>
    <t>Q5</t>
  </si>
  <si>
    <t>Q6</t>
  </si>
  <si>
    <t xml:space="preserve">00110G - Llavero Cuero Forma adaptada a Logo                    </t>
  </si>
  <si>
    <t>00110G</t>
  </si>
  <si>
    <t>00111H - Llavero Cuero de un lado y goma del otro</t>
  </si>
  <si>
    <t>00111H</t>
  </si>
  <si>
    <t xml:space="preserve">00112J - Llavero Cuero de ambos lados                                                        </t>
  </si>
  <si>
    <t>00112J</t>
  </si>
  <si>
    <t>00113G - 1/2/3/4/5 Llavero Cuero - Grabado de un solo lado</t>
  </si>
  <si>
    <t>00113G</t>
  </si>
  <si>
    <t>G1</t>
  </si>
  <si>
    <t>G2</t>
  </si>
  <si>
    <t>G3</t>
  </si>
  <si>
    <t>G4</t>
  </si>
  <si>
    <t>G5</t>
  </si>
  <si>
    <t>ULTIMAS UNIDADES</t>
  </si>
  <si>
    <t>00257-2</t>
  </si>
  <si>
    <t>00273 - Reloj portalápices de acrílico</t>
  </si>
  <si>
    <t xml:space="preserve">00274-1 - Reloj portalápices acrílico traslúcido </t>
  </si>
  <si>
    <t>00274-1</t>
  </si>
  <si>
    <t xml:space="preserve">00278 - Reloj con calendario y temperatura 10 x 5 cm </t>
  </si>
  <si>
    <t xml:space="preserve">00288 - Llavero destapador luz led plástico </t>
  </si>
  <si>
    <t>00289 - Llavero inmobiliaria 7,5x4 cm</t>
  </si>
  <si>
    <t>00290 - Cinta Llavero Corta 13cm blanca con aro sin fin</t>
  </si>
  <si>
    <t>00290-1</t>
  </si>
  <si>
    <t>00291-1</t>
  </si>
  <si>
    <t>00296 - Llavero Cristal Bombé con aro sin fin. 3,5 x 6 cm</t>
  </si>
  <si>
    <t>00297 - Llavero Cristal Bombé con aro y cadena. 3,5 x 6 cm</t>
  </si>
  <si>
    <t>00301-1</t>
  </si>
  <si>
    <t>00301-2</t>
  </si>
  <si>
    <t>00302-1</t>
  </si>
  <si>
    <t>00302-2</t>
  </si>
  <si>
    <t xml:space="preserve">00313-1 - Juego truco caja doble fibrofacil tapa biselada </t>
  </si>
  <si>
    <t>00313-1</t>
  </si>
  <si>
    <t>00315-C - Naipes chinchón (50 cartas) caja fibrofacil biselada</t>
  </si>
  <si>
    <t>00315-C</t>
  </si>
  <si>
    <t>00315-T - Naipes de Truco caja fibrofacil tapa biselada</t>
  </si>
  <si>
    <t>00315-T</t>
  </si>
  <si>
    <t>00315-P - Naipes de Poker en caja fibro facil tapa biselada</t>
  </si>
  <si>
    <t>00315-P</t>
  </si>
  <si>
    <t>00316 - Dome para auto 12 x 3cm</t>
  </si>
  <si>
    <t>00318 - Dome para auto 15 x 4 cm</t>
  </si>
  <si>
    <t>DOBLADO ADICIONAR</t>
  </si>
  <si>
    <t>00324 - Carpita inyectada posalapiz calendario impreso 2 col.</t>
  </si>
  <si>
    <t xml:space="preserve">00347 - Pad Mouse Goma Eva - Redondo -19 cm - Blanco </t>
  </si>
  <si>
    <t>00349 - Pad Mouse Full color esmerilado 20x20 cm</t>
  </si>
  <si>
    <t>00350 - Pad Mouse Full Color esmerilado redondo 18 cm diám.</t>
  </si>
  <si>
    <t>00351 - Pad Mouse Full Color esmerilado redondo 20 cm diám.</t>
  </si>
  <si>
    <t>00352 - Pad Mouse Full Color esmerilado c/gel apoya muñeca</t>
  </si>
  <si>
    <t>00375 - Soporte anillo plástico para celular con cinta bifaz</t>
  </si>
  <si>
    <t>00376 - Soporte anillo metálico para celular con cinta bifaz 3M</t>
  </si>
  <si>
    <t>00379 - Soporte de celular para automóvil</t>
  </si>
  <si>
    <t>00421 - Llavero acrílico 3mm grabado laser formato especial</t>
  </si>
  <si>
    <t>00442 - Pastillero plástico blanco 4 espacios</t>
  </si>
  <si>
    <t>00450 - Llavero PVC alta frecuencia redondo chico 5 cm diám.</t>
  </si>
  <si>
    <t>00451 - Llavero PVC alta frecuencia redondo grande 6 cm diám.</t>
  </si>
  <si>
    <t>00452 - Llavero PVC alta frecuencia rectangular 7,5x4 cm</t>
  </si>
  <si>
    <t>00453 - Llavero PVC alta frecuencia ovalado chico 7x4,3 cm</t>
  </si>
  <si>
    <t>00454 - Llavero PVC alta frecuencia ovalado grande 8x4,8 cm</t>
  </si>
  <si>
    <t>00460 - Llavero camiseta PVC alta frecuencia 5,5x5,5 cm</t>
  </si>
  <si>
    <t xml:space="preserve">00539 - Portacredencial Cristal o Tela y Cristal - 8,5x12 cm.                     </t>
  </si>
  <si>
    <t xml:space="preserve">00547 - Porta Voucher 13 x 20cm PVC </t>
  </si>
  <si>
    <t>00624 - Set de maquillaje plástico 5 piezas</t>
  </si>
  <si>
    <r>
      <t>00628-1 - Set de manicura en estuche</t>
    </r>
    <r>
      <rPr>
        <sz val="8"/>
        <color indexed="10"/>
        <rFont val="Arial"/>
        <family val="2"/>
      </rPr>
      <t xml:space="preserve"> </t>
    </r>
  </si>
  <si>
    <t>00628-1</t>
  </si>
  <si>
    <t>00629 - Set de Manicura estuche símil cuero negro</t>
  </si>
  <si>
    <t>00705 - Mini Linterna Led metálica a pilas (no inlcuidas)</t>
  </si>
  <si>
    <t>00918 - Carpeta Eco A4 con bolígrafo</t>
  </si>
  <si>
    <t>00945 - Dispenser de notas adhesivas 16x12,5cm</t>
  </si>
  <si>
    <t>00949 - Set de notas adhesivas simil cuero negro 8,5 x 13 cm</t>
  </si>
  <si>
    <t xml:space="preserve">00965 - Tabla asado algarrobo con ensaladero </t>
  </si>
  <si>
    <t>00967 - Tabla de asado algarrobo  20 x 30 cm</t>
  </si>
  <si>
    <t>00969 - Tabla pizzera algarrobo 35cm diám.</t>
  </si>
  <si>
    <t>00970 - Tabla picada algarrobo 3 espacios (formas irregulares)</t>
  </si>
  <si>
    <t>00971 - Tabla picada algarrobo 4 espacios (formas irregulares)</t>
  </si>
  <si>
    <t>00980 - Set asado 1 plato cubiertos Tramontina mango plástico</t>
  </si>
  <si>
    <t>00981 - Set asado 2 platos cubiertos Tramontina mango plástico</t>
  </si>
  <si>
    <t>00984 - Set asado 1 plato s/carpincho Tramontina mango plas.</t>
  </si>
  <si>
    <t>00985 - Set asado 2 platos s/carpincho Tramontina mango plást.</t>
  </si>
  <si>
    <t>01001 - Tabla pino para asado 18,5 x 24 con agujero</t>
  </si>
  <si>
    <t>01002 - Tabla pino 3 espacios p/picada 18,5 x 24 c/agujero</t>
  </si>
  <si>
    <t>01006 - Tabla pino para asado 18,5 x 44 cm</t>
  </si>
  <si>
    <t>01075 - Botella de PVC Cristal con toalla de microfibra</t>
  </si>
  <si>
    <t xml:space="preserve">02145 - Bolígrafo retráctil traslúcido   </t>
  </si>
  <si>
    <t>02149 - Estuche de cartulina para bolígrafo</t>
  </si>
  <si>
    <t xml:space="preserve">02151 - Funda de Pana para un bolígrafo (color negro)                 </t>
  </si>
  <si>
    <t xml:space="preserve">02153 - Bolígrafo retráctil clip curvo </t>
  </si>
  <si>
    <t>02160 - Bolígrafo silver clip negro pulsador de color</t>
  </si>
  <si>
    <t>02174 - Bolígrafo cuerpo silver retráctil</t>
  </si>
  <si>
    <t>02174-1- Bolígrafo cuerpo de color retráctil</t>
  </si>
  <si>
    <t xml:space="preserve">02184 - Bolígrafo cuerpo de color - Clip metálico </t>
  </si>
  <si>
    <t>02184-1- Bolígrafo cuerpo silver detalle color - Clip metálico</t>
  </si>
  <si>
    <t>02184-1</t>
  </si>
  <si>
    <t>02189 - Bolígrafo plástico cuerpo blanco detalle color</t>
  </si>
  <si>
    <t>02190 - Bolígrafo plástico silver grip color clip metálico</t>
  </si>
  <si>
    <t>02193 - Bolígrafo plástico blanco</t>
  </si>
  <si>
    <t>02194 - Bolígrafo clip metálico calado</t>
  </si>
  <si>
    <t>02195 - Bolígrafo clip metálico</t>
  </si>
  <si>
    <t>02198 - Bolígrafo grueso grip de goma</t>
  </si>
  <si>
    <t>02202-1</t>
  </si>
  <si>
    <t>02202-2</t>
  </si>
  <si>
    <t>02202-9 - Bolígrafo medio giro TOUCH</t>
  </si>
  <si>
    <t>02202-9</t>
  </si>
  <si>
    <t>02203 - Roller con capuchón</t>
  </si>
  <si>
    <t>02205 - Bolígrafo silver medio giro con anillos</t>
  </si>
  <si>
    <t>02207 - Bolígrafo cuerpo de color clip curvo</t>
  </si>
  <si>
    <t xml:space="preserve">02209 - Bolígrafo cuerpo blanco grip de goma </t>
  </si>
  <si>
    <t>02216 - Bolígrafo metálico touch</t>
  </si>
  <si>
    <t>02234-1</t>
  </si>
  <si>
    <t>02238 - Bolígrafo Frost grip traslúcido</t>
  </si>
  <si>
    <t>02239 - Bolígrafo transparente grip negro pulsador color</t>
  </si>
  <si>
    <t>02244 - Lápiz negro con goma del color del cuerpo sin punta</t>
  </si>
  <si>
    <t>02254 - Bolígrafo blanco retráctil clip color</t>
  </si>
  <si>
    <r>
      <t>02255 - Bolígrafo blanco retráctil clip calado</t>
    </r>
    <r>
      <rPr>
        <b/>
        <sz val="8"/>
        <color indexed="10"/>
        <rFont val="Arial"/>
        <family val="2"/>
      </rPr>
      <t xml:space="preserve"> </t>
    </r>
  </si>
  <si>
    <t>02268 - Bolígrafo plástico medio giro con luz interna</t>
  </si>
  <si>
    <t>02270 - Bolígrafo plástico blanco detalle color</t>
  </si>
  <si>
    <t>02275 - Bolígrafo con puntera y pulsador metalizado</t>
  </si>
  <si>
    <t>02280 - Boligrafo cuerpo blanco puntera silver</t>
  </si>
  <si>
    <t>02330 - Bolígrafo de madera con estuche de cartulina</t>
  </si>
  <si>
    <t>02336 - Bolígrafo de Bambú Touch clip de metal</t>
  </si>
  <si>
    <t>02337 - Boligrafo metálico Touch negro interior de color</t>
  </si>
  <si>
    <t>02338 - Bolígrafo metálico con estuche de pana</t>
  </si>
  <si>
    <t>11611 - Base de Art. 11604 (sin calendario y sin troquelar)</t>
  </si>
  <si>
    <t xml:space="preserve">11612 - Estuche de cartulina para almanaque 11604 </t>
  </si>
  <si>
    <t>M-22 - Llavero extensible frost plástico y metal</t>
  </si>
  <si>
    <t>M-22</t>
  </si>
  <si>
    <t>M-30</t>
  </si>
  <si>
    <t>M-31</t>
  </si>
  <si>
    <t>M-33 - Llavero rectangular 45x25mm, dome 1 lado</t>
  </si>
  <si>
    <t>M-33</t>
  </si>
  <si>
    <t>M-33-1 - Llavero rectangular 45x25mm, dome 2 lados</t>
  </si>
  <si>
    <t>M-33-1</t>
  </si>
  <si>
    <t>M-35 - Llavero multifunción metálico 3 funciones azul</t>
  </si>
  <si>
    <t>M-35</t>
  </si>
  <si>
    <t>M-35 -1  - Llavero multifunción metálico 3 funciones plateado</t>
  </si>
  <si>
    <r>
      <t xml:space="preserve">M-46 - Llavero simil cuero con dome </t>
    </r>
    <r>
      <rPr>
        <sz val="8"/>
        <color indexed="8"/>
        <rFont val="Arial"/>
        <family val="2"/>
      </rPr>
      <t xml:space="preserve"> </t>
    </r>
    <r>
      <rPr>
        <b/>
        <sz val="8"/>
        <color indexed="8"/>
        <rFont val="Arial"/>
        <family val="2"/>
      </rPr>
      <t>ULTIMAS UNIDADES</t>
    </r>
  </si>
  <si>
    <t>M-46</t>
  </si>
  <si>
    <t>P5520V - Remera BLANCA Infantil talle 2 al 10 (100% alg.)</t>
  </si>
  <si>
    <t>P5520</t>
  </si>
  <si>
    <t>P5520-1V - Remera BLANCA Juvenil talle 12 al 16 (100% alg.)</t>
  </si>
  <si>
    <t>P5521V - Remera COLOR Infantil talle 2 al 10 (100% alg.)</t>
  </si>
  <si>
    <t>P5521</t>
  </si>
  <si>
    <t>P5521-1V - Remera COLOR Juvenil talle 12 al 16  (100% alg.)</t>
  </si>
  <si>
    <t>P5525</t>
  </si>
  <si>
    <t>P5527</t>
  </si>
  <si>
    <t>P5530</t>
  </si>
  <si>
    <t>P5532</t>
  </si>
  <si>
    <t>P5533</t>
  </si>
  <si>
    <t>P5536</t>
  </si>
  <si>
    <t>P5539-1</t>
  </si>
  <si>
    <t>P5540-1</t>
  </si>
  <si>
    <t>P5545 - Remera Blanca manga larga superior (100% alg.24/1)</t>
  </si>
  <si>
    <t>P5545</t>
  </si>
  <si>
    <t>P5546 - Remera Color manga larga superior (100% alg.24/1)</t>
  </si>
  <si>
    <t>P5546</t>
  </si>
  <si>
    <t>P5556</t>
  </si>
  <si>
    <t xml:space="preserve"> Sin Impresión</t>
  </si>
  <si>
    <t>x5</t>
  </si>
  <si>
    <t>x10</t>
  </si>
  <si>
    <t>x25</t>
  </si>
  <si>
    <t>x200</t>
  </si>
  <si>
    <t xml:space="preserve">IP-T18M - Chopp Cerveza cerámica mate </t>
  </si>
  <si>
    <t>IP-T19 - Taza de vidrio esmerilado mate</t>
  </si>
  <si>
    <t xml:space="preserve">IP-T21 - Vaso Whisky vidrio esmerilado mate 300ml      </t>
  </si>
  <si>
    <t>00553-2 - Portadocumento cordura</t>
  </si>
  <si>
    <t>00553-2</t>
  </si>
  <si>
    <t>00553-3 - portadocumento cuerina</t>
  </si>
  <si>
    <t>00730 - Canopla 1 piso 20x15,5 cm</t>
  </si>
  <si>
    <t>00731 - Canopla 2 pisos 20,5x14,5 cm</t>
  </si>
  <si>
    <t>00986 - Set asado simple  (con plato y cubiertos)</t>
  </si>
  <si>
    <t>00989 - Estuche asado simple  (sin plato y cubiertos)</t>
  </si>
  <si>
    <t>30/02 - Estuche con cubiertos Tramontina mango de plástico</t>
  </si>
  <si>
    <t>30/02</t>
  </si>
  <si>
    <t>30/03 - Estuche porta cubiertos (sin cubiertos)</t>
  </si>
  <si>
    <t>ARTICULOS DE CUERO - MADERA - CUCHILLERIA - SET DE VINO - BAZAR - ETC.</t>
  </si>
  <si>
    <t>30/01 - Cuchillo y tenedor Tramontina mango plast. estuche c/cierre</t>
  </si>
  <si>
    <t>30/01</t>
  </si>
  <si>
    <t>33/01 - Estuche cordura 2 cuch.y tened.Tramont. mango plast.</t>
  </si>
  <si>
    <t>33/01</t>
  </si>
  <si>
    <r>
      <t>85/01 - Mate Algarrobo con pie Grabado sobre Cuer</t>
    </r>
    <r>
      <rPr>
        <sz val="8"/>
        <color indexed="8"/>
        <rFont val="Arial"/>
        <family val="2"/>
      </rPr>
      <t xml:space="preserve">o </t>
    </r>
  </si>
  <si>
    <t>85/01</t>
  </si>
  <si>
    <t xml:space="preserve">85/02 - Mate Algarrobo Grabado sobre Cuero </t>
  </si>
  <si>
    <t>85/02</t>
  </si>
  <si>
    <r>
      <t>85/03 - Mate Algarrobo totalmente forrado en Cuer</t>
    </r>
    <r>
      <rPr>
        <sz val="8"/>
        <color indexed="8"/>
        <rFont val="Arial"/>
        <family val="2"/>
      </rPr>
      <t xml:space="preserve">o </t>
    </r>
  </si>
  <si>
    <t>10523 - Set de vino Barril 5 elementos</t>
  </si>
  <si>
    <t>10530</t>
  </si>
  <si>
    <t>RECARGOS POR IMPRESIONES O COLORES ADICIONALES</t>
  </si>
  <si>
    <r>
      <t xml:space="preserve">Recargo por impresión o color adicional en </t>
    </r>
    <r>
      <rPr>
        <b/>
        <sz val="9"/>
        <color indexed="10"/>
        <rFont val="Arial"/>
        <family val="2"/>
      </rPr>
      <t>SERIGRAFIA</t>
    </r>
  </si>
  <si>
    <t>REMERAS / BUZOS / CHOMBAS</t>
  </si>
  <si>
    <t>Remeras Talle especial XXL Recargo</t>
  </si>
  <si>
    <t>Chombas Talle especial XXL Recargo</t>
  </si>
  <si>
    <t>Buzos y Chalecos Talle especial XXL Recargo</t>
  </si>
  <si>
    <t xml:space="preserve">             Los productos marcados con este número tienen un mínimo de 100 unidades en las ventas SIN IMPRESIÓN</t>
  </si>
  <si>
    <t xml:space="preserve">             Los productos marcados con este número tienen un mínimo de 200 unidades en las ventas SIN IMPRESIÓN</t>
  </si>
  <si>
    <t xml:space="preserve">             Los productos marcados con este número tienen un mínimo de 500 unidades en las ventas SIN IMPRESIÓN</t>
  </si>
  <si>
    <t xml:space="preserve">  EL ENVÍO SE REALIZA UNA VEZ ACREDITADO EL DINERO EN CUENTA</t>
  </si>
  <si>
    <t>LA MERCADERIA VIAJA POR CUENTA Y RIESGO DEL CLIENTE  • EN CASO DE PERDIDA DE MERCADERIA PARCIAL O TOTAL SE DEBERÁ REALIZAR EL RECLAMO EN EL TRANSPORTE CORRESPONDIENTE • LOS BULTOS SE ENVIAN CON CINTA DE EMBALAJE , VERIFICAR QUE ESTÉ INTACTA LA CINTA AL RETIRAR EL O LOS PAQUETES DEL CENTRO DE ENCOMIENDAS</t>
  </si>
  <si>
    <t>Existiendo opciones para verificar los precios nuestra empresa no se responsabiliza por el mal uso que se le pueda dar a esta lista de precios.</t>
  </si>
  <si>
    <t>Para evitar inconvenientes recomendamos no modificar valores existentes en las columnas ocultas F, H, J, L, N, P, R, T, V.</t>
  </si>
  <si>
    <t>PAGOS POR TRANSFERENCIA BANCARIA 20% DE DESCUENTO DEL PRECIO DE LISTA</t>
  </si>
  <si>
    <r>
      <rPr>
        <b/>
        <sz val="11"/>
        <color indexed="56"/>
        <rFont val="Arial"/>
        <family val="2"/>
      </rPr>
      <t>Lista de precios modificable automáticamente. Cómo funciona??</t>
    </r>
    <r>
      <rPr>
        <sz val="9"/>
        <rFont val="Arial"/>
        <family val="2"/>
      </rPr>
      <t xml:space="preserve">
Simplemente ingrese el porcentaje de ganancia deseado en el lugar donde indica la flecha verde, teniendo en cuenta que para un margen de ganancia del 40% se debe ingresar 1.40, para un margen del 70% se ingresa 1.70 y asi sucesivamente. En caso de que desee ingresar un margen del 100% ingresar 2.00
Al ingresar el número automáticamente se modificarán todos los precios de la lista, incrementándose según el porcentaje ingresado.
Si desea volver a los precios originales ingresar 1.00
Ante cualquier duda por favor escriba a ventas@jivi.com.ar</t>
    </r>
  </si>
  <si>
    <t>PARA SUBIR AL PRINCIPIO DE LA LISTA CLICK AQUÍ</t>
  </si>
  <si>
    <t>02340 - Bolígrafo slim metálico medio giro con touch</t>
  </si>
  <si>
    <t xml:space="preserve">P5536 - Gorro Sandwich 6 gajos con abrojo   </t>
  </si>
  <si>
    <r>
      <t xml:space="preserve">P5530 - Gorro 100% algodón 6 gajos hebilla metal </t>
    </r>
    <r>
      <rPr>
        <b/>
        <sz val="8"/>
        <color indexed="10"/>
        <rFont val="Arial"/>
        <family val="2"/>
      </rPr>
      <t xml:space="preserve"> </t>
    </r>
  </si>
  <si>
    <t>02202 - Bolígrafo cuerpo de color - Clip metálico</t>
  </si>
  <si>
    <t>02202-1 - Bolígrafo cuerpo silver grip color clip metálico</t>
  </si>
  <si>
    <t>02202-2 - Bolígrafo cuerpo blanco grip color clip metálico</t>
  </si>
  <si>
    <t>00319 - Carpita inyectada plana sin impresión</t>
  </si>
  <si>
    <t>00320 - Carpita inyectada plana con calendario impreso 2 col.</t>
  </si>
  <si>
    <t>00323 - Carpita inyectada plana con posalapiz sin impresión</t>
  </si>
  <si>
    <t xml:space="preserve">00102N - Pin con dome full color base estandar </t>
  </si>
  <si>
    <t>00102D - Pin con dome full color base estandar</t>
  </si>
  <si>
    <t>02285 - Bolígrafo medio giro cuerpo color clip blanco</t>
  </si>
  <si>
    <t>02286 - Bolígrafo retráctil con cuerpo de color</t>
  </si>
  <si>
    <t>02174-1</t>
  </si>
  <si>
    <t>M-30 - Llavero redondo 32mm diám., dome 1 lado</t>
  </si>
  <si>
    <t>M-30-1 - Llavero redondo 32mm diám, dome 2 lados</t>
  </si>
  <si>
    <t>M-13 - Llavero base fundida ovalado 35x25mm con dome</t>
  </si>
  <si>
    <t>M-14 - Llavero base fundida rectangular 35x25mm con dome</t>
  </si>
  <si>
    <t>M-15 - Llavero base fundida cuadrado 30x30mm con dome</t>
  </si>
  <si>
    <t>00091-3 - Portatarjeta SUBE plástico pp transparente horizontal</t>
  </si>
  <si>
    <t>00091-4 - Portatarjeta SUBE plástico pp transparente vertical</t>
  </si>
  <si>
    <r>
      <t xml:space="preserve">00405 - Pen Drive </t>
    </r>
    <r>
      <rPr>
        <b/>
        <sz val="8"/>
        <color indexed="10"/>
        <rFont val="Arial"/>
        <family val="2"/>
      </rPr>
      <t xml:space="preserve">16 GB </t>
    </r>
    <r>
      <rPr>
        <sz val="8"/>
        <rFont val="Arial"/>
        <family val="2"/>
      </rPr>
      <t xml:space="preserve">simil cuero negro     </t>
    </r>
  </si>
  <si>
    <t>00036 - Bombilla Niquelada 17 cm.</t>
  </si>
  <si>
    <t>00035 - Bombilla aluminio anodizado</t>
  </si>
  <si>
    <t>IR A REMERAS</t>
  </si>
  <si>
    <t>00300H - Porta credencial PVC horizontal 90x60 - 180 micr.</t>
  </si>
  <si>
    <t>CON PERFORACIONES PARA COLGAR EN CINTAS LÍNEA 00301 Y 00302</t>
  </si>
  <si>
    <t>00300V - Porta credencial PVC vertical 60x90 - 180 micrones</t>
  </si>
  <si>
    <t>00332 - Portatarjeta metálico con símil cuero, interior pana</t>
  </si>
  <si>
    <t xml:space="preserve">00968 - Plato de algarrobo redondo 22 cm </t>
  </si>
  <si>
    <t xml:space="preserve">M-31 - Llavero cuadrado 30x30mm, dome 1 lado </t>
  </si>
  <si>
    <t>M-31-1 - Llavero cuadrado 30x30mm, dome 2 lados</t>
  </si>
  <si>
    <t>Sin impresión Mín. 300</t>
  </si>
  <si>
    <t>00044 - Mate madera forrado aluminio con pintura bicapa</t>
  </si>
  <si>
    <t xml:space="preserve">00257-2 - Dispenser de clips rojo centro imantado </t>
  </si>
  <si>
    <t>00987 - Set asado doble platos y cubiertos Tramontina plástico</t>
  </si>
  <si>
    <r>
      <rPr>
        <sz val="8"/>
        <rFont val="Arial"/>
        <family val="2"/>
      </rPr>
      <t xml:space="preserve">00618 - Indice Magnético blanco - 5,5x8,5 cm </t>
    </r>
    <r>
      <rPr>
        <sz val="8"/>
        <color indexed="10"/>
        <rFont val="Arial"/>
        <family val="2"/>
      </rPr>
      <t xml:space="preserve">  </t>
    </r>
  </si>
  <si>
    <t xml:space="preserve">02222 - Bolígrafo metálico pesado detalles cromados </t>
  </si>
  <si>
    <t>DOMES FULL COLOR A MEDIDA</t>
  </si>
  <si>
    <t>00465 - Llavero destapador 3 funciones apoya y limpia celular</t>
  </si>
  <si>
    <t>00529 - Sobre portadocumentos c/fuelle c/divisiones 17x23cm</t>
  </si>
  <si>
    <t>00538 - Porta documento sobre común 18 x 25 cm</t>
  </si>
  <si>
    <t>00549 - Sobre portadocumentos acolchado 18x26cm</t>
  </si>
  <si>
    <t>IR A PAGINA 5</t>
  </si>
  <si>
    <t>IR A PAGINA 6</t>
  </si>
  <si>
    <t>00370 - Webcam cover - Protector de cámara web</t>
  </si>
  <si>
    <t>00969-1 - Tabla pizzera algarrobo 32 cm diám.</t>
  </si>
  <si>
    <t>00972 - Plato de algarrobo cuadrado 22 x 22 cm</t>
  </si>
  <si>
    <t>00302-2 - Cinta colgante blanca 20mm mosq. gatillo zamak</t>
  </si>
  <si>
    <t>02287 - Boligrafo Eco Friendly biodegradable reciclado trigo</t>
  </si>
  <si>
    <t>00998 - Salvatraje tela plástica 200 MICRONES</t>
  </si>
  <si>
    <t>TRANSFERENCIA BANCARIA 20% DE DESCUENTO. MERCADO PAGO 8% DE DESCUENTO</t>
  </si>
  <si>
    <t>PAGOS POR MERCADO PAGO 8% DE DESCUENTO DEL PRECIO DE LISTA</t>
  </si>
  <si>
    <t>02154 - Bolígrafo medio giro frost puntera metalizada</t>
  </si>
  <si>
    <r>
      <t xml:space="preserve">02156 - Bolígrafo silver grip goma clip metálico  </t>
    </r>
    <r>
      <rPr>
        <sz val="8"/>
        <color indexed="10"/>
        <rFont val="Arial"/>
        <family val="2"/>
      </rPr>
      <t xml:space="preserve"> </t>
    </r>
  </si>
  <si>
    <t xml:space="preserve">P5532 - Gorro Combinado 5 gajos casco blanco con abrojo     </t>
  </si>
  <si>
    <t>IR A BOLIGRAFOS</t>
  </si>
  <si>
    <t>IR A CINTAS COLGANTES</t>
  </si>
  <si>
    <t>M-45 - Mosquetón metálico 6cm con aro sin fin</t>
  </si>
  <si>
    <t xml:space="preserve">01078 - Botella de aluminio tapa a rosca 750ml </t>
  </si>
  <si>
    <t>02289 - Boligrafo bambú clip mix trigo biodegradable</t>
  </si>
  <si>
    <t>00425 - Cutter Grande</t>
  </si>
  <si>
    <t xml:space="preserve">01079 - Botella de aluminio tapa a rosca 400ml </t>
  </si>
  <si>
    <t>02296 - Boligrafo ATOMIZER sanitizante y apoya celular</t>
  </si>
  <si>
    <t>02334 - Bolígrafo de Bambú clip de metal</t>
  </si>
  <si>
    <t>00251 - Puzzle 7x5,5 cm blanco</t>
  </si>
  <si>
    <r>
      <t>00247 - Dispenser automático de papel</t>
    </r>
    <r>
      <rPr>
        <sz val="8"/>
        <color rgb="FFFF0000"/>
        <rFont val="Arial"/>
        <family val="2"/>
      </rPr>
      <t/>
    </r>
  </si>
  <si>
    <t xml:space="preserve">00382 - Soporte de escritorio para celular </t>
  </si>
  <si>
    <t>00931 - Portalápiz ecológico con notas adhesivas</t>
  </si>
  <si>
    <t>P5559 - Gorro visera plegable</t>
  </si>
  <si>
    <t xml:space="preserve">ID-TZ0001 - Taza plástica/polímero apilable blanca </t>
  </si>
  <si>
    <t xml:space="preserve">00736 - Carpeta 30x24,5cm CON CIERRE </t>
  </si>
  <si>
    <t xml:space="preserve">00735 - Carpeta 30x24,5cm SIN CIERRE    </t>
  </si>
  <si>
    <t>TERMINACIÓN RÚSTICA. NO INCLUYE ENCERADO NI LUSTRADO. MINIMO 100 UNIDADES CON O SIN GRABADO</t>
  </si>
  <si>
    <t>M-27-2 - Porta credencial extensible plástico</t>
  </si>
  <si>
    <r>
      <t>00102-1 - Pin</t>
    </r>
    <r>
      <rPr>
        <b/>
        <sz val="8"/>
        <color rgb="FFFF0000"/>
        <rFont val="Arial"/>
        <family val="2"/>
      </rPr>
      <t xml:space="preserve"> identificador</t>
    </r>
    <r>
      <rPr>
        <sz val="8"/>
        <rFont val="Arial"/>
        <family val="2"/>
      </rPr>
      <t xml:space="preserve"> nombres individuales</t>
    </r>
  </si>
  <si>
    <r>
      <t xml:space="preserve">00102-2 - Pin </t>
    </r>
    <r>
      <rPr>
        <b/>
        <sz val="8"/>
        <color rgb="FFFF0000"/>
        <rFont val="Arial"/>
        <family val="2"/>
      </rPr>
      <t>identificador</t>
    </r>
    <r>
      <rPr>
        <b/>
        <sz val="8"/>
        <rFont val="Arial"/>
        <family val="2"/>
      </rPr>
      <t xml:space="preserve"> con imán</t>
    </r>
  </si>
  <si>
    <t>IR A PARAGUAS</t>
  </si>
  <si>
    <t>IMPRESAS UN LADO</t>
  </si>
  <si>
    <t>IMPRESAS DOS LADOS</t>
  </si>
  <si>
    <t>IMP. FULL COLOR PAPEL FOTO MATE</t>
  </si>
  <si>
    <t>00290-1 - Cinta Llavero Corta 13cm blanca con aro sin fin</t>
  </si>
  <si>
    <t>00291 - Cinta Llavero Larga 22cm blanca con aro sin fin</t>
  </si>
  <si>
    <t>00291-1 - Cinta Llavero Larga 22cm blanca con aro sin fin</t>
  </si>
  <si>
    <t>00302 - Cinta colgante blanca 20mm con aro sin fin</t>
  </si>
  <si>
    <t xml:space="preserve">00302-1 - Cinta colgante blanca 20mm con mosquetón alambre </t>
  </si>
  <si>
    <t xml:space="preserve">00553 - Portadocumento p/auto tapas goma rígidas 16x26cm </t>
  </si>
  <si>
    <t>00089 - Billetera Gastronómica (imp. 2 lados) abierta 16x16cm</t>
  </si>
  <si>
    <t>00986-1 - Estuche Set asado simple (sin plato y cubiertos)</t>
  </si>
  <si>
    <t>00987-1 - Estuche Set asado doble (sin platos y cubiertos)</t>
  </si>
  <si>
    <r>
      <t xml:space="preserve">1 a 29 Planchas  </t>
    </r>
    <r>
      <rPr>
        <sz val="8"/>
        <color indexed="10"/>
        <rFont val="Arial"/>
        <family val="2"/>
      </rPr>
      <t>PRECIO NETO SIN DESCUENTO</t>
    </r>
  </si>
  <si>
    <t>IR A PAGINA 4</t>
  </si>
  <si>
    <t>00630 - Set de Manicura estuche símil cuero negro</t>
  </si>
  <si>
    <t>00017 - Bombilla aluminio pintado con resorte fijo</t>
  </si>
  <si>
    <t>CONFIRMAR PRECIO. ENTREGA ENTRE 20 Y 30 DÍAS</t>
  </si>
  <si>
    <r>
      <t xml:space="preserve">T5400 - Delantal </t>
    </r>
    <r>
      <rPr>
        <b/>
        <sz val="8"/>
        <rFont val="Arial"/>
        <family val="2"/>
      </rPr>
      <t>TEO</t>
    </r>
    <r>
      <rPr>
        <sz val="8"/>
        <rFont val="Arial"/>
        <family val="2"/>
      </rPr>
      <t xml:space="preserve"> jean con cuero, bolsillos, gancho</t>
    </r>
  </si>
  <si>
    <r>
      <t xml:space="preserve">T5200 - Delantal </t>
    </r>
    <r>
      <rPr>
        <b/>
        <sz val="8"/>
        <rFont val="Arial"/>
        <family val="2"/>
      </rPr>
      <t>VICENT</t>
    </r>
    <r>
      <rPr>
        <sz val="8"/>
        <rFont val="Arial"/>
        <family val="2"/>
      </rPr>
      <t xml:space="preserve"> jean con cuero, aplique y bolsillo</t>
    </r>
  </si>
  <si>
    <t>IR A DELANTALES</t>
  </si>
  <si>
    <t>T5400</t>
  </si>
  <si>
    <t>T5200</t>
  </si>
  <si>
    <t>10489</t>
  </si>
  <si>
    <t>00905 - Paraguas gigante con sistema anti viento</t>
  </si>
  <si>
    <t>00902 - Paraguas ejecutivo mango curvo colores claros</t>
  </si>
  <si>
    <t>00894 - Paraguas ejecutivo automático gris o azul oscuro</t>
  </si>
  <si>
    <t>M-35-1</t>
  </si>
  <si>
    <t>M-45</t>
  </si>
  <si>
    <t>85/03</t>
  </si>
  <si>
    <t>02322 - Bolígrafo metálico retráctil aros cromados</t>
  </si>
  <si>
    <t>00928 - Mini carpeta Eco cartón 23x16,5 cm con boligrafo</t>
  </si>
  <si>
    <t>00542 - Tablilla porta block A4 de corcho</t>
  </si>
  <si>
    <t>01064 - Vaso térmico acero y plástico 500ml</t>
  </si>
  <si>
    <t>M-27-2</t>
  </si>
  <si>
    <t>01040 - Botella de aluminio tapa con tira de silicona 600ml</t>
  </si>
  <si>
    <t>00048 - S1/S2/S3 - Llavero cuero ecológico (marrón o negro)</t>
  </si>
  <si>
    <t>01083 - Vaso térmico acero PAMPERO® CHALTEN 400ml</t>
  </si>
  <si>
    <t>10530 - Caja de pino para una botella de vino</t>
  </si>
  <si>
    <t>10523</t>
  </si>
  <si>
    <t>02295 - Boligrafo Spray Sanitizante medio giro</t>
  </si>
  <si>
    <t>02346 - Bolígrafo acero negro mate trazo negro con estuche</t>
  </si>
  <si>
    <t>P5530-1</t>
  </si>
  <si>
    <t>00919 - Portalápiz ecológico negro con notas adhesivas</t>
  </si>
  <si>
    <t>IP-T12M - Taza cerámica mate</t>
  </si>
  <si>
    <t>ST-N27</t>
  </si>
  <si>
    <t>ST-N28 - Pad Mouse sublimable PVC grande 29x19cm</t>
  </si>
  <si>
    <t>ST-N28</t>
  </si>
  <si>
    <t>ST-N27 - Pad Mouse sublimable PVC redondo 19,5 cm diám.</t>
  </si>
  <si>
    <t>ST-N26</t>
  </si>
  <si>
    <t>ST-N26 - Pad Mouse sublimable PVC cuadrado 19x19 cm</t>
  </si>
  <si>
    <t>00551-1</t>
  </si>
  <si>
    <t>00551-1 - Portadocumento goma 17x26cm Flexible Fuelle 4cm</t>
  </si>
  <si>
    <t>00551-2 - Portadocumento goma 17x26cm Rígido Fuelle 4cm</t>
  </si>
  <si>
    <t>00551 - Portadocumento tapas goma 17x26cm flexible</t>
  </si>
  <si>
    <t>00551-2</t>
  </si>
  <si>
    <t>00969-1</t>
  </si>
  <si>
    <t>00046-7</t>
  </si>
  <si>
    <t>00046-9</t>
  </si>
  <si>
    <t>00046-6</t>
  </si>
  <si>
    <t>00046-8</t>
  </si>
  <si>
    <t>00046AR - Llavero plástico dome full color 1 lado ARGENTINA</t>
  </si>
  <si>
    <t>00046CA - Llavero plástico dome full color 1 lado CASITA</t>
  </si>
  <si>
    <t>00046AR</t>
  </si>
  <si>
    <t>00046CA</t>
  </si>
  <si>
    <t>01053 - Vaso térmico doble pared de acero 350ml</t>
  </si>
  <si>
    <t>00883 - Paraguas gigante reforzado automático</t>
  </si>
  <si>
    <t>P5559</t>
  </si>
  <si>
    <t>T6200 - Lona Playera Rayada de algodón y poliéster</t>
  </si>
  <si>
    <t>T6100 - Lona Playera Lisa con hilo de color</t>
  </si>
  <si>
    <t xml:space="preserve">00117 - Copa de vino 17cm  alto. Grabado laser  </t>
  </si>
  <si>
    <t xml:space="preserve">00129 - Chopp de vidrio 350cc. Grabado laser </t>
  </si>
  <si>
    <t>00982 - Set asado 1 plato s/cuero Tramontina mango plástico</t>
  </si>
  <si>
    <t>01034 - Jarro térmico acero y bambú tapa presión 300ml</t>
  </si>
  <si>
    <t xml:space="preserve">00101N - Pin con dome full color base estandar </t>
  </si>
  <si>
    <t>00101N</t>
  </si>
  <si>
    <r>
      <t>00102NIM - Pin con dome full color</t>
    </r>
    <r>
      <rPr>
        <b/>
        <sz val="8"/>
        <rFont val="Arial"/>
        <family val="2"/>
      </rPr>
      <t xml:space="preserve"> con imán</t>
    </r>
  </si>
  <si>
    <t>00102NIM</t>
  </si>
  <si>
    <r>
      <t xml:space="preserve">02251 - Bolígrafo Ecológico cartón reciclado </t>
    </r>
    <r>
      <rPr>
        <b/>
        <sz val="8"/>
        <color rgb="FF0070C0"/>
        <rFont val="Arial"/>
        <family val="2"/>
      </rPr>
      <t>TRAZO AZUL</t>
    </r>
  </si>
  <si>
    <t>00540 - Marbete - Identificador de valijas tela industrial liviana</t>
  </si>
  <si>
    <t>00544 - Tablilla porta block A4</t>
  </si>
  <si>
    <t>00540-1 - Marbete - Identificador de valijas tela folia</t>
  </si>
  <si>
    <t>MEDIDAS EN WEB</t>
  </si>
  <si>
    <t>02291 - Boligrafo de bambú puntera plástica de color</t>
  </si>
  <si>
    <t>02281 - Bolígrafo curvo cuerpo de color</t>
  </si>
  <si>
    <t xml:space="preserve">00946 - Set de notas adhesivas plástico frost </t>
  </si>
  <si>
    <t>00428 - Cutter chico cuerpo de color</t>
  </si>
  <si>
    <t>00312 - Destapador clásico de aluminio</t>
  </si>
  <si>
    <t xml:space="preserve">00117-1 - Copa de vino 21cm alto. Grabado laser </t>
  </si>
  <si>
    <t xml:space="preserve">00621 - Revolvedor de pintura blanco </t>
  </si>
  <si>
    <t xml:space="preserve">02254-1 - Bolígrafo cuerpo de color retráctil </t>
  </si>
  <si>
    <t>03001 - Dispenser de bolsas sanitarias para mascotas</t>
  </si>
  <si>
    <t>00268 - Calculadora blanca con detalle de color</t>
  </si>
  <si>
    <t>10489 - Destapador dos tiempos metálico</t>
  </si>
  <si>
    <t>00550 - Porta credenciales 11,5x9cm 4 bolsillos</t>
  </si>
  <si>
    <t>00916 - Cuaderno Plain tapa dura 21x14 cm con elástico</t>
  </si>
  <si>
    <t>00426-1 - Cutter chico cuerpo blanco</t>
  </si>
  <si>
    <r>
      <t xml:space="preserve">00900 - Paraguas gigante </t>
    </r>
    <r>
      <rPr>
        <b/>
        <sz val="8"/>
        <rFont val="Arial"/>
        <family val="2"/>
      </rPr>
      <t>combinado</t>
    </r>
    <r>
      <rPr>
        <sz val="8"/>
        <rFont val="Arial"/>
        <family val="2"/>
      </rPr>
      <t xml:space="preserve"> con sistema anti viento</t>
    </r>
  </si>
  <si>
    <t>PARAGUAS</t>
  </si>
  <si>
    <t>IR A PROD. SUBLIMADOS</t>
  </si>
  <si>
    <t xml:space="preserve">DOME FULL COLOR. Baño niquelado. </t>
  </si>
  <si>
    <t>02293 - Boligrafo Ecocereal slim medio giro</t>
  </si>
  <si>
    <t xml:space="preserve">00249 - Anotador plástico 10,5 x 8 cm con mini bolígrafo </t>
  </si>
  <si>
    <t>IP-T47 - Vaso 650ml aluminio terminación mate</t>
  </si>
  <si>
    <t xml:space="preserve">DOME FULL COLOR UN LADO. Baño niquelado. </t>
  </si>
  <si>
    <t>00983 - Set asado 2 platos s/cuero Tramontina mango plást.</t>
  </si>
  <si>
    <t xml:space="preserve">00091 - Porta Tarjeta de Crédito y SUBE       </t>
  </si>
  <si>
    <t>00640 - Espejo de mano tipo estuche con tapa</t>
  </si>
  <si>
    <t xml:space="preserve">P5530-1 - Gorro 100% poliester 6 gajos con abrojo </t>
  </si>
  <si>
    <r>
      <t xml:space="preserve">Recargo impresión adicional </t>
    </r>
    <r>
      <rPr>
        <b/>
        <sz val="9"/>
        <color rgb="FFFF0000"/>
        <rFont val="Arial"/>
        <family val="2"/>
      </rPr>
      <t xml:space="preserve">DIGITAL UV </t>
    </r>
  </si>
  <si>
    <r>
      <t xml:space="preserve">Recargo impresión adicional en </t>
    </r>
    <r>
      <rPr>
        <b/>
        <sz val="9"/>
        <color rgb="FFFF0000"/>
        <rFont val="Arial"/>
        <family val="2"/>
      </rPr>
      <t>TAMPOGRAFIA BOLIGRAFOS</t>
    </r>
  </si>
  <si>
    <r>
      <t xml:space="preserve">Recargo impresión al dorso </t>
    </r>
    <r>
      <rPr>
        <b/>
        <sz val="9"/>
        <color rgb="FFFF0000"/>
        <rFont val="Arial"/>
        <family val="2"/>
      </rPr>
      <t>DIGITAL UV BOLIGRAFOS</t>
    </r>
  </si>
  <si>
    <t>x2000</t>
  </si>
  <si>
    <t>x5000</t>
  </si>
  <si>
    <t>00823 - Cuaderno anillado 22x17cm 80 hojas rayadas</t>
  </si>
  <si>
    <t>02254-1</t>
  </si>
  <si>
    <t xml:space="preserve">IP-T23 - Chop vidrio esmerilado mate 350ml      </t>
  </si>
  <si>
    <t>Recargo impresión adicional tampografía bolígrafos mayores cantidades:</t>
  </si>
  <si>
    <t>LL-102</t>
  </si>
  <si>
    <t>00819 - Carpeta A4 con block de hojas y porta bolígrafo</t>
  </si>
  <si>
    <t>00815 - Agenda perpetua 22x17cm semanal anillada negra</t>
  </si>
  <si>
    <t>01080 - Vaso térmico Wagner® Zeit</t>
  </si>
  <si>
    <t>01081 - Vaso térmico Slazenger® Slice</t>
  </si>
  <si>
    <t xml:space="preserve">01043 - Vaso térmico acero tapa a rosca </t>
  </si>
  <si>
    <t>01044 - Vaso térmico Pampero® Bayo</t>
  </si>
  <si>
    <t>02246 - Lápiz negro Carpintero</t>
  </si>
  <si>
    <t>00686 - Neceser poliester con cierre y manija</t>
  </si>
  <si>
    <r>
      <t xml:space="preserve">00064 - Cubo Portalápices blanco </t>
    </r>
    <r>
      <rPr>
        <sz val="8"/>
        <color rgb="FFFF0000"/>
        <rFont val="Arial"/>
        <family val="2"/>
      </rPr>
      <t xml:space="preserve">CALENDARIO FULL COLOR </t>
    </r>
  </si>
  <si>
    <t xml:space="preserve">00416 - Llavero Goma Eva Óvalo con aro sin fin  </t>
  </si>
  <si>
    <t>00417 - Llavero Goma Eva Cuadrado con aro sin fin</t>
  </si>
  <si>
    <t>00418 - Llavero Goma Eva Rectangular con aro sin fin</t>
  </si>
  <si>
    <r>
      <t xml:space="preserve">00061 - Cubo Portalápices blanco </t>
    </r>
    <r>
      <rPr>
        <sz val="8"/>
        <color indexed="10"/>
        <rFont val="Arial"/>
        <family val="2"/>
      </rPr>
      <t>CALENDARIO IMP. 1 COLOR</t>
    </r>
  </si>
  <si>
    <t>11605 - Almanaque Paisajes 14 Hojas blanco - Logo full color</t>
  </si>
  <si>
    <r>
      <t xml:space="preserve">05008 - Cinta métrica 2 mts. </t>
    </r>
    <r>
      <rPr>
        <sz val="8"/>
        <color rgb="FFFF0000"/>
        <rFont val="Arial"/>
        <family val="2"/>
      </rPr>
      <t xml:space="preserve">con freno </t>
    </r>
    <r>
      <rPr>
        <sz val="8"/>
        <rFont val="Arial"/>
        <family val="2"/>
      </rPr>
      <t>y enganche cinturón</t>
    </r>
  </si>
  <si>
    <r>
      <t xml:space="preserve">05010 - Cinta métrica 3 mts. </t>
    </r>
    <r>
      <rPr>
        <sz val="8"/>
        <color rgb="FFFF0000"/>
        <rFont val="Arial"/>
        <family val="2"/>
      </rPr>
      <t>con freno</t>
    </r>
    <r>
      <rPr>
        <sz val="8"/>
        <rFont val="Arial"/>
        <family val="2"/>
      </rPr>
      <t xml:space="preserve"> y enganche cinturón</t>
    </r>
  </si>
  <si>
    <r>
      <t xml:space="preserve">05011 - Cinta métrica 2 mts. </t>
    </r>
    <r>
      <rPr>
        <sz val="8"/>
        <color rgb="FFFF0000"/>
        <rFont val="Arial"/>
        <family val="2"/>
      </rPr>
      <t>sin freno</t>
    </r>
    <r>
      <rPr>
        <sz val="8"/>
        <rFont val="Arial"/>
        <family val="2"/>
      </rPr>
      <t xml:space="preserve"> </t>
    </r>
  </si>
  <si>
    <r>
      <t xml:space="preserve">05012 - Cinta métrica 3 mts. </t>
    </r>
    <r>
      <rPr>
        <sz val="8"/>
        <color rgb="FFFF0000"/>
        <rFont val="Arial"/>
        <family val="2"/>
      </rPr>
      <t>sin freno</t>
    </r>
    <r>
      <rPr>
        <sz val="8"/>
        <rFont val="Arial"/>
        <family val="2"/>
      </rPr>
      <t xml:space="preserve"> </t>
    </r>
  </si>
  <si>
    <r>
      <t xml:space="preserve">T5201 - Delantal </t>
    </r>
    <r>
      <rPr>
        <b/>
        <sz val="8"/>
        <rFont val="Arial"/>
        <family val="2"/>
      </rPr>
      <t xml:space="preserve">Gabardina </t>
    </r>
    <r>
      <rPr>
        <sz val="8"/>
        <rFont val="Arial"/>
        <family val="2"/>
      </rPr>
      <t>con aplique y bolsillo</t>
    </r>
  </si>
  <si>
    <t>T5100 - Delantal jean con bolsillo</t>
  </si>
  <si>
    <t>T5201</t>
  </si>
  <si>
    <t>T5650 - Delantal 100% algodón beige con bolsillo</t>
  </si>
  <si>
    <t xml:space="preserve">P5533-1 - Gorro liso 5 gajos 100% poliester con abrojo </t>
  </si>
  <si>
    <t>02299 - Bolígrafo cuerpo de color</t>
  </si>
  <si>
    <t>00631 - Espejito plástico compacto redondo</t>
  </si>
  <si>
    <r>
      <t xml:space="preserve">00326 - Carpita inyectada posalapiz </t>
    </r>
    <r>
      <rPr>
        <sz val="8"/>
        <color rgb="FFFF0000"/>
        <rFont val="Arial"/>
        <family val="2"/>
      </rPr>
      <t>calendario y logo full color</t>
    </r>
  </si>
  <si>
    <r>
      <t xml:space="preserve">00322 - Carpita inyectada </t>
    </r>
    <r>
      <rPr>
        <sz val="8"/>
        <color rgb="FFFF0000"/>
        <rFont val="Arial"/>
        <family val="2"/>
      </rPr>
      <t>calendario y logo full color</t>
    </r>
  </si>
  <si>
    <t>CE-M13 - Taza recta blanca IMPORTADA AAA</t>
  </si>
  <si>
    <t>00426-1</t>
  </si>
  <si>
    <t xml:space="preserve">00373 - Holder Pop Up soporte para celular </t>
  </si>
  <si>
    <t>00309 - Llavero destapador con tira plástica logo rectangular</t>
  </si>
  <si>
    <t>00308 - Llavero destapador con tira plástica logo redondo</t>
  </si>
  <si>
    <t>00046-1MT - Llavero metálico con tira c/dome - OVALADO</t>
  </si>
  <si>
    <t>00046-4MT - Llavero metálico con tira c/dome - RECT. LARGO</t>
  </si>
  <si>
    <t>00046-5MT - Llavero metálico con tira c/dome - REDONDO</t>
  </si>
  <si>
    <t>00025 - Mate algarrobo cilindro</t>
  </si>
  <si>
    <t>01049 - Botella aluminio 650ml tapa con agarre</t>
  </si>
  <si>
    <t>01048 - Botella aluminio 660ml tapa con aro</t>
  </si>
  <si>
    <t>01050 - Botella aluminio 750ml con mosquetón</t>
  </si>
  <si>
    <t>01010 - Tabla premium EUCALIPTO asado 30x20x2 cm</t>
  </si>
  <si>
    <t>01011 - Tabla premium EUCALIPTO asado 50x30x2 cm</t>
  </si>
  <si>
    <t>02294 - Boligrafo medio giro blanco clip de color</t>
  </si>
  <si>
    <t>00046-1MT</t>
  </si>
  <si>
    <t>00046-4MT</t>
  </si>
  <si>
    <t>00046-5MT</t>
  </si>
  <si>
    <t>00540-1</t>
  </si>
  <si>
    <t>x1</t>
  </si>
  <si>
    <t>00687 - Mochila morral cruzada con USB</t>
  </si>
  <si>
    <t>x20</t>
  </si>
  <si>
    <t>x200+</t>
  </si>
  <si>
    <t>00833 - Cuaderno símil cuero 21x14,5cm 100 hojas rayadas</t>
  </si>
  <si>
    <t>P5556 - Gorro Trucker Camionero con red frente blanco</t>
  </si>
  <si>
    <t>00395 - Parlante pendolo plastico 3w 300mah</t>
  </si>
  <si>
    <t>00398 - Parlante bluetooth metálico 3w 300mah</t>
  </si>
  <si>
    <t>00711 - Mochila poliester 300D con cinta para carry on y USB</t>
  </si>
  <si>
    <t>En Remeras manga corta o larga, Buzos y Chombas estampados en tranfer digital el precio incluye logo hasta 150cm2 (ejemplo 10x15cm)</t>
  </si>
  <si>
    <t>EN TODOS LOS PRODUCTOS BORDADOS SE DEBE ENVIAR EL LOGO PARA CONFIRMAR PRECIO</t>
  </si>
  <si>
    <t>Full color hasta 200 cm2</t>
  </si>
  <si>
    <t>Full color hasta 600 cm2</t>
  </si>
  <si>
    <t>Full color hasta 400 cm2</t>
  </si>
  <si>
    <t>Full color hasta 50 cm2</t>
  </si>
  <si>
    <t>MOCHILAS Y BOLSOS ESTAMPADOS FULL COLOR HASTA 50cm2</t>
  </si>
  <si>
    <t>RECARGOS POR CADA ESTAMPADO ADICIONAL EN TRANSFER DIGITAL FULL COLOR EN REMERAS, BUZOS Y CHOMBAS</t>
  </si>
  <si>
    <t>IMPRESIÓN DE AMBOS LADOS FULL COLOR SIN FONDO PLENO</t>
  </si>
  <si>
    <t>00423C - Llavero acrílico 3mm imp. full color cuadrado 4x4cm</t>
  </si>
  <si>
    <t>00423B - Llavero acrílico 3mm imp. full color redondo 4cm</t>
  </si>
  <si>
    <t>00423F - Llavero acrílico 3mm imp. full color formato especial</t>
  </si>
  <si>
    <t>00423D - Llavero acrílico 3mm imp. full color ovalado 6x3cm</t>
  </si>
  <si>
    <t>00423A - Llavero acrílico 3mm imp. full color rectangular 6x3cm</t>
  </si>
  <si>
    <t>IMPRESAS UN LADO FONDO BLANCO</t>
  </si>
  <si>
    <t>IMPRESAS DOS LADOS FONDO COLOR</t>
  </si>
  <si>
    <t>IMP. UN LADO FONDO BLANCO</t>
  </si>
  <si>
    <t>IMP. DOS LADOS FONDO COLOR</t>
  </si>
  <si>
    <t>IR A CUADERNOS</t>
  </si>
  <si>
    <t xml:space="preserve">00935 - Cuaderno eco 18x14cm con bolígrafo y notas </t>
  </si>
  <si>
    <t>00962 - Cuaderno espiralado 21x14cm c/bolígrafo y estuche</t>
  </si>
  <si>
    <t>02350 - Bolígrafo metálico mate touch destape plateado</t>
  </si>
  <si>
    <t>01030 - Botella reutilizable PET transparente tapa PP 600ml</t>
  </si>
  <si>
    <t xml:space="preserve">01031 - Botella reutilizable PET pastel tapa PP 600ml </t>
  </si>
  <si>
    <t>01028 - Botella aluminio 750ml tapa de acero y bambú</t>
  </si>
  <si>
    <t>00880B</t>
  </si>
  <si>
    <t>00881B</t>
  </si>
  <si>
    <t>00710 - Mochila H04 poliester 300D con USB</t>
  </si>
  <si>
    <t xml:space="preserve">00085-1NE - Portapatente Modelo Mercosur negro                            </t>
  </si>
  <si>
    <t>00085-1BL - Portapatente Modelo Mercosur blanco</t>
  </si>
  <si>
    <t>00714 - Mochila cierre oculto poliester 300D con USB</t>
  </si>
  <si>
    <t>Estampado adicional transfer por gajo logo hasta 200cm2</t>
  </si>
  <si>
    <t>Estampado adicional sublimación por cada gajo logo hasta A4</t>
  </si>
  <si>
    <t>Estampado adicional transfer logo hasta 50cm2</t>
  </si>
  <si>
    <t>00664 - Cooler FZN poliester 15 litros 34x31x14cm</t>
  </si>
  <si>
    <t>01057 - Jarro térmico acero y plástico 350ml</t>
  </si>
  <si>
    <r>
      <t>00403-4 - Pen Drive</t>
    </r>
    <r>
      <rPr>
        <b/>
        <sz val="8"/>
        <color indexed="10"/>
        <rFont val="Arial"/>
        <family val="2"/>
      </rPr>
      <t xml:space="preserve"> 32 GB </t>
    </r>
    <r>
      <rPr>
        <sz val="8"/>
        <rFont val="Arial"/>
        <family val="2"/>
      </rPr>
      <t>metálico giratorio</t>
    </r>
    <r>
      <rPr>
        <sz val="8"/>
        <color indexed="10"/>
        <rFont val="Arial"/>
        <family val="2"/>
      </rPr>
      <t xml:space="preserve"> </t>
    </r>
  </si>
  <si>
    <t>00403-4</t>
  </si>
  <si>
    <t>00404-4</t>
  </si>
  <si>
    <r>
      <t xml:space="preserve">00404-4 - Pen Drive Tarjeta </t>
    </r>
    <r>
      <rPr>
        <b/>
        <sz val="8"/>
        <color rgb="FFFF0000"/>
        <rFont val="Arial"/>
        <family val="2"/>
      </rPr>
      <t>32 GB</t>
    </r>
    <r>
      <rPr>
        <b/>
        <sz val="8"/>
        <color indexed="10"/>
        <rFont val="Arial"/>
        <family val="2"/>
      </rPr>
      <t xml:space="preserve"> </t>
    </r>
    <r>
      <rPr>
        <sz val="8"/>
        <rFont val="Arial"/>
        <family val="2"/>
      </rPr>
      <t xml:space="preserve">con funda    </t>
    </r>
    <r>
      <rPr>
        <b/>
        <sz val="8"/>
        <color indexed="10"/>
        <rFont val="Arial"/>
        <family val="2"/>
      </rPr>
      <t xml:space="preserve">   </t>
    </r>
  </si>
  <si>
    <t>00413-4</t>
  </si>
  <si>
    <r>
      <t>00413-4 - Pen Drive</t>
    </r>
    <r>
      <rPr>
        <b/>
        <sz val="8"/>
        <color indexed="10"/>
        <rFont val="Arial"/>
        <family val="2"/>
      </rPr>
      <t xml:space="preserve"> 32 GB</t>
    </r>
    <r>
      <rPr>
        <sz val="8"/>
        <rFont val="Arial"/>
        <family val="2"/>
      </rPr>
      <t xml:space="preserve"> bambu giratorio</t>
    </r>
  </si>
  <si>
    <t>00406-4</t>
  </si>
  <si>
    <r>
      <t>00406-4 - Pen Drive</t>
    </r>
    <r>
      <rPr>
        <sz val="8"/>
        <color indexed="10"/>
        <rFont val="Arial"/>
        <family val="2"/>
      </rPr>
      <t xml:space="preserve"> </t>
    </r>
    <r>
      <rPr>
        <b/>
        <sz val="8"/>
        <color indexed="10"/>
        <rFont val="Arial"/>
        <family val="2"/>
      </rPr>
      <t xml:space="preserve">32 GB </t>
    </r>
    <r>
      <rPr>
        <sz val="8"/>
        <rFont val="Arial"/>
        <family val="2"/>
      </rPr>
      <t xml:space="preserve">metálico giratorio </t>
    </r>
  </si>
  <si>
    <t>00403-5</t>
  </si>
  <si>
    <r>
      <t>00403-5 - Pen Drive</t>
    </r>
    <r>
      <rPr>
        <b/>
        <sz val="8"/>
        <color indexed="10"/>
        <rFont val="Arial"/>
        <family val="2"/>
      </rPr>
      <t xml:space="preserve"> 64 GB </t>
    </r>
    <r>
      <rPr>
        <sz val="8"/>
        <rFont val="Arial"/>
        <family val="2"/>
      </rPr>
      <t>metálico giratorio</t>
    </r>
    <r>
      <rPr>
        <sz val="8"/>
        <color indexed="10"/>
        <rFont val="Arial"/>
        <family val="2"/>
      </rPr>
      <t xml:space="preserve"> </t>
    </r>
  </si>
  <si>
    <r>
      <t xml:space="preserve">02279 - Boligrafo ECO Friendly </t>
    </r>
    <r>
      <rPr>
        <b/>
        <sz val="8"/>
        <color theme="7"/>
        <rFont val="Arial"/>
        <family val="2"/>
      </rPr>
      <t>TRAZO AZUL</t>
    </r>
  </si>
  <si>
    <t>02292 - Boligrafo ecológico fibra de trigo medio giro</t>
  </si>
  <si>
    <t>02264 - Bolígrafo 4 en 1 trazo azul, rojo, verde y negro</t>
  </si>
  <si>
    <t>00834 - Cuaderno A5 tapa dura PU 21x14cm hojas lisas</t>
  </si>
  <si>
    <t>IMP. FULL COLOR DE UN LADO SIN FONDO PLENO. CON FONDO 40% MAS</t>
  </si>
  <si>
    <t>00836 - Set escritorio con notas y mini bolígrafo</t>
  </si>
  <si>
    <t>00936 - Set escritorio con notas y mini bolígrafo</t>
  </si>
  <si>
    <t>00829 - Anotador ecológico 14 x 7,4 cm con bolígrafo</t>
  </si>
  <si>
    <t>00642 - Cooler lunchera best value poliester 20x14x12,5cm</t>
  </si>
  <si>
    <t>00643 - Cooler lunchera box 24x22x17cm</t>
  </si>
  <si>
    <t>00616 - Almohada inflable para viajes con funda</t>
  </si>
  <si>
    <t>00528 - Marbete - Identificador de valijas PP con precinto</t>
  </si>
  <si>
    <t>00742 - Neceser Barber 22 x 11 x 11 cm</t>
  </si>
  <si>
    <t>00743 - Neceser Cosmetic 20 x 11,5 x 14 cm</t>
  </si>
  <si>
    <r>
      <t xml:space="preserve">00907B - Paraguas gigante reforzado automático </t>
    </r>
    <r>
      <rPr>
        <b/>
        <sz val="8"/>
        <rFont val="Arial"/>
        <family val="2"/>
      </rPr>
      <t>BLANCO</t>
    </r>
  </si>
  <si>
    <r>
      <t xml:space="preserve">00896 - Paraguas gigante reforzado liso </t>
    </r>
    <r>
      <rPr>
        <b/>
        <sz val="8"/>
        <rFont val="Arial"/>
        <family val="2"/>
      </rPr>
      <t>AZUL o NEGRO</t>
    </r>
  </si>
  <si>
    <r>
      <t xml:space="preserve">00888 - Paraguas gigante reforzado </t>
    </r>
    <r>
      <rPr>
        <b/>
        <sz val="8"/>
        <rFont val="Arial"/>
        <family val="2"/>
      </rPr>
      <t>plateado o azul</t>
    </r>
  </si>
  <si>
    <t>00878B</t>
  </si>
  <si>
    <r>
      <t xml:space="preserve">00899 - Paraguas gigante </t>
    </r>
    <r>
      <rPr>
        <b/>
        <sz val="8"/>
        <rFont val="Arial"/>
        <family val="2"/>
      </rPr>
      <t>COMBINADO O BLANCO</t>
    </r>
  </si>
  <si>
    <t>00348 - Pad Mouse Full Color esmerilado 21x19cm</t>
  </si>
  <si>
    <t xml:space="preserve">00415 - Llavero Goma Eva Capilla con aro sin fin          </t>
  </si>
  <si>
    <t>01003 - Tabla pino para asado 18,5 x 24 sin agujero</t>
  </si>
  <si>
    <t>00303 - Cinta full print doble faz con doble mosquetón simple</t>
  </si>
  <si>
    <r>
      <t xml:space="preserve">P5525C - Remera Blanca </t>
    </r>
    <r>
      <rPr>
        <sz val="8"/>
        <rFont val="Arial"/>
        <family val="2"/>
      </rPr>
      <t xml:space="preserve">100% algodón 24/1  </t>
    </r>
  </si>
  <si>
    <t>P5527C - Remera Color 100% algodón 24/1</t>
  </si>
  <si>
    <t>02202-3 - Bolígrafo medio giro TOUCH</t>
  </si>
  <si>
    <r>
      <t xml:space="preserve">00899N - Paraguas gigante </t>
    </r>
    <r>
      <rPr>
        <b/>
        <sz val="8"/>
        <rFont val="Arial"/>
        <family val="2"/>
      </rPr>
      <t>NEGRO</t>
    </r>
  </si>
  <si>
    <t>00899N</t>
  </si>
  <si>
    <t>00907B</t>
  </si>
  <si>
    <t>02202-3</t>
  </si>
  <si>
    <t>P5556L - Gorro Trucker Camionero con red color oscuro</t>
  </si>
  <si>
    <t>P5556L</t>
  </si>
  <si>
    <t>T6100</t>
  </si>
  <si>
    <t>T6105</t>
  </si>
  <si>
    <t>T6200</t>
  </si>
  <si>
    <t>02261 - Bolígrafo cuerpo plástico puntera y pulsador silver</t>
  </si>
  <si>
    <t>LL-112</t>
  </si>
  <si>
    <t>LL-112 - Llavero de metal y bambu redondo con estuche</t>
  </si>
  <si>
    <t>LL-123</t>
  </si>
  <si>
    <t>LL-124</t>
  </si>
  <si>
    <t>LL-123 - Llavero de metal flag rectangular con estuche</t>
  </si>
  <si>
    <t>LL-124 - Llavero de metal cuadrado borde espejo c/estuche</t>
  </si>
  <si>
    <t>LL-125 - Llavero de metal rectangular clásico con estuche</t>
  </si>
  <si>
    <t>LL-125</t>
  </si>
  <si>
    <t>10485 - Destapador de metal y bambú</t>
  </si>
  <si>
    <t>10485</t>
  </si>
  <si>
    <t>LL-109</t>
  </si>
  <si>
    <t>LL-109 - Llavero de metal y bambu rectangular con estuche</t>
  </si>
  <si>
    <t>00270 - Reloj de viaje tapa rebatible</t>
  </si>
  <si>
    <t>00337 - Porta tarjetas de seguridad RFID con correa elástica</t>
  </si>
  <si>
    <t>10486 - Destapador de metal con tapón en caja</t>
  </si>
  <si>
    <t>10486</t>
  </si>
  <si>
    <t>T5100</t>
  </si>
  <si>
    <t>T5650</t>
  </si>
  <si>
    <t>LLAVEROS DE GOMA EVA EN PLANCHAS 27x18,5cm TROQUELADAS</t>
  </si>
  <si>
    <r>
      <t xml:space="preserve">x30 o más            </t>
    </r>
    <r>
      <rPr>
        <sz val="8"/>
        <rFont val="Arial"/>
        <family val="2"/>
      </rPr>
      <t xml:space="preserve"> </t>
    </r>
    <r>
      <rPr>
        <sz val="8"/>
        <color indexed="10"/>
        <rFont val="Arial"/>
        <family val="2"/>
      </rPr>
      <t>PRECIO NETO SIN DESCUENTO</t>
    </r>
  </si>
  <si>
    <t>T6105 - Lona Playera Grande XL Lisa con hilo de color</t>
  </si>
  <si>
    <t xml:space="preserve">02260 - Bolígrafo plástico medio giro clip metálico </t>
  </si>
  <si>
    <t>02266 - Roller Touch con capuchón porta celular</t>
  </si>
  <si>
    <t>02262 - Bolígrafo plástico con grip de goma</t>
  </si>
  <si>
    <t xml:space="preserve">CONSULTAR PRECIOS. GRABADOS A FUEGO BAJO RELIEVE. TIEMPO DE PRODUCCION ENTRE 20 y 30 DÍAS. </t>
  </si>
  <si>
    <t>00896 - Paraguas gigante reforzado combinado o blanco</t>
  </si>
  <si>
    <t>02351 - Bolígrafo metálico Stylus medio giro touch</t>
  </si>
  <si>
    <t>00045 - Encendedor blanco impreso de un lado</t>
  </si>
  <si>
    <r>
      <t xml:space="preserve">00875B - Paraguas automático </t>
    </r>
    <r>
      <rPr>
        <b/>
        <sz val="8"/>
        <rFont val="Arial"/>
        <family val="2"/>
      </rPr>
      <t>BLANCO</t>
    </r>
  </si>
  <si>
    <r>
      <t xml:space="preserve">00875 - Paraguas automático </t>
    </r>
    <r>
      <rPr>
        <b/>
        <sz val="8"/>
        <rFont val="Arial"/>
        <family val="2"/>
      </rPr>
      <t>COLOR</t>
    </r>
  </si>
  <si>
    <r>
      <t xml:space="preserve">00880B - Paraguas rPet reciclado automático </t>
    </r>
    <r>
      <rPr>
        <b/>
        <sz val="8"/>
        <rFont val="Arial"/>
        <family val="2"/>
      </rPr>
      <t>BLANCO</t>
    </r>
  </si>
  <si>
    <r>
      <t xml:space="preserve">00880 - Paraguas rPet reciclado automático </t>
    </r>
    <r>
      <rPr>
        <b/>
        <sz val="8"/>
        <rFont val="Arial"/>
        <family val="2"/>
      </rPr>
      <t>COLOR</t>
    </r>
  </si>
  <si>
    <r>
      <t xml:space="preserve">00881B - Paraguas retractil mini </t>
    </r>
    <r>
      <rPr>
        <b/>
        <sz val="8"/>
        <rFont val="Arial"/>
        <family val="2"/>
      </rPr>
      <t>BLANCO</t>
    </r>
    <r>
      <rPr>
        <sz val="8"/>
        <rFont val="Arial"/>
        <family val="2"/>
      </rPr>
      <t xml:space="preserve"> con estuche mochila</t>
    </r>
  </si>
  <si>
    <r>
      <t xml:space="preserve">00881 - Paraguas retractil mini </t>
    </r>
    <r>
      <rPr>
        <b/>
        <sz val="8"/>
        <rFont val="Arial"/>
        <family val="2"/>
      </rPr>
      <t>COLOR</t>
    </r>
    <r>
      <rPr>
        <sz val="8"/>
        <rFont val="Arial"/>
        <family val="2"/>
      </rPr>
      <t xml:space="preserve"> con estuche mochila</t>
    </r>
  </si>
  <si>
    <r>
      <t xml:space="preserve">00882 - Paraguas ejecutivo automático </t>
    </r>
    <r>
      <rPr>
        <b/>
        <sz val="8"/>
        <rFont val="Arial"/>
        <family val="2"/>
      </rPr>
      <t>COLOR</t>
    </r>
  </si>
  <si>
    <r>
      <t xml:space="preserve">00907 - Paraguas gigante reforzado automático </t>
    </r>
    <r>
      <rPr>
        <b/>
        <sz val="8"/>
        <rFont val="Arial"/>
        <family val="2"/>
      </rPr>
      <t>COLOR</t>
    </r>
  </si>
  <si>
    <r>
      <t xml:space="preserve">00906 - Paraguas gigante </t>
    </r>
    <r>
      <rPr>
        <b/>
        <sz val="8"/>
        <rFont val="Arial"/>
        <family val="2"/>
      </rPr>
      <t>COMBINADO</t>
    </r>
    <r>
      <rPr>
        <sz val="8"/>
        <rFont val="Arial"/>
        <family val="2"/>
      </rPr>
      <t xml:space="preserve"> sistema anti viento</t>
    </r>
  </si>
  <si>
    <r>
      <t xml:space="preserve">00906 - Paraguas gigante </t>
    </r>
    <r>
      <rPr>
        <b/>
        <sz val="8"/>
        <rFont val="Arial"/>
        <family val="2"/>
      </rPr>
      <t>COLOR</t>
    </r>
    <r>
      <rPr>
        <sz val="8"/>
        <rFont val="Arial"/>
        <family val="2"/>
      </rPr>
      <t xml:space="preserve"> sistema anti viento</t>
    </r>
  </si>
  <si>
    <t>00875B</t>
  </si>
  <si>
    <t>02352 - Bolígrafo metal y bambú touch</t>
  </si>
  <si>
    <r>
      <t xml:space="preserve">02252 - Bolígrafo Ecológico cartón reciclado </t>
    </r>
    <r>
      <rPr>
        <b/>
        <sz val="8"/>
        <rFont val="Arial"/>
        <family val="2"/>
      </rPr>
      <t>TRAZO NEGRO</t>
    </r>
  </si>
  <si>
    <t xml:space="preserve">02180 - Bolígrafo con supertanque grip de goma </t>
  </si>
  <si>
    <t>01005 - Tabla pino para asado  18,5 x 30 cm con agujero</t>
  </si>
  <si>
    <t>01004 - Tabla pino 3 espacios p/picada 18,5 x 30cm c/agujero</t>
  </si>
  <si>
    <t>P5598-1- Gorro urbano 6 gajos con red</t>
  </si>
  <si>
    <t>P5598-1</t>
  </si>
  <si>
    <t>02290 - Boligrafo corcho y plástico reciclado</t>
  </si>
  <si>
    <t>02231 - Boligrafo con pulsador y puntera metalizada</t>
  </si>
  <si>
    <t>00887B</t>
  </si>
  <si>
    <t>00826 - Cuaderno A5 tapa dura blanca 21x14 cm con elástico</t>
  </si>
  <si>
    <t>00828 - Cuaderno A5 tapa dura color 21x14 cm con elástico</t>
  </si>
  <si>
    <t>05003-1</t>
  </si>
  <si>
    <t>00015 - Regla 30 cm alto impacto 1,5mm calendario full color</t>
  </si>
  <si>
    <t>00013 - Regla 20 cm alto impacto 1mm</t>
  </si>
  <si>
    <t>00821 - Cuaderno de corcho reciclado A5 - 21x14cm</t>
  </si>
  <si>
    <t>02343 - Roller metálico negro mate engomado con estuche</t>
  </si>
  <si>
    <t>02342 - Bolígrafo metálico negro mate engomado con estuche</t>
  </si>
  <si>
    <t>02348B - Bolígrafo metálico negro mate con estuche</t>
  </si>
  <si>
    <t>02348R - Roller metálico negro mate con estuche</t>
  </si>
  <si>
    <r>
      <t xml:space="preserve">02232 - Boligrafo plástico blanco </t>
    </r>
    <r>
      <rPr>
        <b/>
        <sz val="8"/>
        <color rgb="FF0070C0"/>
        <rFont val="Arial"/>
        <family val="2"/>
      </rPr>
      <t>TRAZO AZUL</t>
    </r>
  </si>
  <si>
    <t>00744 - Neceser Turista microfibra 20 x 16 x 8,5 cm</t>
  </si>
  <si>
    <t>00874 - Paraguas gigante automático mango eva</t>
  </si>
  <si>
    <r>
      <t xml:space="preserve">00878B - Paraguas ejecutivo automático </t>
    </r>
    <r>
      <rPr>
        <b/>
        <sz val="8"/>
        <rFont val="Arial"/>
        <family val="2"/>
      </rPr>
      <t>BLANCO</t>
    </r>
  </si>
  <si>
    <r>
      <t xml:space="preserve">00878 - Paraguas ejecutivo automático </t>
    </r>
    <r>
      <rPr>
        <b/>
        <sz val="8"/>
        <rFont val="Arial"/>
        <family val="2"/>
      </rPr>
      <t>COLOR</t>
    </r>
  </si>
  <si>
    <r>
      <t xml:space="preserve">00887 - Paraguas gigante reforzado </t>
    </r>
    <r>
      <rPr>
        <b/>
        <sz val="8"/>
        <rFont val="Arial"/>
        <family val="2"/>
      </rPr>
      <t>COLOR</t>
    </r>
    <r>
      <rPr>
        <sz val="8"/>
        <rFont val="Arial"/>
        <family val="2"/>
      </rPr>
      <t xml:space="preserve"> mango madera </t>
    </r>
  </si>
  <si>
    <r>
      <t xml:space="preserve">00887B - Paraguas gigante reforzado </t>
    </r>
    <r>
      <rPr>
        <b/>
        <sz val="8"/>
        <rFont val="Arial"/>
        <family val="2"/>
      </rPr>
      <t>BLANCO</t>
    </r>
    <r>
      <rPr>
        <sz val="8"/>
        <rFont val="Arial"/>
        <family val="2"/>
      </rPr>
      <t xml:space="preserve"> mango madera </t>
    </r>
  </si>
  <si>
    <t>02348B</t>
  </si>
  <si>
    <t>00018 - Mate térmico premium de acero con bombilla y caja</t>
  </si>
  <si>
    <t>00423F</t>
  </si>
  <si>
    <t>00423B</t>
  </si>
  <si>
    <t>00423D</t>
  </si>
  <si>
    <t>00423C</t>
  </si>
  <si>
    <t>00423E</t>
  </si>
  <si>
    <t>00423E - Llavero acrílico 3mm imp. full color casita 5x4,7cm</t>
  </si>
  <si>
    <t>00423A</t>
  </si>
  <si>
    <t>40/01 - Juego cuchillo y tenedor parrillero en caja</t>
  </si>
  <si>
    <t>40/01</t>
  </si>
  <si>
    <t>46/01 - Tabla premium bambú 40x30cm con cuchilla y afilador</t>
  </si>
  <si>
    <t>46/01</t>
  </si>
  <si>
    <t>00991</t>
  </si>
  <si>
    <t>00991 - Set parrillero grande premium 3 piezas en estuche</t>
  </si>
  <si>
    <t>00995 - Set parrillero 4 piezas en estuche</t>
  </si>
  <si>
    <t>00995</t>
  </si>
  <si>
    <t>00792 - Set de herramientas 11 piezas en estuche</t>
  </si>
  <si>
    <t>00792</t>
  </si>
  <si>
    <t>00721 - Bolso Voyage poliester 600D 45 litros</t>
  </si>
  <si>
    <t>00720 - Bolso deportivo WRKT poliester 600D 68 litros</t>
  </si>
  <si>
    <t>00716 - Mochila SGT Poliéster 300D + Snow 9 litros</t>
  </si>
  <si>
    <t>00718 - Mochila Waterproof impermeable portanotebook 11 Lt</t>
  </si>
  <si>
    <t>00717 - Mochila Executive 13,5Lt poliéster 600D alta densidad</t>
  </si>
  <si>
    <t>00600 - Maletin poliéster 600D 12 litros 40x30x10 cm</t>
  </si>
  <si>
    <t>00584 - Bolso Matero Polycanvas gris 10 litros</t>
  </si>
  <si>
    <t>00582 - Bolso Mochila Matero gris 12 litros</t>
  </si>
  <si>
    <t>00580 - Bolso Matero gris con división 10 litros</t>
  </si>
  <si>
    <t>00577 - Mochila SLAZENGER® Mochila Walking 20 litros</t>
  </si>
  <si>
    <t>00609 - Mochila NOMAWALK® City 11 litros</t>
  </si>
  <si>
    <t>00611 - Mochila NOMAWALK® Funcional 14 litros</t>
  </si>
  <si>
    <t>00657 - Mochila Corp 14 litros</t>
  </si>
  <si>
    <t>00658 - Mochila Basic 14 litros</t>
  </si>
  <si>
    <t>00659 - Mochila Promobag 17 litros</t>
  </si>
  <si>
    <t>00660 - Mochila chica Eco Bag 10 litros</t>
  </si>
  <si>
    <t>00694 - Mochila Classic 15 litros</t>
  </si>
  <si>
    <t>00698 - Mochila HL poliester 15 litros</t>
  </si>
  <si>
    <t>00599 - Mochila Duomo porta notebook polycanvas 17 litros</t>
  </si>
  <si>
    <t>00570 - Mochila Urban porta notebook poliéster 600D 14 litros</t>
  </si>
  <si>
    <t>IR A MOCHILAS - BOLSOS - ETC</t>
  </si>
  <si>
    <t>IR A ART. DE CUERO - CUCHILLERIA</t>
  </si>
  <si>
    <r>
      <t xml:space="preserve">00873 - Paraguas mini </t>
    </r>
    <r>
      <rPr>
        <b/>
        <sz val="8"/>
        <rFont val="Arial"/>
        <family val="2"/>
      </rPr>
      <t>COLOR</t>
    </r>
    <r>
      <rPr>
        <sz val="8"/>
        <rFont val="Arial"/>
        <family val="2"/>
      </rPr>
      <t xml:space="preserve"> varillas metálicas</t>
    </r>
  </si>
  <si>
    <r>
      <t xml:space="preserve">00873B - Paraguas mini </t>
    </r>
    <r>
      <rPr>
        <b/>
        <sz val="8"/>
        <rFont val="Arial"/>
        <family val="2"/>
      </rPr>
      <t>BLANCO</t>
    </r>
    <r>
      <rPr>
        <sz val="8"/>
        <rFont val="Arial"/>
        <family val="2"/>
      </rPr>
      <t xml:space="preserve"> varillas metálicas</t>
    </r>
  </si>
  <si>
    <r>
      <t xml:space="preserve">00876 - Paraguas ejecutivo </t>
    </r>
    <r>
      <rPr>
        <b/>
        <sz val="8"/>
        <rFont val="Arial"/>
        <family val="2"/>
      </rPr>
      <t>COLOR</t>
    </r>
    <r>
      <rPr>
        <sz val="8"/>
        <rFont val="Arial"/>
        <family val="2"/>
      </rPr>
      <t xml:space="preserve"> automático</t>
    </r>
  </si>
  <si>
    <t>00266 - Reloj de bambú 30cm diám agujas de metal</t>
  </si>
  <si>
    <t>00266</t>
  </si>
  <si>
    <t>00873B</t>
  </si>
  <si>
    <r>
      <t xml:space="preserve">T5300 - Delantal </t>
    </r>
    <r>
      <rPr>
        <b/>
        <sz val="8"/>
        <rFont val="Arial"/>
        <family val="2"/>
      </rPr>
      <t>CAMPARY</t>
    </r>
    <r>
      <rPr>
        <sz val="8"/>
        <rFont val="Arial"/>
        <family val="2"/>
      </rPr>
      <t xml:space="preserve"> jean con cuero, aplique y bolsillos</t>
    </r>
  </si>
  <si>
    <t>T5300</t>
  </si>
  <si>
    <t>P5539-1V - Buzo Blanco 100% algodón</t>
  </si>
  <si>
    <t>P5540-1V - Buzo Color 100% algodón</t>
  </si>
  <si>
    <t>02348R</t>
  </si>
  <si>
    <t>00886B</t>
  </si>
  <si>
    <r>
      <t xml:space="preserve">00886B - Paraguas ejecutivo automático </t>
    </r>
    <r>
      <rPr>
        <b/>
        <sz val="8"/>
        <rFont val="Arial"/>
        <family val="2"/>
      </rPr>
      <t>BLANCO</t>
    </r>
  </si>
  <si>
    <r>
      <t xml:space="preserve">00886 - Paraguas ejecutivo automático </t>
    </r>
    <r>
      <rPr>
        <b/>
        <sz val="8"/>
        <rFont val="Arial"/>
        <family val="2"/>
      </rPr>
      <t>COLOR</t>
    </r>
  </si>
  <si>
    <t>00668 - Organizador de electrónica FLM</t>
  </si>
  <si>
    <t>00667 - Organizador de electrónica TDB</t>
  </si>
  <si>
    <t xml:space="preserve">00085-2 - Portapatente Modelo chico abierto blanco o negro            </t>
  </si>
  <si>
    <t>01042 - Botella de acero inoxidable tapa a rosca 750 ml</t>
  </si>
  <si>
    <t>01041 - Botella de acero inoxidable 800 ml tapa con tira</t>
  </si>
  <si>
    <t xml:space="preserve">IP-T46C -  Chop 800ml aluminio </t>
  </si>
  <si>
    <t>00307 - Llavero destapador de aluminio</t>
  </si>
  <si>
    <t>00301 - Cinta colgante 20mm con aro sin fin</t>
  </si>
  <si>
    <t xml:space="preserve">00301-1 - Cinta colgante 20mm con mosquetón alambre </t>
  </si>
  <si>
    <t>00301-2 - Cinta colgante 20mm mosq. gatillo zamak</t>
  </si>
  <si>
    <r>
      <t xml:space="preserve">02233 - Boligrafo </t>
    </r>
    <r>
      <rPr>
        <b/>
        <sz val="8"/>
        <rFont val="Arial"/>
        <family val="2"/>
      </rPr>
      <t>PAPER MATE®</t>
    </r>
    <r>
      <rPr>
        <sz val="8"/>
        <rFont val="Arial"/>
        <family val="2"/>
      </rPr>
      <t xml:space="preserve"> INKJOY 300RT</t>
    </r>
  </si>
  <si>
    <t xml:space="preserve">02234 - Bolígrafo blanco óvalo de color (imp. ambos lados) </t>
  </si>
  <si>
    <t>02234-1 - Boligrafo de color óvalo blanco (imp. ambos lados)</t>
  </si>
  <si>
    <t>M-37</t>
  </si>
  <si>
    <t>M-37  - Llavero cinta poliester con mosquetón metálico</t>
  </si>
  <si>
    <t>00088-1 - Broche sujeta papel con iman</t>
  </si>
  <si>
    <t>00088-1</t>
  </si>
  <si>
    <t>00085-2</t>
  </si>
  <si>
    <t>00085-1B</t>
  </si>
  <si>
    <t>00085-1N</t>
  </si>
  <si>
    <t>CE-M13</t>
  </si>
  <si>
    <t>IP-T12M</t>
  </si>
  <si>
    <t>IP-T18M</t>
  </si>
  <si>
    <t>IP-T23</t>
  </si>
  <si>
    <t>IP-T21</t>
  </si>
  <si>
    <t>00572-1</t>
  </si>
  <si>
    <t>00586 - Bolso Matero negro con simil gamuza</t>
  </si>
  <si>
    <r>
      <t xml:space="preserve">05003 - Llavero Cinta Métrica 1 metro con dome </t>
    </r>
    <r>
      <rPr>
        <b/>
        <sz val="8"/>
        <rFont val="Arial"/>
        <family val="2"/>
      </rPr>
      <t>UN LADO</t>
    </r>
  </si>
  <si>
    <t>05003-1 - Llavero Cinta Métrica 1M imp. full color ambos lados</t>
  </si>
  <si>
    <t xml:space="preserve">00933 - Anotador ecológico 14x9 cm con bolígrafo </t>
  </si>
  <si>
    <t>00917 - Cuaderno Tapa Corcho 21x14 cm con elástico</t>
  </si>
  <si>
    <t>00924-1 - Cuaderno ecológico hojas rayadas - Nuevo modelo</t>
  </si>
  <si>
    <t>00924-1</t>
  </si>
  <si>
    <t>00301-4 - Cinta colgante 20mm mosq. zamak anzuelo</t>
  </si>
  <si>
    <t>00302-4 - Cinta colgante blanca 20mm mosq. zamak anzuelo</t>
  </si>
  <si>
    <t>00301-6 - Cinta colgante 20mm mosq. plástico anzuelo</t>
  </si>
  <si>
    <t>00301-4</t>
  </si>
  <si>
    <t>00302-4</t>
  </si>
  <si>
    <t>00302-6 - Cinta colgante blanca 20mm mosq. plástico anzuelo</t>
  </si>
  <si>
    <t>00301-6</t>
  </si>
  <si>
    <t>00534 - Identificador de equipaje Travel Tag</t>
  </si>
  <si>
    <t>00302-6</t>
  </si>
  <si>
    <t>01045 - Vaso térmico acero PAMPERO® MAIPO 600 ml</t>
  </si>
  <si>
    <t xml:space="preserve">01052 - Vaso térmico doble pared acero y plástico </t>
  </si>
  <si>
    <t>00466 - Destapador plástico y metal con iman para heladera</t>
  </si>
  <si>
    <t>CON LOGO IMPRESO / GRABADO SEGÚN PRODUCTO</t>
  </si>
  <si>
    <t>CON LOGO FULL COLOR</t>
  </si>
  <si>
    <t>M-51</t>
  </si>
  <si>
    <t>00311 - Llavero destapador de aluminio</t>
  </si>
  <si>
    <t>00920L - Cuaderno Eco cuero soft mate 21x14 cm hoja lisa</t>
  </si>
  <si>
    <t>00920 - Cuaderno Eco cuero soft mate 21x14 cm hoja rayada</t>
  </si>
  <si>
    <t>00920L</t>
  </si>
  <si>
    <t>02235 - Boligrafo plástico blanco medio giro</t>
  </si>
  <si>
    <t>CON LOGO ESTAMPADO TRANSFER FULL COLOR</t>
  </si>
  <si>
    <t>PRODUCTOS SUBLIMADOS</t>
  </si>
  <si>
    <t>00014 - Regla 30 cm alto impacto 1,5mm</t>
  </si>
  <si>
    <t xml:space="preserve">02130 - Bolígrafo mostrador con base cuadrada adhesiva </t>
  </si>
  <si>
    <t xml:space="preserve">02131 - Bolígrafo mostrador con base triangular adhesiva </t>
  </si>
  <si>
    <t>02241 - Mini lápiz negro color natural con goma</t>
  </si>
  <si>
    <t xml:space="preserve">02242 - Lápiz negro madera natural sin punta con goma negra </t>
  </si>
  <si>
    <t>02245-1</t>
  </si>
  <si>
    <t>02245-1 - Lápiz negro madera natural con punta con goma</t>
  </si>
  <si>
    <t>02245 - Lápiz negro madera natural con punta sin goma</t>
  </si>
  <si>
    <t>LL-102 - Llavero de aluminio con forma de HUESO</t>
  </si>
  <si>
    <t>LL-101 - Llavero de aluminio con forma de CASA</t>
  </si>
  <si>
    <t>LL-101</t>
  </si>
  <si>
    <t>Para el diseño de los calendarios de los Art. 00015 / 00061 / 00063 / 00064 / 00321 / 00322 / 00325 / 00326 / 00344 / 00942 / 00949 / 00950 / 11604 y demás productos con almanaque, se utiliza información publicada por el Ministerio del Interior en su página web al día 31 de julio de 2024. Muestras a disposición del cliente para verificar diseño.</t>
  </si>
  <si>
    <t>02503 - Tubo con 12 mini lápices de colores con saca puntas</t>
  </si>
  <si>
    <t>02504 - Cajita con 6 mini lápices de colores</t>
  </si>
  <si>
    <t xml:space="preserve">P5533 - Gorro Liso 5 gajos algodón y poliester con abrojo </t>
  </si>
  <si>
    <t>11610 - Repuesto de almanaque 2025</t>
  </si>
  <si>
    <t>02240 - Lápiz All Black con madera y goma negra con punta</t>
  </si>
  <si>
    <t>11604 - Almanaque 2025 Paisajes 14 Hojas - Logo 1 color</t>
  </si>
  <si>
    <t>02247 - Set escolar Eco con regla lápices goma sacapuntas</t>
  </si>
  <si>
    <t>01026 - Botella de plástico 550ml tapa a rosca</t>
  </si>
  <si>
    <t>MÍNIMO 500 UNIDADES. PLAZO DE ENTREGA ENTRE 15 Y 25 DÍAS. INCLUYE IMPRESIÓN HASTA 2 COLORES DE AMBOS LADOS MISMO DISEÑO. CONSULTAR PRECIO</t>
  </si>
  <si>
    <t>02327 - Bolígrafo metálico touch</t>
  </si>
  <si>
    <t>00825 - Cuaderno chico blanco tapa dura 14 x 9 cm</t>
  </si>
  <si>
    <t xml:space="preserve">00831 - Cuaderno A5 tapa dura negra 21x14 cm </t>
  </si>
  <si>
    <t>00325 - Carpita inyectada posalapiz calendario 2 colores</t>
  </si>
  <si>
    <t>00321 - Carpita inyectada calendario 2 colores</t>
  </si>
  <si>
    <t>IR A PAGINA 2</t>
  </si>
  <si>
    <t>00675 - Neceser poliester con gancho</t>
  </si>
  <si>
    <t>EN PRODUCTOS CON IMPRESION EN 2 LADOS LOS RECARGOS SE COBRAN DOBLES. (Ej. Art. 00060/00061/00062/00063 etc.)</t>
  </si>
  <si>
    <t>00719 - Mochila portanotebook QS 15 litros</t>
  </si>
  <si>
    <t>00963 - Cuaderno Eco espiralado con cartuchera y útiles</t>
  </si>
  <si>
    <t>00426 - Cutter chico cuerpo blanco</t>
  </si>
  <si>
    <t>01029 - Botella reutilizable PET blanca tapa PP 600ml</t>
  </si>
  <si>
    <t>02345TA - Bolígrafo Touch metálico negro mate con estuche</t>
  </si>
  <si>
    <t>02345TA</t>
  </si>
  <si>
    <t>00304 - Cinta llavero colgante con holder plástico</t>
  </si>
  <si>
    <t>M043</t>
  </si>
  <si>
    <t>M110</t>
  </si>
  <si>
    <t>M043 - Cuchillo premium hoja 12 cm con tenedor funda cuero</t>
  </si>
  <si>
    <t>M110 - Cuchillo premium hoja 12 cm con funda de cuero</t>
  </si>
  <si>
    <r>
      <t xml:space="preserve">02236 - Boligrafo plástico retráctil clip metal </t>
    </r>
    <r>
      <rPr>
        <b/>
        <sz val="8"/>
        <color rgb="FF0070C0"/>
        <rFont val="Arial"/>
        <family val="2"/>
      </rPr>
      <t>TRAZO AZUL</t>
    </r>
  </si>
  <si>
    <t>00940 - Libreta ecológica con bolígrafo</t>
  </si>
  <si>
    <t>02202-2TA</t>
  </si>
  <si>
    <r>
      <t xml:space="preserve">02202-2TA - Bolígrafo cuerpo blanco grip color </t>
    </r>
    <r>
      <rPr>
        <b/>
        <sz val="8"/>
        <color rgb="FF0070C0"/>
        <rFont val="Arial"/>
        <family val="2"/>
      </rPr>
      <t>TRAZO AZUL</t>
    </r>
  </si>
  <si>
    <t>01032 - Vaso térmico acero 500ml</t>
  </si>
  <si>
    <t>00741 - Neceser simple MGN 17,5 x 10 x 9,5 cm</t>
  </si>
  <si>
    <t>47/01 - Set de asado cuhillo tenedor chaira y tabla en estuche</t>
  </si>
  <si>
    <t>00837 - Cuaderno ecologico espiralado con boligrafo</t>
  </si>
  <si>
    <t>00921L - Cuaderno Eco cuero y corcho 21x14 cm hoja lisa</t>
  </si>
  <si>
    <t>00921L</t>
  </si>
  <si>
    <t>01054 - Botella aluminio 600ml tapa a rosca</t>
  </si>
  <si>
    <t>00310 - Llavero destapador de aluminio</t>
  </si>
  <si>
    <t>45/01</t>
  </si>
  <si>
    <t>45/01 - Set de cubiertos parilleros en estuche</t>
  </si>
  <si>
    <t>00994 - Set parrillero 4 piezas en estuche</t>
  </si>
  <si>
    <t>00994</t>
  </si>
  <si>
    <t>00085 - Portapatente cerrado blanco segunda selección</t>
  </si>
  <si>
    <t>00827 - Mini anotador con notas y bolígrafo</t>
  </si>
  <si>
    <t>02283 - Bolígrafo Ecológico cartón reciclado touch</t>
  </si>
  <si>
    <t>02282 - Bolígrafo Ecológico biofiber fibra de trigo</t>
  </si>
  <si>
    <t xml:space="preserve">00533 - Porta documentacion de viaje con bolsillos </t>
  </si>
  <si>
    <t>IP-T19</t>
  </si>
  <si>
    <t>00608 - Mochila NOMAWALK® Free Flow 12 litros</t>
  </si>
  <si>
    <t>00566 - Riñonera polycanvas 2,8 litros</t>
  </si>
  <si>
    <t>00567 - Riñonera polycanvas 3,6 litros dos compartimientos</t>
  </si>
  <si>
    <t>00569 - Riñonera clásica 2,8 litros dos compartimientos</t>
  </si>
  <si>
    <t>00590 - Bolso Tote poliester 16 litros</t>
  </si>
  <si>
    <t>IR A PAGINA 8</t>
  </si>
  <si>
    <t>02310 - Boligrafo metálico negro mate interior de color</t>
  </si>
  <si>
    <t>47/01</t>
  </si>
  <si>
    <t>02258 - Lápiz negro larga duracion realizado en bambú</t>
  </si>
  <si>
    <t>00966 - Cuaderno con set de notas y bolígrafo touch</t>
  </si>
  <si>
    <t>00682 - Neceser microfibra con gancho</t>
  </si>
  <si>
    <t>00613 - Mochila NOMAWALK® Dynamic 14 litros</t>
  </si>
  <si>
    <t>00696 - Mochila FLD plegable 12,5 litros</t>
  </si>
  <si>
    <t>00605 - Mochila NOMAWALK® Picnic 18 litros</t>
  </si>
  <si>
    <t>00593 - Cooler lunchera PRT poliester 19x14x18cm</t>
  </si>
  <si>
    <t>00708 - Mochila Sport 16 litros</t>
  </si>
  <si>
    <t>LISTA DE PRECIOS Nº 11 / 2024 (En Pesos) - NO INCLUYE I.V.A. - NOVIEMBRE 3 - 2024</t>
  </si>
  <si>
    <t>02240-1 - Lápiz All Black con punta sin goma</t>
  </si>
  <si>
    <t>00822 - Cuaderno BIG Eco cuero soft mate 25x17cm h. rayada</t>
  </si>
  <si>
    <t>00832 - Cuaderno Eco tapas flexibles A4 hojas rayadas</t>
  </si>
  <si>
    <t>00392 - Power Bank Flat 4000 mAh</t>
  </si>
  <si>
    <t>M-51 - Llavero metálico mate con cinta webbing</t>
  </si>
  <si>
    <t>LL-126 - Llavero metálico mate con cinta webbing</t>
  </si>
  <si>
    <t>LL-126</t>
  </si>
  <si>
    <t>LL-108</t>
  </si>
  <si>
    <t>LL-108 - Llavero de metal y bambu redondo giratorio</t>
  </si>
  <si>
    <t>LL-107 - Llavero de bambu rectangular</t>
  </si>
  <si>
    <t>LL-107</t>
  </si>
  <si>
    <t xml:space="preserve">02332 - Set de bolígrafo Touch y lápiz mecánico de Bambú </t>
  </si>
  <si>
    <t>P5523 - Remera SOLS blanca o color 100% algodón</t>
  </si>
  <si>
    <t>P5523</t>
  </si>
  <si>
    <t>00824 - Memo box espiral cartón reciclado</t>
  </si>
  <si>
    <t>02240-1</t>
  </si>
  <si>
    <t>00572-1 - Bolsa mochila botinero 100% poliéster 210D 14 litros</t>
  </si>
  <si>
    <t>00575 - Bolsa mochila botinero Friselina 80 gramos</t>
  </si>
  <si>
    <t>ESTAMPADO TRANSFER FULL COLOR UN LADO</t>
  </si>
  <si>
    <t>02331 - Bolígrafo triangular de Bambú clip de metal</t>
  </si>
  <si>
    <t>02353 - Bolígrafo de aluminio reciclado cuerpo engomado</t>
  </si>
  <si>
    <t>00923 - Cuaderno A5 papel kraft tapa dura hojas rayadas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</si>
</sst>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&quot;$&quot;\ #,##0.00;[Red]&quot;$&quot;\ \-#,##0.00"/>
    <numFmt numFmtId="165" formatCode="0.000"/>
    <numFmt numFmtId="166" formatCode="00000"/>
    <numFmt numFmtId="167" formatCode="_-[$€]* #.##0.00_-;\-[$€]* #.##0.00_-;_-[$€]* &quot;-&quot;??_-;_-@_-"/>
    <numFmt numFmtId="168" formatCode="&quot;$&quot;\ #,##0"/>
  </numFmts>
  <fonts count="124" x14ac:knownFonts="1">
    <font>
      <sz val="10"/>
      <name val="Arial"/>
    </font>
    <font>
      <sz val="10"/>
      <name val="Arial"/>
      <family val="2"/>
    </font>
    <font>
      <b/>
      <sz val="8"/>
      <color indexed="10"/>
      <name val="Arial"/>
      <family val="2"/>
    </font>
    <font>
      <sz val="8"/>
      <color indexed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7"/>
      <name val="Arial"/>
      <family val="2"/>
    </font>
    <font>
      <b/>
      <sz val="8"/>
      <color indexed="8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u/>
      <sz val="10"/>
      <color indexed="12"/>
      <name val="Arial"/>
      <family val="2"/>
    </font>
    <font>
      <sz val="12"/>
      <color indexed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9"/>
      <color indexed="8"/>
      <name val="Verdana"/>
      <family val="2"/>
    </font>
    <font>
      <sz val="8"/>
      <color indexed="8"/>
      <name val="Arial"/>
      <family val="2"/>
    </font>
    <font>
      <sz val="10"/>
      <name val="Arial"/>
      <family val="2"/>
    </font>
    <font>
      <b/>
      <sz val="9"/>
      <color indexed="8"/>
      <name val="Arial"/>
      <family val="2"/>
    </font>
    <font>
      <sz val="10"/>
      <color indexed="12"/>
      <name val="Arial"/>
      <family val="2"/>
    </font>
    <font>
      <sz val="12"/>
      <color indexed="12"/>
      <name val="Arial"/>
      <family val="2"/>
    </font>
    <font>
      <sz val="6"/>
      <color indexed="12"/>
      <name val="Arial"/>
      <family val="2"/>
    </font>
    <font>
      <sz val="8"/>
      <color indexed="12"/>
      <name val="Arial"/>
      <family val="2"/>
    </font>
    <font>
      <sz val="10"/>
      <color indexed="61"/>
      <name val="Arial"/>
      <family val="2"/>
    </font>
    <font>
      <b/>
      <sz val="8"/>
      <color indexed="10"/>
      <name val="Arial Narrow"/>
      <family val="2"/>
    </font>
    <font>
      <b/>
      <sz val="9"/>
      <color indexed="10"/>
      <name val="Arial"/>
      <family val="2"/>
    </font>
    <font>
      <sz val="8"/>
      <color indexed="10"/>
      <name val="Arial Narrow"/>
      <family val="2"/>
    </font>
    <font>
      <b/>
      <sz val="7"/>
      <name val="Arial"/>
      <family val="2"/>
    </font>
    <font>
      <b/>
      <sz val="7"/>
      <color indexed="10"/>
      <name val="Arial"/>
      <family val="2"/>
    </font>
    <font>
      <b/>
      <sz val="16"/>
      <color indexed="9"/>
      <name val="Arial"/>
      <family val="2"/>
    </font>
    <font>
      <sz val="7"/>
      <color indexed="10"/>
      <name val="Arial"/>
      <family val="2"/>
    </font>
    <font>
      <sz val="6"/>
      <color indexed="10"/>
      <name val="Arial Narrow"/>
      <family val="2"/>
    </font>
    <font>
      <b/>
      <sz val="14"/>
      <color indexed="9"/>
      <name val="Arial"/>
      <family val="2"/>
    </font>
    <font>
      <b/>
      <sz val="6"/>
      <color indexed="10"/>
      <name val="Arial"/>
      <family val="2"/>
    </font>
    <font>
      <sz val="6"/>
      <color indexed="10"/>
      <name val="Arial"/>
      <family val="2"/>
    </font>
    <font>
      <b/>
      <sz val="9"/>
      <color indexed="10"/>
      <name val="Arial Narrow"/>
      <family val="2"/>
    </font>
    <font>
      <b/>
      <i/>
      <sz val="8"/>
      <color indexed="10"/>
      <name val="Arial"/>
      <family val="2"/>
    </font>
    <font>
      <u/>
      <sz val="10"/>
      <name val="Arial"/>
      <family val="2"/>
    </font>
    <font>
      <sz val="10"/>
      <color indexed="8"/>
      <name val="Arial"/>
      <family val="2"/>
    </font>
    <font>
      <b/>
      <sz val="10"/>
      <color indexed="63"/>
      <name val="Segoe UI"/>
      <family val="2"/>
    </font>
    <font>
      <b/>
      <sz val="7"/>
      <name val="Arial Narrow"/>
      <family val="2"/>
    </font>
    <font>
      <sz val="10"/>
      <color indexed="13"/>
      <name val="Arial"/>
      <family val="2"/>
    </font>
    <font>
      <sz val="9"/>
      <color indexed="10"/>
      <name val="Arial"/>
      <family val="2"/>
    </font>
    <font>
      <sz val="8"/>
      <name val="Arial"/>
      <family val="2"/>
    </font>
    <font>
      <sz val="6"/>
      <name val="Arial"/>
      <family val="2"/>
    </font>
    <font>
      <b/>
      <sz val="8"/>
      <color indexed="9"/>
      <name val="Arial"/>
      <family val="2"/>
    </font>
    <font>
      <sz val="12"/>
      <name val="Arial"/>
      <family val="2"/>
    </font>
    <font>
      <b/>
      <sz val="10"/>
      <name val="Arial Narrow"/>
      <family val="2"/>
    </font>
    <font>
      <sz val="8"/>
      <color indexed="9"/>
      <name val="Arial"/>
      <family val="2"/>
    </font>
    <font>
      <sz val="10"/>
      <color indexed="9"/>
      <name val="Arial"/>
      <family val="2"/>
    </font>
    <font>
      <b/>
      <sz val="11"/>
      <color indexed="56"/>
      <name val="Arial"/>
      <family val="2"/>
    </font>
    <font>
      <sz val="10"/>
      <color indexed="23"/>
      <name val="Arial"/>
      <family val="2"/>
    </font>
    <font>
      <b/>
      <u/>
      <sz val="9"/>
      <color indexed="12"/>
      <name val="Arial"/>
      <family val="2"/>
    </font>
    <font>
      <b/>
      <sz val="10"/>
      <color indexed="8"/>
      <name val="Arial"/>
      <family val="2"/>
    </font>
    <font>
      <u/>
      <sz val="8"/>
      <color indexed="12"/>
      <name val="Arial"/>
      <family val="2"/>
    </font>
    <font>
      <b/>
      <sz val="9"/>
      <color indexed="9"/>
      <name val="Arial"/>
      <family val="2"/>
    </font>
    <font>
      <sz val="6"/>
      <color indexed="8"/>
      <name val="Arial"/>
      <family val="2"/>
    </font>
    <font>
      <b/>
      <sz val="16"/>
      <name val="Arial"/>
      <family val="2"/>
    </font>
    <font>
      <sz val="10"/>
      <color indexed="56"/>
      <name val="Arial"/>
      <family val="2"/>
    </font>
    <font>
      <sz val="10"/>
      <color indexed="30"/>
      <name val="Arial"/>
      <family val="2"/>
    </font>
    <font>
      <sz val="7"/>
      <name val="Arial Narrow"/>
      <family val="2"/>
    </font>
    <font>
      <b/>
      <sz val="8"/>
      <name val="Arial Narrow"/>
      <family val="2"/>
    </font>
    <font>
      <sz val="10"/>
      <name val="Arial Narrow"/>
      <family val="2"/>
    </font>
    <font>
      <sz val="6"/>
      <name val="Arial Narrow"/>
      <family val="2"/>
    </font>
    <font>
      <sz val="8"/>
      <name val="Arial Narrow"/>
      <family val="2"/>
    </font>
    <font>
      <u/>
      <sz val="8"/>
      <color indexed="12"/>
      <name val="Arial Narrow"/>
      <family val="2"/>
    </font>
    <font>
      <b/>
      <sz val="8"/>
      <color theme="1"/>
      <name val="Arial"/>
      <family val="2"/>
    </font>
    <font>
      <sz val="10"/>
      <color rgb="FFFF0000"/>
      <name val="Arial"/>
      <family val="2"/>
    </font>
    <font>
      <b/>
      <sz val="8"/>
      <color rgb="FFFF0000"/>
      <name val="Arial"/>
      <family val="2"/>
    </font>
    <font>
      <sz val="10"/>
      <color theme="9"/>
      <name val="Arial"/>
      <family val="2"/>
    </font>
    <font>
      <sz val="8"/>
      <color theme="9"/>
      <name val="Arial"/>
      <family val="2"/>
    </font>
    <font>
      <sz val="10"/>
      <color rgb="FF00B050"/>
      <name val="Arial"/>
      <family val="2"/>
    </font>
    <font>
      <b/>
      <sz val="8"/>
      <color rgb="FFFF0000"/>
      <name val="Arial Narrow"/>
      <family val="2"/>
    </font>
    <font>
      <b/>
      <sz val="8"/>
      <color theme="1"/>
      <name val="Arial Narrow"/>
      <family val="2"/>
    </font>
    <font>
      <sz val="8"/>
      <color rgb="FFFF0000"/>
      <name val="Arial"/>
      <family val="2"/>
    </font>
    <font>
      <b/>
      <sz val="9"/>
      <color rgb="FFFF0000"/>
      <name val="Arial"/>
      <family val="2"/>
    </font>
    <font>
      <b/>
      <sz val="10"/>
      <color rgb="FFFF0000"/>
      <name val="Arial"/>
      <family val="2"/>
    </font>
    <font>
      <sz val="9"/>
      <color rgb="FFFF0000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sz val="10"/>
      <color theme="0"/>
      <name val="Arial"/>
      <family val="2"/>
    </font>
    <font>
      <u/>
      <sz val="10"/>
      <color rgb="FFFF0000"/>
      <name val="Arial"/>
      <family val="2"/>
    </font>
    <font>
      <sz val="12"/>
      <color theme="0"/>
      <name val="Arial"/>
      <family val="2"/>
    </font>
    <font>
      <sz val="6"/>
      <color theme="0"/>
      <name val="Arial Narrow"/>
      <family val="2"/>
    </font>
    <font>
      <sz val="10"/>
      <color theme="0"/>
      <name val="Arial Narrow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9"/>
      <color theme="0"/>
      <name val="Arial"/>
      <family val="2"/>
    </font>
    <font>
      <sz val="9"/>
      <color theme="0"/>
      <name val="Arial"/>
      <family val="2"/>
    </font>
    <font>
      <b/>
      <sz val="18"/>
      <color theme="0"/>
      <name val="Arial"/>
      <family val="2"/>
    </font>
    <font>
      <b/>
      <sz val="12"/>
      <color theme="0"/>
      <name val="Arial"/>
      <family val="2"/>
    </font>
    <font>
      <u/>
      <sz val="8"/>
      <color theme="0"/>
      <name val="Arial"/>
      <family val="2"/>
    </font>
    <font>
      <b/>
      <sz val="12"/>
      <color theme="1"/>
      <name val="Arial Narrow"/>
      <family val="2"/>
    </font>
    <font>
      <sz val="12"/>
      <color theme="1"/>
      <name val="Arial"/>
      <family val="2"/>
    </font>
    <font>
      <b/>
      <sz val="14"/>
      <color theme="0"/>
      <name val="Arial"/>
      <family val="2"/>
    </font>
    <font>
      <b/>
      <sz val="12"/>
      <color theme="1"/>
      <name val="Arial"/>
      <family val="2"/>
    </font>
    <font>
      <b/>
      <sz val="9"/>
      <color rgb="FFFF0000"/>
      <name val="Arial Narrow"/>
      <family val="2"/>
    </font>
    <font>
      <sz val="10"/>
      <color theme="3"/>
      <name val="Arial"/>
      <family val="2"/>
    </font>
    <font>
      <b/>
      <sz val="8"/>
      <color rgb="FF0070C0"/>
      <name val="Arial"/>
      <family val="2"/>
    </font>
    <font>
      <b/>
      <sz val="15"/>
      <color theme="0"/>
      <name val="Arial"/>
      <family val="2"/>
    </font>
    <font>
      <sz val="15"/>
      <color theme="0"/>
      <name val="Arial"/>
      <family val="2"/>
    </font>
    <font>
      <b/>
      <sz val="8"/>
      <name val="Verdana"/>
      <family val="2"/>
    </font>
    <font>
      <b/>
      <u/>
      <sz val="10"/>
      <color theme="0"/>
      <name val="Arial"/>
      <family val="2"/>
    </font>
    <font>
      <b/>
      <sz val="8"/>
      <color theme="7"/>
      <name val="Arial"/>
      <family val="2"/>
    </font>
    <font>
      <b/>
      <sz val="9"/>
      <color indexed="81"/>
      <name val="Tahoma"/>
      <family val="2"/>
    </font>
    <font>
      <b/>
      <sz val="8"/>
      <color indexed="81"/>
      <name val="Tahoma"/>
      <family val="2"/>
    </font>
    <font>
      <b/>
      <sz val="10"/>
      <color theme="0"/>
      <name val="Arial"/>
      <family val="2"/>
    </font>
    <font>
      <b/>
      <sz val="7"/>
      <color rgb="FFFF0000"/>
      <name val="Arial"/>
      <family val="2"/>
    </font>
    <font>
      <b/>
      <sz val="8"/>
      <color rgb="FF0070C0"/>
      <name val="Arial Narrow"/>
      <family val="2"/>
    </font>
    <font>
      <b/>
      <sz val="8"/>
      <color theme="4" tint="-0.249977111117893"/>
      <name val="Arial Narrow"/>
      <family val="2"/>
    </font>
    <font>
      <b/>
      <sz val="7"/>
      <color rgb="FFFF0000"/>
      <name val="Arial Narrow"/>
      <family val="2"/>
    </font>
    <font>
      <u/>
      <sz val="9"/>
      <color rgb="FFFF0000"/>
      <name val="Arial"/>
      <family val="2"/>
    </font>
    <font>
      <u/>
      <sz val="8"/>
      <color rgb="FFFF000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b/>
      <i/>
      <sz val="9"/>
      <name val="Arial"/>
      <family val="2"/>
    </font>
    <font>
      <u/>
      <sz val="7"/>
      <color indexed="12"/>
      <name val="Arial"/>
      <family val="2"/>
    </font>
    <font>
      <u/>
      <sz val="9"/>
      <color indexed="12"/>
      <name val="Arial"/>
      <family val="2"/>
    </font>
    <font>
      <b/>
      <sz val="8"/>
      <color theme="0"/>
      <name val="Arial Narrow"/>
      <family val="2"/>
    </font>
    <font>
      <b/>
      <sz val="8"/>
      <color theme="3" tint="0.79998168889431442"/>
      <name val="Arial Narrow"/>
      <family val="2"/>
    </font>
    <font>
      <sz val="8"/>
      <color indexed="30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79998168889431442"/>
        <bgColor indexed="9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CFF99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7" fontId="1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</cellStyleXfs>
  <cellXfs count="1209">
    <xf numFmtId="0" fontId="0" fillId="0" borderId="0" xfId="0"/>
    <xf numFmtId="0" fontId="0" fillId="0" borderId="0" xfId="0" applyBorder="1"/>
    <xf numFmtId="0" fontId="0" fillId="0" borderId="1" xfId="0" applyBorder="1"/>
    <xf numFmtId="0" fontId="0" fillId="2" borderId="0" xfId="0" applyFill="1"/>
    <xf numFmtId="0" fontId="0" fillId="2" borderId="0" xfId="0" applyFill="1" applyBorder="1"/>
    <xf numFmtId="0" fontId="0" fillId="0" borderId="0" xfId="0" applyAlignment="1">
      <alignment horizontal="left"/>
    </xf>
    <xf numFmtId="0" fontId="0" fillId="0" borderId="0" xfId="0" applyAlignment="1">
      <alignment vertical="center"/>
    </xf>
    <xf numFmtId="0" fontId="0" fillId="2" borderId="0" xfId="0" applyFill="1" applyAlignment="1">
      <alignment horizontal="left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right"/>
    </xf>
    <xf numFmtId="0" fontId="13" fillId="2" borderId="0" xfId="0" applyFont="1" applyFill="1" applyAlignment="1">
      <alignment horizontal="right"/>
    </xf>
    <xf numFmtId="0" fontId="15" fillId="2" borderId="0" xfId="0" applyFont="1" applyFill="1" applyBorder="1" applyAlignment="1">
      <alignment vertical="center"/>
    </xf>
    <xf numFmtId="0" fontId="0" fillId="2" borderId="0" xfId="0" applyFill="1" applyBorder="1" applyAlignment="1"/>
    <xf numFmtId="0" fontId="0" fillId="2" borderId="0" xfId="0" applyFill="1" applyBorder="1" applyAlignment="1">
      <alignment horizontal="left"/>
    </xf>
    <xf numFmtId="2" fontId="2" fillId="2" borderId="0" xfId="0" applyNumberFormat="1" applyFont="1" applyFill="1" applyBorder="1" applyAlignment="1">
      <alignment horizontal="center"/>
    </xf>
    <xf numFmtId="0" fontId="11" fillId="2" borderId="0" xfId="0" applyFont="1" applyFill="1" applyBorder="1" applyAlignment="1">
      <alignment horizontal="center"/>
    </xf>
    <xf numFmtId="2" fontId="6" fillId="2" borderId="0" xfId="0" applyNumberFormat="1" applyFont="1" applyFill="1" applyBorder="1" applyAlignment="1"/>
    <xf numFmtId="0" fontId="0" fillId="0" borderId="3" xfId="0" applyBorder="1"/>
    <xf numFmtId="0" fontId="20" fillId="2" borderId="0" xfId="0" applyFont="1" applyFill="1" applyAlignment="1">
      <alignment horizontal="right"/>
    </xf>
    <xf numFmtId="0" fontId="20" fillId="2" borderId="0" xfId="0" applyFont="1" applyFill="1" applyBorder="1" applyAlignment="1">
      <alignment horizontal="right"/>
    </xf>
    <xf numFmtId="0" fontId="22" fillId="2" borderId="0" xfId="0" applyFont="1" applyFill="1" applyAlignment="1">
      <alignment horizontal="right" vertical="center"/>
    </xf>
    <xf numFmtId="0" fontId="23" fillId="2" borderId="0" xfId="0" applyFont="1" applyFill="1" applyAlignment="1">
      <alignment horizontal="right"/>
    </xf>
    <xf numFmtId="2" fontId="0" fillId="2" borderId="0" xfId="0" applyNumberFormat="1" applyFill="1" applyBorder="1"/>
    <xf numFmtId="2" fontId="0" fillId="2" borderId="0" xfId="0" applyNumberFormat="1" applyFill="1"/>
    <xf numFmtId="2" fontId="2" fillId="2" borderId="0" xfId="0" applyNumberFormat="1" applyFont="1" applyFill="1" applyBorder="1" applyAlignment="1">
      <alignment horizontal="center" vertical="center"/>
    </xf>
    <xf numFmtId="0" fontId="32" fillId="2" borderId="0" xfId="0" applyFont="1" applyFill="1"/>
    <xf numFmtId="0" fontId="25" fillId="2" borderId="0" xfId="0" applyFont="1" applyFill="1" applyBorder="1" applyAlignment="1">
      <alignment horizontal="center" vertical="center" wrapText="1"/>
    </xf>
    <xf numFmtId="0" fontId="27" fillId="2" borderId="0" xfId="0" applyFont="1" applyFill="1" applyBorder="1" applyAlignment="1">
      <alignment horizontal="center" vertical="center" wrapText="1"/>
    </xf>
    <xf numFmtId="0" fontId="33" fillId="2" borderId="0" xfId="0" applyFont="1" applyFill="1" applyBorder="1" applyAlignment="1">
      <alignment horizontal="center" vertical="center"/>
    </xf>
    <xf numFmtId="166" fontId="12" fillId="2" borderId="3" xfId="2" applyNumberFormat="1" applyFill="1" applyBorder="1" applyAlignment="1" applyProtection="1">
      <alignment horizontal="center"/>
    </xf>
    <xf numFmtId="0" fontId="0" fillId="2" borderId="0" xfId="0" applyFill="1" applyAlignment="1">
      <alignment horizontal="center"/>
    </xf>
    <xf numFmtId="0" fontId="18" fillId="0" borderId="3" xfId="0" applyNumberFormat="1" applyFont="1" applyBorder="1" applyAlignment="1">
      <alignment horizontal="center"/>
    </xf>
    <xf numFmtId="166" fontId="12" fillId="2" borderId="3" xfId="2" applyNumberFormat="1" applyFill="1" applyBorder="1" applyAlignment="1" applyProtection="1">
      <alignment horizontal="center" vertical="center"/>
    </xf>
    <xf numFmtId="0" fontId="38" fillId="2" borderId="0" xfId="0" applyFont="1" applyFill="1"/>
    <xf numFmtId="0" fontId="40" fillId="2" borderId="0" xfId="0" applyFont="1" applyFill="1" applyAlignment="1">
      <alignment wrapText="1"/>
    </xf>
    <xf numFmtId="166" fontId="12" fillId="2" borderId="5" xfId="2" applyNumberFormat="1" applyFill="1" applyBorder="1" applyAlignment="1" applyProtection="1">
      <alignment horizontal="center"/>
    </xf>
    <xf numFmtId="166" fontId="0" fillId="0" borderId="3" xfId="0" applyNumberFormat="1" applyBorder="1" applyAlignment="1">
      <alignment horizontal="center" vertical="center"/>
    </xf>
    <xf numFmtId="0" fontId="18" fillId="2" borderId="0" xfId="0" applyFont="1" applyFill="1"/>
    <xf numFmtId="1" fontId="5" fillId="3" borderId="0" xfId="0" applyNumberFormat="1" applyFont="1" applyFill="1"/>
    <xf numFmtId="2" fontId="0" fillId="2" borderId="0" xfId="0" applyNumberFormat="1" applyFill="1" applyAlignment="1">
      <alignment horizontal="center"/>
    </xf>
    <xf numFmtId="166" fontId="12" fillId="2" borderId="0" xfId="2" applyNumberFormat="1" applyFill="1" applyBorder="1" applyAlignment="1" applyProtection="1">
      <alignment horizontal="center" vertical="center"/>
    </xf>
    <xf numFmtId="0" fontId="0" fillId="2" borderId="0" xfId="0" applyFill="1" applyBorder="1" applyAlignment="1">
      <alignment horizontal="left" vertical="center" wrapText="1"/>
    </xf>
    <xf numFmtId="164" fontId="4" fillId="2" borderId="3" xfId="0" applyNumberFormat="1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 wrapText="1"/>
    </xf>
    <xf numFmtId="164" fontId="4" fillId="2" borderId="5" xfId="0" applyNumberFormat="1" applyFont="1" applyFill="1" applyBorder="1" applyAlignment="1">
      <alignment horizontal="center" vertical="center"/>
    </xf>
    <xf numFmtId="0" fontId="24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14" fillId="2" borderId="0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left" vertical="center" wrapText="1"/>
    </xf>
    <xf numFmtId="2" fontId="28" fillId="2" borderId="0" xfId="0" applyNumberFormat="1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center" vertical="center"/>
    </xf>
    <xf numFmtId="165" fontId="4" fillId="2" borderId="0" xfId="0" applyNumberFormat="1" applyFont="1" applyFill="1" applyBorder="1" applyAlignment="1">
      <alignment horizontal="center" vertical="center" wrapText="1"/>
    </xf>
    <xf numFmtId="165" fontId="4" fillId="2" borderId="0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left"/>
    </xf>
    <xf numFmtId="0" fontId="5" fillId="2" borderId="0" xfId="0" applyFont="1" applyFill="1" applyBorder="1" applyAlignment="1">
      <alignment horizontal="left" vertical="center"/>
    </xf>
    <xf numFmtId="0" fontId="0" fillId="2" borderId="0" xfId="0" applyFill="1" applyBorder="1" applyAlignment="1">
      <alignment vertical="center"/>
    </xf>
    <xf numFmtId="0" fontId="57" fillId="2" borderId="0" xfId="0" applyFont="1" applyFill="1" applyAlignment="1">
      <alignment horizontal="right" vertical="center"/>
    </xf>
    <xf numFmtId="2" fontId="4" fillId="2" borderId="0" xfId="0" applyNumberFormat="1" applyFont="1" applyFill="1" applyBorder="1" applyAlignment="1">
      <alignment horizontal="center"/>
    </xf>
    <xf numFmtId="2" fontId="59" fillId="2" borderId="0" xfId="0" applyNumberFormat="1" applyFont="1" applyFill="1" applyBorder="1" applyAlignment="1">
      <alignment horizontal="center"/>
    </xf>
    <xf numFmtId="0" fontId="29" fillId="2" borderId="0" xfId="0" applyFont="1" applyFill="1" applyBorder="1" applyAlignment="1">
      <alignment horizontal="center" vertical="center" wrapText="1"/>
    </xf>
    <xf numFmtId="0" fontId="60" fillId="2" borderId="0" xfId="0" applyFont="1" applyFill="1"/>
    <xf numFmtId="0" fontId="0" fillId="5" borderId="0" xfId="0" applyFill="1" applyBorder="1" applyAlignment="1">
      <alignment wrapText="1"/>
    </xf>
    <xf numFmtId="2" fontId="4" fillId="5" borderId="0" xfId="0" applyNumberFormat="1" applyFont="1" applyFill="1" applyBorder="1" applyAlignment="1">
      <alignment horizontal="center" vertical="center"/>
    </xf>
    <xf numFmtId="0" fontId="68" fillId="2" borderId="0" xfId="0" applyFont="1" applyFill="1"/>
    <xf numFmtId="0" fontId="0" fillId="5" borderId="0" xfId="0" applyFill="1"/>
    <xf numFmtId="2" fontId="0" fillId="5" borderId="0" xfId="0" applyNumberFormat="1" applyFill="1" applyBorder="1"/>
    <xf numFmtId="0" fontId="0" fillId="5" borderId="0" xfId="0" applyFill="1" applyBorder="1" applyAlignment="1"/>
    <xf numFmtId="0" fontId="14" fillId="6" borderId="2" xfId="0" applyFont="1" applyFill="1" applyBorder="1" applyAlignment="1">
      <alignment horizontal="center" vertical="center" wrapText="1"/>
    </xf>
    <xf numFmtId="0" fontId="5" fillId="6" borderId="11" xfId="0" applyFont="1" applyFill="1" applyBorder="1" applyAlignment="1">
      <alignment horizontal="center" vertical="center"/>
    </xf>
    <xf numFmtId="165" fontId="4" fillId="6" borderId="2" xfId="0" applyNumberFormat="1" applyFont="1" applyFill="1" applyBorder="1" applyAlignment="1">
      <alignment horizontal="center" vertical="center" wrapText="1"/>
    </xf>
    <xf numFmtId="2" fontId="4" fillId="5" borderId="3" xfId="0" applyNumberFormat="1" applyFont="1" applyFill="1" applyBorder="1" applyAlignment="1">
      <alignment horizontal="center" vertical="center"/>
    </xf>
    <xf numFmtId="0" fontId="70" fillId="2" borderId="0" xfId="0" applyFont="1" applyFill="1"/>
    <xf numFmtId="0" fontId="71" fillId="2" borderId="0" xfId="0" applyFont="1" applyFill="1"/>
    <xf numFmtId="2" fontId="70" fillId="2" borderId="0" xfId="0" applyNumberFormat="1" applyFont="1" applyFill="1"/>
    <xf numFmtId="0" fontId="0" fillId="5" borderId="0" xfId="0" applyFill="1" applyBorder="1"/>
    <xf numFmtId="0" fontId="31" fillId="2" borderId="0" xfId="0" applyFont="1" applyFill="1"/>
    <xf numFmtId="2" fontId="7" fillId="5" borderId="0" xfId="0" applyNumberFormat="1" applyFont="1" applyFill="1" applyBorder="1" applyAlignment="1">
      <alignment horizontal="right" vertical="center" wrapText="1"/>
    </xf>
    <xf numFmtId="0" fontId="4" fillId="5" borderId="0" xfId="0" applyFont="1" applyFill="1" applyBorder="1" applyAlignment="1">
      <alignment horizontal="right" vertical="center" wrapText="1"/>
    </xf>
    <xf numFmtId="0" fontId="7" fillId="5" borderId="0" xfId="0" applyFont="1" applyFill="1" applyBorder="1" applyAlignment="1">
      <alignment horizontal="center" vertical="center"/>
    </xf>
    <xf numFmtId="2" fontId="4" fillId="5" borderId="0" xfId="0" applyNumberFormat="1" applyFont="1" applyFill="1" applyBorder="1" applyAlignment="1">
      <alignment horizontal="center" vertical="top"/>
    </xf>
    <xf numFmtId="0" fontId="0" fillId="5" borderId="0" xfId="0" applyFill="1" applyBorder="1" applyAlignment="1">
      <alignment horizontal="center" vertical="center"/>
    </xf>
    <xf numFmtId="2" fontId="4" fillId="7" borderId="2" xfId="0" applyNumberFormat="1" applyFont="1" applyFill="1" applyBorder="1" applyAlignment="1">
      <alignment horizontal="center" vertical="center"/>
    </xf>
    <xf numFmtId="0" fontId="43" fillId="7" borderId="12" xfId="0" applyFont="1" applyFill="1" applyBorder="1" applyAlignment="1">
      <alignment horizontal="center" vertical="center"/>
    </xf>
    <xf numFmtId="2" fontId="4" fillId="7" borderId="12" xfId="0" applyNumberFormat="1" applyFont="1" applyFill="1" applyBorder="1" applyAlignment="1">
      <alignment horizontal="center" vertical="center"/>
    </xf>
    <xf numFmtId="0" fontId="43" fillId="7" borderId="2" xfId="0" applyFont="1" applyFill="1" applyBorder="1" applyAlignment="1">
      <alignment horizontal="center" vertical="center"/>
    </xf>
    <xf numFmtId="2" fontId="4" fillId="5" borderId="5" xfId="0" applyNumberFormat="1" applyFont="1" applyFill="1" applyBorder="1" applyAlignment="1">
      <alignment horizontal="center" vertical="center"/>
    </xf>
    <xf numFmtId="0" fontId="72" fillId="2" borderId="0" xfId="0" applyFont="1" applyFill="1"/>
    <xf numFmtId="2" fontId="67" fillId="5" borderId="0" xfId="0" applyNumberFormat="1" applyFont="1" applyFill="1" applyBorder="1" applyAlignment="1">
      <alignment horizontal="center" vertical="center"/>
    </xf>
    <xf numFmtId="2" fontId="4" fillId="8" borderId="3" xfId="0" applyNumberFormat="1" applyFont="1" applyFill="1" applyBorder="1" applyAlignment="1">
      <alignment horizontal="center" vertical="center"/>
    </xf>
    <xf numFmtId="2" fontId="4" fillId="8" borderId="5" xfId="0" applyNumberFormat="1" applyFont="1" applyFill="1" applyBorder="1" applyAlignment="1">
      <alignment horizontal="center" vertical="center"/>
    </xf>
    <xf numFmtId="2" fontId="4" fillId="8" borderId="11" xfId="0" applyNumberFormat="1" applyFont="1" applyFill="1" applyBorder="1" applyAlignment="1">
      <alignment horizontal="center" vertical="center"/>
    </xf>
    <xf numFmtId="2" fontId="67" fillId="5" borderId="3" xfId="0" applyNumberFormat="1" applyFont="1" applyFill="1" applyBorder="1" applyAlignment="1">
      <alignment horizontal="center" vertical="center"/>
    </xf>
    <xf numFmtId="2" fontId="62" fillId="8" borderId="3" xfId="0" applyNumberFormat="1" applyFont="1" applyFill="1" applyBorder="1" applyAlignment="1">
      <alignment horizontal="center" vertical="center"/>
    </xf>
    <xf numFmtId="2" fontId="62" fillId="8" borderId="8" xfId="0" applyNumberFormat="1" applyFont="1" applyFill="1" applyBorder="1" applyAlignment="1">
      <alignment horizontal="center" vertical="center"/>
    </xf>
    <xf numFmtId="2" fontId="62" fillId="8" borderId="7" xfId="0" applyNumberFormat="1" applyFont="1" applyFill="1" applyBorder="1" applyAlignment="1">
      <alignment horizontal="center" vertical="center"/>
    </xf>
    <xf numFmtId="2" fontId="62" fillId="5" borderId="8" xfId="0" applyNumberFormat="1" applyFont="1" applyFill="1" applyBorder="1" applyAlignment="1">
      <alignment horizontal="center" vertical="center"/>
    </xf>
    <xf numFmtId="0" fontId="20" fillId="5" borderId="0" xfId="0" applyFont="1" applyFill="1" applyAlignment="1">
      <alignment horizontal="right"/>
    </xf>
    <xf numFmtId="0" fontId="70" fillId="5" borderId="0" xfId="0" applyFont="1" applyFill="1" applyAlignment="1"/>
    <xf numFmtId="0" fontId="68" fillId="2" borderId="0" xfId="0" applyFont="1" applyFill="1" applyBorder="1"/>
    <xf numFmtId="2" fontId="73" fillId="8" borderId="3" xfId="0" applyNumberFormat="1" applyFont="1" applyFill="1" applyBorder="1" applyAlignment="1">
      <alignment horizontal="center" vertical="center"/>
    </xf>
    <xf numFmtId="0" fontId="63" fillId="5" borderId="3" xfId="0" applyFont="1" applyFill="1" applyBorder="1"/>
    <xf numFmtId="2" fontId="62" fillId="8" borderId="5" xfId="0" applyNumberFormat="1" applyFont="1" applyFill="1" applyBorder="1" applyAlignment="1">
      <alignment horizontal="center" vertical="center"/>
    </xf>
    <xf numFmtId="2" fontId="62" fillId="5" borderId="5" xfId="0" applyNumberFormat="1" applyFont="1" applyFill="1" applyBorder="1" applyAlignment="1">
      <alignment horizontal="center" vertical="center"/>
    </xf>
    <xf numFmtId="0" fontId="64" fillId="5" borderId="0" xfId="0" applyFont="1" applyFill="1" applyAlignment="1">
      <alignment horizontal="center" vertical="center"/>
    </xf>
    <xf numFmtId="0" fontId="63" fillId="8" borderId="3" xfId="0" applyFont="1" applyFill="1" applyBorder="1"/>
    <xf numFmtId="2" fontId="61" fillId="5" borderId="3" xfId="0" applyNumberFormat="1" applyFont="1" applyFill="1" applyBorder="1" applyAlignment="1">
      <alignment horizontal="center" vertical="center"/>
    </xf>
    <xf numFmtId="166" fontId="12" fillId="2" borderId="0" xfId="2" applyNumberFormat="1" applyFill="1" applyBorder="1" applyAlignment="1" applyProtection="1">
      <alignment horizontal="center"/>
    </xf>
    <xf numFmtId="0" fontId="5" fillId="5" borderId="0" xfId="0" applyFont="1" applyFill="1" applyBorder="1" applyAlignment="1"/>
    <xf numFmtId="2" fontId="34" fillId="5" borderId="0" xfId="0" applyNumberFormat="1" applyFont="1" applyFill="1" applyBorder="1" applyAlignment="1">
      <alignment horizontal="center" vertical="center" wrapText="1"/>
    </xf>
    <xf numFmtId="0" fontId="35" fillId="5" borderId="0" xfId="0" applyFont="1" applyFill="1" applyBorder="1" applyAlignment="1">
      <alignment horizontal="center" vertical="center" wrapText="1"/>
    </xf>
    <xf numFmtId="0" fontId="45" fillId="5" borderId="0" xfId="0" applyFont="1" applyFill="1" applyBorder="1" applyAlignment="1">
      <alignment horizontal="center" vertical="center" wrapText="1"/>
    </xf>
    <xf numFmtId="2" fontId="62" fillId="5" borderId="7" xfId="0" applyNumberFormat="1" applyFont="1" applyFill="1" applyBorder="1" applyAlignment="1">
      <alignment horizontal="center" vertical="center"/>
    </xf>
    <xf numFmtId="2" fontId="4" fillId="8" borderId="9" xfId="0" applyNumberFormat="1" applyFont="1" applyFill="1" applyBorder="1" applyAlignment="1">
      <alignment horizontal="center" vertical="center"/>
    </xf>
    <xf numFmtId="2" fontId="62" fillId="5" borderId="3" xfId="3" applyNumberFormat="1" applyFont="1" applyFill="1" applyBorder="1" applyAlignment="1">
      <alignment horizontal="center" vertical="center"/>
    </xf>
    <xf numFmtId="2" fontId="62" fillId="8" borderId="3" xfId="3" applyNumberFormat="1" applyFont="1" applyFill="1" applyBorder="1" applyAlignment="1">
      <alignment horizontal="center" vertical="center"/>
    </xf>
    <xf numFmtId="2" fontId="62" fillId="5" borderId="11" xfId="0" applyNumberFormat="1" applyFont="1" applyFill="1" applyBorder="1" applyAlignment="1">
      <alignment horizontal="center" vertical="center"/>
    </xf>
    <xf numFmtId="2" fontId="62" fillId="5" borderId="0" xfId="0" applyNumberFormat="1" applyFont="1" applyFill="1" applyBorder="1" applyAlignment="1">
      <alignment horizontal="center" vertical="center"/>
    </xf>
    <xf numFmtId="2" fontId="62" fillId="5" borderId="15" xfId="0" applyNumberFormat="1" applyFont="1" applyFill="1" applyBorder="1" applyAlignment="1">
      <alignment horizontal="center" vertical="center"/>
    </xf>
    <xf numFmtId="2" fontId="62" fillId="8" borderId="15" xfId="0" applyNumberFormat="1" applyFont="1" applyFill="1" applyBorder="1" applyAlignment="1">
      <alignment horizontal="center" vertical="center"/>
    </xf>
    <xf numFmtId="2" fontId="65" fillId="8" borderId="3" xfId="0" applyNumberFormat="1" applyFont="1" applyFill="1" applyBorder="1" applyAlignment="1">
      <alignment horizontal="center" vertical="center"/>
    </xf>
    <xf numFmtId="2" fontId="65" fillId="5" borderId="3" xfId="0" applyNumberFormat="1" applyFont="1" applyFill="1" applyBorder="1" applyAlignment="1">
      <alignment horizontal="center" vertical="center"/>
    </xf>
    <xf numFmtId="2" fontId="41" fillId="5" borderId="3" xfId="0" applyNumberFormat="1" applyFont="1" applyFill="1" applyBorder="1" applyAlignment="1">
      <alignment horizontal="center" vertical="center"/>
    </xf>
    <xf numFmtId="2" fontId="41" fillId="8" borderId="3" xfId="0" applyNumberFormat="1" applyFont="1" applyFill="1" applyBorder="1" applyAlignment="1">
      <alignment horizontal="center" vertical="center"/>
    </xf>
    <xf numFmtId="2" fontId="4" fillId="8" borderId="4" xfId="0" applyNumberFormat="1" applyFont="1" applyFill="1" applyBorder="1" applyAlignment="1">
      <alignment horizontal="center" vertical="center"/>
    </xf>
    <xf numFmtId="0" fontId="68" fillId="5" borderId="0" xfId="0" applyFont="1" applyFill="1" applyAlignment="1">
      <alignment horizontal="right"/>
    </xf>
    <xf numFmtId="0" fontId="68" fillId="2" borderId="0" xfId="0" applyFont="1" applyFill="1" applyAlignment="1">
      <alignment horizontal="right"/>
    </xf>
    <xf numFmtId="2" fontId="4" fillId="5" borderId="11" xfId="0" applyNumberFormat="1" applyFont="1" applyFill="1" applyBorder="1" applyAlignment="1">
      <alignment horizontal="center" vertical="center"/>
    </xf>
    <xf numFmtId="0" fontId="18" fillId="2" borderId="0" xfId="0" applyFont="1" applyFill="1" applyBorder="1"/>
    <xf numFmtId="2" fontId="73" fillId="5" borderId="0" xfId="0" applyNumberFormat="1" applyFont="1" applyFill="1" applyBorder="1" applyAlignment="1">
      <alignment horizontal="center" vertical="center"/>
    </xf>
    <xf numFmtId="0" fontId="2" fillId="10" borderId="0" xfId="0" applyFont="1" applyFill="1"/>
    <xf numFmtId="0" fontId="0" fillId="10" borderId="0" xfId="0" applyFill="1"/>
    <xf numFmtId="0" fontId="69" fillId="10" borderId="0" xfId="0" applyFont="1" applyFill="1"/>
    <xf numFmtId="0" fontId="0" fillId="10" borderId="12" xfId="0" applyFill="1" applyBorder="1"/>
    <xf numFmtId="0" fontId="18" fillId="10" borderId="0" xfId="0" applyFont="1" applyFill="1"/>
    <xf numFmtId="0" fontId="0" fillId="10" borderId="0" xfId="0" applyFill="1" applyBorder="1"/>
    <xf numFmtId="2" fontId="0" fillId="10" borderId="0" xfId="0" applyNumberFormat="1" applyFill="1"/>
    <xf numFmtId="0" fontId="0" fillId="10" borderId="0" xfId="0" applyFill="1" applyBorder="1" applyAlignment="1"/>
    <xf numFmtId="0" fontId="0" fillId="10" borderId="22" xfId="0" applyFill="1" applyBorder="1"/>
    <xf numFmtId="2" fontId="0" fillId="10" borderId="0" xfId="0" applyNumberFormat="1" applyFill="1" applyBorder="1"/>
    <xf numFmtId="0" fontId="26" fillId="10" borderId="0" xfId="0" applyFont="1" applyFill="1" applyBorder="1"/>
    <xf numFmtId="4" fontId="0" fillId="10" borderId="0" xfId="0" applyNumberFormat="1" applyFill="1" applyBorder="1"/>
    <xf numFmtId="4" fontId="0" fillId="10" borderId="22" xfId="0" applyNumberFormat="1" applyFill="1" applyBorder="1"/>
    <xf numFmtId="0" fontId="26" fillId="10" borderId="12" xfId="0" applyFont="1" applyFill="1" applyBorder="1"/>
    <xf numFmtId="4" fontId="0" fillId="10" borderId="12" xfId="0" applyNumberFormat="1" applyFill="1" applyBorder="1"/>
    <xf numFmtId="4" fontId="0" fillId="10" borderId="9" xfId="0" applyNumberFormat="1" applyFill="1" applyBorder="1"/>
    <xf numFmtId="0" fontId="26" fillId="10" borderId="0" xfId="0" applyFont="1" applyFill="1"/>
    <xf numFmtId="0" fontId="11" fillId="10" borderId="0" xfId="0" applyFont="1" applyFill="1"/>
    <xf numFmtId="4" fontId="0" fillId="10" borderId="0" xfId="0" applyNumberFormat="1" applyFill="1"/>
    <xf numFmtId="0" fontId="76" fillId="10" borderId="0" xfId="0" applyFont="1" applyFill="1"/>
    <xf numFmtId="0" fontId="76" fillId="10" borderId="0" xfId="0" applyFont="1" applyFill="1" applyBorder="1"/>
    <xf numFmtId="0" fontId="68" fillId="10" borderId="0" xfId="0" applyFont="1" applyFill="1"/>
    <xf numFmtId="0" fontId="68" fillId="10" borderId="0" xfId="0" applyFont="1" applyFill="1" applyBorder="1"/>
    <xf numFmtId="0" fontId="68" fillId="10" borderId="22" xfId="0" applyFont="1" applyFill="1" applyBorder="1"/>
    <xf numFmtId="0" fontId="10" fillId="10" borderId="0" xfId="0" applyFont="1" applyFill="1"/>
    <xf numFmtId="0" fontId="0" fillId="10" borderId="0" xfId="0" applyFill="1" applyBorder="1" applyAlignment="1">
      <alignment horizontal="center" vertical="center" wrapText="1"/>
    </xf>
    <xf numFmtId="0" fontId="52" fillId="10" borderId="0" xfId="0" applyFont="1" applyFill="1"/>
    <xf numFmtId="0" fontId="77" fillId="10" borderId="1" xfId="0" applyFont="1" applyFill="1" applyBorder="1" applyAlignment="1">
      <alignment horizontal="center" vertical="center"/>
    </xf>
    <xf numFmtId="0" fontId="68" fillId="10" borderId="0" xfId="0" applyFont="1" applyFill="1" applyBorder="1" applyAlignment="1">
      <alignment horizontal="center" vertical="center"/>
    </xf>
    <xf numFmtId="0" fontId="68" fillId="10" borderId="22" xfId="0" applyFont="1" applyFill="1" applyBorder="1" applyAlignment="1">
      <alignment horizontal="center" vertical="center"/>
    </xf>
    <xf numFmtId="2" fontId="68" fillId="10" borderId="0" xfId="0" applyNumberFormat="1" applyFont="1" applyFill="1"/>
    <xf numFmtId="0" fontId="77" fillId="10" borderId="0" xfId="0" applyFont="1" applyFill="1"/>
    <xf numFmtId="0" fontId="0" fillId="10" borderId="1" xfId="0" applyFill="1" applyBorder="1"/>
    <xf numFmtId="2" fontId="18" fillId="10" borderId="1" xfId="0" applyNumberFormat="1" applyFont="1" applyFill="1" applyBorder="1"/>
    <xf numFmtId="2" fontId="0" fillId="10" borderId="1" xfId="0" applyNumberFormat="1" applyFill="1" applyBorder="1"/>
    <xf numFmtId="0" fontId="26" fillId="10" borderId="1" xfId="0" applyFont="1" applyFill="1" applyBorder="1"/>
    <xf numFmtId="0" fontId="0" fillId="10" borderId="0" xfId="0" applyFill="1" applyAlignment="1"/>
    <xf numFmtId="0" fontId="0" fillId="10" borderId="22" xfId="0" applyFill="1" applyBorder="1" applyAlignment="1"/>
    <xf numFmtId="0" fontId="2" fillId="10" borderId="0" xfId="0" applyFont="1" applyFill="1" applyBorder="1" applyAlignment="1">
      <alignment horizontal="center" vertical="center" wrapText="1"/>
    </xf>
    <xf numFmtId="0" fontId="10" fillId="7" borderId="2" xfId="0" applyFont="1" applyFill="1" applyBorder="1" applyAlignment="1">
      <alignment horizontal="left" vertical="center"/>
    </xf>
    <xf numFmtId="0" fontId="39" fillId="2" borderId="0" xfId="0" applyFont="1" applyFill="1"/>
    <xf numFmtId="2" fontId="7" fillId="2" borderId="0" xfId="0" applyNumberFormat="1" applyFont="1" applyFill="1" applyBorder="1" applyAlignment="1">
      <alignment horizontal="center"/>
    </xf>
    <xf numFmtId="0" fontId="43" fillId="10" borderId="0" xfId="0" applyFont="1" applyFill="1"/>
    <xf numFmtId="0" fontId="43" fillId="10" borderId="0" xfId="0" applyFont="1" applyFill="1" applyBorder="1"/>
    <xf numFmtId="0" fontId="11" fillId="10" borderId="0" xfId="0" applyFont="1" applyFill="1" applyBorder="1"/>
    <xf numFmtId="0" fontId="6" fillId="2" borderId="0" xfId="0" applyFont="1" applyFill="1" applyBorder="1" applyAlignment="1">
      <alignment horizontal="left" vertical="center" wrapText="1"/>
    </xf>
    <xf numFmtId="0" fontId="53" fillId="0" borderId="0" xfId="2" applyFont="1" applyAlignment="1" applyProtection="1"/>
    <xf numFmtId="0" fontId="2" fillId="10" borderId="1" xfId="0" applyFont="1" applyFill="1" applyBorder="1" applyAlignment="1"/>
    <xf numFmtId="0" fontId="2" fillId="10" borderId="0" xfId="0" applyFont="1" applyFill="1" applyBorder="1" applyAlignment="1"/>
    <xf numFmtId="0" fontId="2" fillId="10" borderId="22" xfId="0" applyFont="1" applyFill="1" applyBorder="1" applyAlignment="1"/>
    <xf numFmtId="0" fontId="2" fillId="10" borderId="0" xfId="0" applyFont="1" applyFill="1" applyAlignment="1"/>
    <xf numFmtId="0" fontId="69" fillId="10" borderId="1" xfId="0" applyFont="1" applyFill="1" applyBorder="1" applyAlignment="1">
      <alignment vertical="center"/>
    </xf>
    <xf numFmtId="0" fontId="69" fillId="10" borderId="0" xfId="0" applyFont="1" applyFill="1" applyBorder="1" applyAlignment="1">
      <alignment vertical="center"/>
    </xf>
    <xf numFmtId="0" fontId="69" fillId="10" borderId="22" xfId="0" applyFont="1" applyFill="1" applyBorder="1" applyAlignment="1">
      <alignment vertical="center"/>
    </xf>
    <xf numFmtId="0" fontId="69" fillId="10" borderId="0" xfId="0" applyFont="1" applyFill="1" applyAlignment="1">
      <alignment vertical="center"/>
    </xf>
    <xf numFmtId="0" fontId="10" fillId="10" borderId="0" xfId="0" applyFont="1" applyFill="1" applyBorder="1" applyAlignment="1"/>
    <xf numFmtId="0" fontId="10" fillId="10" borderId="0" xfId="0" applyFont="1" applyFill="1" applyAlignment="1"/>
    <xf numFmtId="0" fontId="6" fillId="5" borderId="0" xfId="0" applyFont="1" applyFill="1" applyBorder="1" applyAlignment="1">
      <alignment horizontal="center" vertical="center" wrapText="1"/>
    </xf>
    <xf numFmtId="0" fontId="21" fillId="5" borderId="0" xfId="0" applyFont="1" applyFill="1" applyAlignment="1">
      <alignment horizontal="right"/>
    </xf>
    <xf numFmtId="2" fontId="69" fillId="10" borderId="0" xfId="0" applyNumberFormat="1" applyFont="1" applyFill="1" applyBorder="1" applyAlignment="1">
      <alignment horizontal="center" vertical="center"/>
    </xf>
    <xf numFmtId="0" fontId="2" fillId="10" borderId="0" xfId="0" applyFont="1" applyFill="1" applyAlignment="1"/>
    <xf numFmtId="0" fontId="2" fillId="10" borderId="0" xfId="0" applyFont="1" applyFill="1" applyBorder="1" applyAlignment="1"/>
    <xf numFmtId="0" fontId="2" fillId="10" borderId="0" xfId="0" applyFont="1" applyFill="1" applyBorder="1" applyAlignment="1"/>
    <xf numFmtId="0" fontId="2" fillId="10" borderId="0" xfId="0" applyFont="1" applyFill="1" applyAlignment="1"/>
    <xf numFmtId="0" fontId="2" fillId="10" borderId="22" xfId="0" applyFont="1" applyFill="1" applyBorder="1" applyAlignment="1"/>
    <xf numFmtId="0" fontId="2" fillId="10" borderId="0" xfId="0" applyFont="1" applyFill="1" applyAlignment="1"/>
    <xf numFmtId="166" fontId="82" fillId="2" borderId="3" xfId="2" applyNumberFormat="1" applyFont="1" applyFill="1" applyBorder="1" applyAlignment="1" applyProtection="1">
      <alignment horizontal="center"/>
    </xf>
    <xf numFmtId="0" fontId="10" fillId="5" borderId="11" xfId="0" applyFont="1" applyFill="1" applyBorder="1" applyAlignment="1">
      <alignment horizontal="left" vertical="center"/>
    </xf>
    <xf numFmtId="0" fontId="43" fillId="7" borderId="18" xfId="0" applyFont="1" applyFill="1" applyBorder="1" applyAlignment="1">
      <alignment horizontal="center" vertical="center"/>
    </xf>
    <xf numFmtId="2" fontId="62" fillId="7" borderId="4" xfId="0" applyNumberFormat="1" applyFont="1" applyFill="1" applyBorder="1" applyAlignment="1">
      <alignment horizontal="center" vertical="center"/>
    </xf>
    <xf numFmtId="0" fontId="43" fillId="7" borderId="11" xfId="0" applyFont="1" applyFill="1" applyBorder="1" applyAlignment="1">
      <alignment horizontal="center" vertical="center"/>
    </xf>
    <xf numFmtId="0" fontId="0" fillId="5" borderId="0" xfId="0" applyFill="1" applyBorder="1" applyAlignment="1">
      <alignment horizontal="center" vertical="center" wrapText="1"/>
    </xf>
    <xf numFmtId="0" fontId="79" fillId="5" borderId="0" xfId="2" applyFont="1" applyFill="1" applyBorder="1" applyAlignment="1" applyProtection="1">
      <alignment horizontal="center" vertical="center" wrapText="1"/>
    </xf>
    <xf numFmtId="0" fontId="18" fillId="5" borderId="0" xfId="0" applyFont="1" applyFill="1" applyBorder="1" applyAlignment="1"/>
    <xf numFmtId="0" fontId="26" fillId="5" borderId="0" xfId="0" applyFont="1" applyFill="1" applyBorder="1"/>
    <xf numFmtId="4" fontId="0" fillId="5" borderId="0" xfId="0" applyNumberFormat="1" applyFill="1" applyBorder="1"/>
    <xf numFmtId="166" fontId="12" fillId="5" borderId="0" xfId="2" applyNumberFormat="1" applyFill="1" applyBorder="1" applyAlignment="1" applyProtection="1">
      <alignment horizontal="center" vertical="center"/>
    </xf>
    <xf numFmtId="0" fontId="0" fillId="5" borderId="0" xfId="0" applyFill="1" applyAlignment="1">
      <alignment horizontal="right"/>
    </xf>
    <xf numFmtId="0" fontId="11" fillId="5" borderId="0" xfId="0" applyFont="1" applyFill="1" applyBorder="1" applyAlignment="1">
      <alignment horizontal="center" vertical="center"/>
    </xf>
    <xf numFmtId="0" fontId="85" fillId="5" borderId="0" xfId="0" applyFont="1" applyFill="1" applyBorder="1" applyAlignment="1">
      <alignment horizontal="center" vertical="center" wrapText="1"/>
    </xf>
    <xf numFmtId="0" fontId="79" fillId="5" borderId="0" xfId="0" applyFont="1" applyFill="1" applyBorder="1" applyAlignment="1">
      <alignment horizontal="center" vertical="center"/>
    </xf>
    <xf numFmtId="0" fontId="84" fillId="5" borderId="0" xfId="0" applyFont="1" applyFill="1" applyBorder="1" applyAlignment="1">
      <alignment horizontal="center" vertical="center" wrapText="1"/>
    </xf>
    <xf numFmtId="2" fontId="65" fillId="5" borderId="7" xfId="0" applyNumberFormat="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wrapText="1"/>
    </xf>
    <xf numFmtId="0" fontId="3" fillId="5" borderId="0" xfId="0" applyFont="1" applyFill="1" applyBorder="1" applyAlignment="1">
      <alignment wrapText="1"/>
    </xf>
    <xf numFmtId="2" fontId="62" fillId="5" borderId="4" xfId="0" applyNumberFormat="1" applyFont="1" applyFill="1" applyBorder="1" applyAlignment="1">
      <alignment horizontal="center" vertical="center"/>
    </xf>
    <xf numFmtId="0" fontId="69" fillId="10" borderId="0" xfId="0" applyFont="1" applyFill="1" applyBorder="1" applyAlignment="1"/>
    <xf numFmtId="0" fontId="2" fillId="10" borderId="0" xfId="0" applyFont="1" applyFill="1" applyBorder="1" applyAlignment="1"/>
    <xf numFmtId="0" fontId="2" fillId="10" borderId="22" xfId="0" applyFont="1" applyFill="1" applyBorder="1" applyAlignment="1"/>
    <xf numFmtId="0" fontId="2" fillId="10" borderId="0" xfId="0" applyFont="1" applyFill="1" applyAlignment="1"/>
    <xf numFmtId="0" fontId="69" fillId="10" borderId="1" xfId="0" applyFont="1" applyFill="1" applyBorder="1" applyAlignment="1">
      <alignment vertical="center"/>
    </xf>
    <xf numFmtId="0" fontId="69" fillId="10" borderId="22" xfId="0" applyFont="1" applyFill="1" applyBorder="1" applyAlignment="1">
      <alignment vertical="center"/>
    </xf>
    <xf numFmtId="0" fontId="69" fillId="10" borderId="0" xfId="0" applyFont="1" applyFill="1" applyAlignment="1">
      <alignment vertical="center"/>
    </xf>
    <xf numFmtId="0" fontId="2" fillId="10" borderId="0" xfId="0" applyFont="1" applyFill="1" applyAlignment="1"/>
    <xf numFmtId="0" fontId="2" fillId="10" borderId="0" xfId="0" applyFont="1" applyFill="1" applyBorder="1" applyAlignment="1"/>
    <xf numFmtId="0" fontId="2" fillId="10" borderId="0" xfId="0" applyFont="1" applyFill="1" applyBorder="1" applyAlignment="1"/>
    <xf numFmtId="0" fontId="2" fillId="10" borderId="0" xfId="0" applyFont="1" applyFill="1" applyAlignment="1"/>
    <xf numFmtId="0" fontId="2" fillId="10" borderId="0" xfId="0" applyFont="1" applyFill="1" applyBorder="1" applyAlignment="1"/>
    <xf numFmtId="0" fontId="2" fillId="10" borderId="0" xfId="0" applyFont="1" applyFill="1" applyAlignment="1"/>
    <xf numFmtId="0" fontId="2" fillId="10" borderId="0" xfId="0" applyFont="1" applyFill="1" applyBorder="1" applyAlignment="1"/>
    <xf numFmtId="0" fontId="2" fillId="10" borderId="0" xfId="0" applyFont="1" applyFill="1" applyAlignment="1"/>
    <xf numFmtId="0" fontId="9" fillId="5" borderId="0" xfId="0" applyFont="1" applyFill="1"/>
    <xf numFmtId="0" fontId="98" fillId="2" borderId="0" xfId="0" applyFont="1" applyFill="1"/>
    <xf numFmtId="2" fontId="5" fillId="5" borderId="0" xfId="0" applyNumberFormat="1" applyFont="1" applyFill="1" applyBorder="1" applyAlignment="1">
      <alignment wrapText="1"/>
    </xf>
    <xf numFmtId="0" fontId="2" fillId="5" borderId="0" xfId="0" applyFont="1" applyFill="1" applyBorder="1" applyAlignment="1"/>
    <xf numFmtId="0" fontId="2" fillId="5" borderId="0" xfId="0" applyFont="1" applyFill="1" applyAlignment="1"/>
    <xf numFmtId="0" fontId="2" fillId="10" borderId="0" xfId="0" applyFont="1" applyFill="1" applyBorder="1" applyAlignment="1"/>
    <xf numFmtId="0" fontId="0" fillId="5" borderId="0" xfId="0" applyFill="1" applyAlignment="1">
      <alignment horizontal="center" vertical="center"/>
    </xf>
    <xf numFmtId="2" fontId="62" fillId="5" borderId="3" xfId="0" applyNumberFormat="1" applyFont="1" applyFill="1" applyBorder="1" applyAlignment="1">
      <alignment horizontal="center" vertical="center"/>
    </xf>
    <xf numFmtId="0" fontId="6" fillId="5" borderId="0" xfId="0" applyFont="1" applyFill="1" applyBorder="1" applyAlignment="1">
      <alignment horizontal="center" vertical="center" wrapText="1"/>
    </xf>
    <xf numFmtId="0" fontId="0" fillId="5" borderId="0" xfId="0" applyFill="1" applyBorder="1" applyAlignment="1"/>
    <xf numFmtId="0" fontId="2" fillId="10" borderId="0" xfId="0" applyFont="1" applyFill="1" applyAlignment="1"/>
    <xf numFmtId="0" fontId="2" fillId="10" borderId="22" xfId="0" applyFont="1" applyFill="1" applyBorder="1" applyAlignment="1"/>
    <xf numFmtId="0" fontId="2" fillId="10" borderId="1" xfId="0" applyFont="1" applyFill="1" applyBorder="1" applyAlignment="1"/>
    <xf numFmtId="0" fontId="68" fillId="5" borderId="0" xfId="0" applyFont="1" applyFill="1"/>
    <xf numFmtId="0" fontId="2" fillId="10" borderId="0" xfId="0" applyFont="1" applyFill="1" applyBorder="1" applyAlignment="1"/>
    <xf numFmtId="0" fontId="69" fillId="10" borderId="1" xfId="0" applyFont="1" applyFill="1" applyBorder="1" applyAlignment="1">
      <alignment vertical="center"/>
    </xf>
    <xf numFmtId="0" fontId="69" fillId="10" borderId="22" xfId="0" applyFont="1" applyFill="1" applyBorder="1" applyAlignment="1">
      <alignment vertical="center"/>
    </xf>
    <xf numFmtId="0" fontId="69" fillId="10" borderId="0" xfId="0" applyFont="1" applyFill="1" applyBorder="1" applyAlignment="1">
      <alignment vertical="center"/>
    </xf>
    <xf numFmtId="0" fontId="36" fillId="8" borderId="16" xfId="0" applyFont="1" applyFill="1" applyBorder="1" applyAlignment="1"/>
    <xf numFmtId="0" fontId="36" fillId="8" borderId="25" xfId="0" applyFont="1" applyFill="1" applyBorder="1" applyAlignment="1"/>
    <xf numFmtId="2" fontId="61" fillId="8" borderId="3" xfId="0" applyNumberFormat="1" applyFont="1" applyFill="1" applyBorder="1" applyAlignment="1">
      <alignment horizontal="center" vertical="center"/>
    </xf>
    <xf numFmtId="0" fontId="2" fillId="10" borderId="0" xfId="0" applyFont="1" applyFill="1" applyBorder="1" applyAlignment="1"/>
    <xf numFmtId="0" fontId="69" fillId="10" borderId="1" xfId="0" applyFont="1" applyFill="1" applyBorder="1" applyAlignment="1">
      <alignment vertical="center"/>
    </xf>
    <xf numFmtId="0" fontId="69" fillId="10" borderId="0" xfId="0" applyFont="1" applyFill="1" applyBorder="1" applyAlignment="1">
      <alignment vertical="center"/>
    </xf>
    <xf numFmtId="0" fontId="69" fillId="10" borderId="22" xfId="0" applyFont="1" applyFill="1" applyBorder="1" applyAlignment="1">
      <alignment vertical="center"/>
    </xf>
    <xf numFmtId="0" fontId="2" fillId="10" borderId="0" xfId="0" applyFont="1" applyFill="1" applyAlignment="1"/>
    <xf numFmtId="0" fontId="2" fillId="10" borderId="0" xfId="0" applyFont="1" applyFill="1" applyBorder="1" applyAlignment="1"/>
    <xf numFmtId="0" fontId="2" fillId="10" borderId="0" xfId="0" applyFont="1" applyFill="1" applyAlignment="1"/>
    <xf numFmtId="1" fontId="62" fillId="5" borderId="8" xfId="0" applyNumberFormat="1" applyFont="1" applyFill="1" applyBorder="1" applyAlignment="1">
      <alignment horizontal="center" vertical="center"/>
    </xf>
    <xf numFmtId="0" fontId="2" fillId="10" borderId="0" xfId="0" applyFont="1" applyFill="1" applyBorder="1" applyAlignment="1"/>
    <xf numFmtId="0" fontId="2" fillId="10" borderId="0" xfId="0" applyFont="1" applyFill="1" applyAlignment="1"/>
    <xf numFmtId="2" fontId="62" fillId="5" borderId="3" xfId="0" applyNumberFormat="1" applyFont="1" applyFill="1" applyBorder="1" applyAlignment="1">
      <alignment horizontal="center" vertical="center"/>
    </xf>
    <xf numFmtId="0" fontId="0" fillId="8" borderId="0" xfId="0" applyFill="1"/>
    <xf numFmtId="0" fontId="0" fillId="8" borderId="3" xfId="0" applyFill="1" applyBorder="1"/>
    <xf numFmtId="0" fontId="5" fillId="5" borderId="3" xfId="0" applyFont="1" applyFill="1" applyBorder="1" applyAlignment="1">
      <alignment horizontal="center" vertical="center"/>
    </xf>
    <xf numFmtId="0" fontId="0" fillId="5" borderId="3" xfId="0" applyFill="1" applyBorder="1"/>
    <xf numFmtId="2" fontId="62" fillId="5" borderId="3" xfId="0" applyNumberFormat="1" applyFont="1" applyFill="1" applyBorder="1" applyAlignment="1">
      <alignment horizontal="center" vertical="center"/>
    </xf>
    <xf numFmtId="0" fontId="10" fillId="5" borderId="16" xfId="0" applyFont="1" applyFill="1" applyBorder="1" applyAlignment="1">
      <alignment horizontal="left" vertical="center"/>
    </xf>
    <xf numFmtId="0" fontId="43" fillId="7" borderId="16" xfId="0" applyFont="1" applyFill="1" applyBorder="1" applyAlignment="1">
      <alignment horizontal="center" vertical="center"/>
    </xf>
    <xf numFmtId="0" fontId="43" fillId="7" borderId="25" xfId="0" applyFont="1" applyFill="1" applyBorder="1" applyAlignment="1">
      <alignment horizontal="center" vertical="center"/>
    </xf>
    <xf numFmtId="0" fontId="10" fillId="7" borderId="25" xfId="0" applyFont="1" applyFill="1" applyBorder="1" applyAlignment="1">
      <alignment horizontal="left" vertical="center"/>
    </xf>
    <xf numFmtId="2" fontId="4" fillId="7" borderId="25" xfId="0" applyNumberFormat="1" applyFont="1" applyFill="1" applyBorder="1" applyAlignment="1">
      <alignment horizontal="center" vertical="center"/>
    </xf>
    <xf numFmtId="2" fontId="62" fillId="7" borderId="19" xfId="0" applyNumberFormat="1" applyFont="1" applyFill="1" applyBorder="1" applyAlignment="1">
      <alignment horizontal="center" vertical="center"/>
    </xf>
    <xf numFmtId="2" fontId="62" fillId="7" borderId="9" xfId="0" applyNumberFormat="1" applyFont="1" applyFill="1" applyBorder="1" applyAlignment="1">
      <alignment horizontal="center" vertical="center"/>
    </xf>
    <xf numFmtId="2" fontId="5" fillId="5" borderId="3" xfId="0" applyNumberFormat="1" applyFont="1" applyFill="1" applyBorder="1"/>
    <xf numFmtId="0" fontId="43" fillId="8" borderId="3" xfId="0" applyFont="1" applyFill="1" applyBorder="1" applyAlignment="1">
      <alignment horizontal="center" vertical="center"/>
    </xf>
    <xf numFmtId="0" fontId="43" fillId="5" borderId="3" xfId="0" applyFont="1" applyFill="1" applyBorder="1" applyAlignment="1">
      <alignment horizontal="center" vertical="center"/>
    </xf>
    <xf numFmtId="0" fontId="43" fillId="7" borderId="1" xfId="0" applyFont="1" applyFill="1" applyBorder="1" applyAlignment="1">
      <alignment horizontal="center" vertical="center"/>
    </xf>
    <xf numFmtId="2" fontId="7" fillId="5" borderId="0" xfId="0" applyNumberFormat="1" applyFont="1" applyFill="1" applyBorder="1" applyAlignment="1">
      <alignment horizontal="center"/>
    </xf>
    <xf numFmtId="0" fontId="39" fillId="5" borderId="0" xfId="0" applyFont="1" applyFill="1" applyBorder="1"/>
    <xf numFmtId="0" fontId="0" fillId="8" borderId="3" xfId="0" applyFill="1" applyBorder="1" applyAlignment="1">
      <alignment horizontal="center" vertical="center" wrapText="1"/>
    </xf>
    <xf numFmtId="0" fontId="0" fillId="5" borderId="3" xfId="0" applyFill="1" applyBorder="1" applyAlignment="1">
      <alignment horizontal="center" vertical="center" wrapText="1"/>
    </xf>
    <xf numFmtId="2" fontId="10" fillId="8" borderId="3" xfId="0" applyNumberFormat="1" applyFont="1" applyFill="1" applyBorder="1" applyAlignment="1">
      <alignment horizontal="center" vertical="center" wrapText="1"/>
    </xf>
    <xf numFmtId="0" fontId="1" fillId="8" borderId="3" xfId="0" applyFont="1" applyFill="1" applyBorder="1"/>
    <xf numFmtId="0" fontId="1" fillId="5" borderId="3" xfId="0" applyFont="1" applyFill="1" applyBorder="1"/>
    <xf numFmtId="0" fontId="5" fillId="8" borderId="3" xfId="0" applyFont="1" applyFill="1" applyBorder="1"/>
    <xf numFmtId="0" fontId="5" fillId="0" borderId="3" xfId="0" applyFont="1" applyBorder="1"/>
    <xf numFmtId="2" fontId="62" fillId="5" borderId="3" xfId="0" applyNumberFormat="1" applyFont="1" applyFill="1" applyBorder="1" applyAlignment="1">
      <alignment horizontal="center" vertical="center"/>
    </xf>
    <xf numFmtId="0" fontId="0" fillId="8" borderId="3" xfId="0" applyFill="1" applyBorder="1" applyAlignment="1">
      <alignment horizontal="center" vertical="center" wrapText="1"/>
    </xf>
    <xf numFmtId="0" fontId="1" fillId="0" borderId="3" xfId="0" applyFont="1" applyBorder="1"/>
    <xf numFmtId="0" fontId="1" fillId="8" borderId="0" xfId="0" applyFont="1" applyFill="1"/>
    <xf numFmtId="1" fontId="62" fillId="5" borderId="3" xfId="0" applyNumberFormat="1" applyFont="1" applyFill="1" applyBorder="1" applyAlignment="1">
      <alignment horizontal="center" vertical="center"/>
    </xf>
    <xf numFmtId="1" fontId="62" fillId="8" borderId="3" xfId="0" applyNumberFormat="1" applyFont="1" applyFill="1" applyBorder="1" applyAlignment="1">
      <alignment horizontal="center" vertical="center"/>
    </xf>
    <xf numFmtId="1" fontId="62" fillId="5" borderId="7" xfId="0" applyNumberFormat="1" applyFont="1" applyFill="1" applyBorder="1" applyAlignment="1">
      <alignment horizontal="center" vertical="center"/>
    </xf>
    <xf numFmtId="1" fontId="62" fillId="8" borderId="7" xfId="0" applyNumberFormat="1" applyFont="1" applyFill="1" applyBorder="1" applyAlignment="1">
      <alignment horizontal="center" vertical="center"/>
    </xf>
    <xf numFmtId="2" fontId="4" fillId="5" borderId="9" xfId="0" applyNumberFormat="1" applyFont="1" applyFill="1" applyBorder="1" applyAlignment="1">
      <alignment horizontal="center" vertical="center"/>
    </xf>
    <xf numFmtId="0" fontId="1" fillId="8" borderId="11" xfId="0" applyFont="1" applyFill="1" applyBorder="1"/>
    <xf numFmtId="0" fontId="1" fillId="8" borderId="3" xfId="0" applyFont="1" applyFill="1" applyBorder="1" applyAlignment="1">
      <alignment vertical="center"/>
    </xf>
    <xf numFmtId="2" fontId="62" fillId="15" borderId="3" xfId="0" applyNumberFormat="1" applyFont="1" applyFill="1" applyBorder="1" applyAlignment="1">
      <alignment horizontal="center" vertical="center"/>
    </xf>
    <xf numFmtId="0" fontId="0" fillId="8" borderId="0" xfId="0" applyFill="1" applyBorder="1"/>
    <xf numFmtId="2" fontId="67" fillId="8" borderId="3" xfId="0" applyNumberFormat="1" applyFont="1" applyFill="1" applyBorder="1" applyAlignment="1">
      <alignment horizontal="center" vertical="center"/>
    </xf>
    <xf numFmtId="0" fontId="65" fillId="8" borderId="3" xfId="0" applyFont="1" applyFill="1" applyBorder="1"/>
    <xf numFmtId="0" fontId="65" fillId="5" borderId="3" xfId="0" applyFont="1" applyFill="1" applyBorder="1"/>
    <xf numFmtId="0" fontId="4" fillId="8" borderId="3" xfId="0" applyNumberFormat="1" applyFont="1" applyFill="1" applyBorder="1" applyAlignment="1">
      <alignment horizontal="center" vertical="center" wrapText="1"/>
    </xf>
    <xf numFmtId="0" fontId="4" fillId="5" borderId="3" xfId="0" applyNumberFormat="1" applyFont="1" applyFill="1" applyBorder="1" applyAlignment="1">
      <alignment horizontal="center" vertical="center" wrapText="1"/>
    </xf>
    <xf numFmtId="2" fontId="5" fillId="8" borderId="3" xfId="0" applyNumberFormat="1" applyFont="1" applyFill="1" applyBorder="1"/>
    <xf numFmtId="0" fontId="5" fillId="8" borderId="3" xfId="0" applyFont="1" applyFill="1" applyBorder="1" applyAlignment="1">
      <alignment horizontal="center" vertical="center"/>
    </xf>
    <xf numFmtId="2" fontId="62" fillId="8" borderId="19" xfId="0" applyNumberFormat="1" applyFont="1" applyFill="1" applyBorder="1" applyAlignment="1">
      <alignment horizontal="center" vertical="center"/>
    </xf>
    <xf numFmtId="2" fontId="6" fillId="8" borderId="2" xfId="0" applyNumberFormat="1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5" fillId="0" borderId="0" xfId="0" applyFont="1"/>
    <xf numFmtId="1" fontId="62" fillId="8" borderId="8" xfId="0" applyNumberFormat="1" applyFont="1" applyFill="1" applyBorder="1" applyAlignment="1">
      <alignment horizontal="center" vertical="center"/>
    </xf>
    <xf numFmtId="1" fontId="62" fillId="5" borderId="5" xfId="0" applyNumberFormat="1" applyFont="1" applyFill="1" applyBorder="1" applyAlignment="1">
      <alignment horizontal="center" vertical="center"/>
    </xf>
    <xf numFmtId="1" fontId="62" fillId="5" borderId="11" xfId="0" applyNumberFormat="1" applyFont="1" applyFill="1" applyBorder="1" applyAlignment="1">
      <alignment horizontal="center" vertical="center"/>
    </xf>
    <xf numFmtId="0" fontId="0" fillId="10" borderId="0" xfId="0" applyFill="1" applyBorder="1" applyAlignment="1">
      <alignment horizontal="center" vertical="center" wrapText="1"/>
    </xf>
    <xf numFmtId="2" fontId="62" fillId="5" borderId="3" xfId="0" applyNumberFormat="1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0" fontId="0" fillId="10" borderId="0" xfId="0" applyFill="1" applyBorder="1" applyAlignment="1">
      <alignment horizontal="center" vertical="center" wrapText="1"/>
    </xf>
    <xf numFmtId="1" fontId="62" fillId="8" borderId="14" xfId="0" applyNumberFormat="1" applyFont="1" applyFill="1" applyBorder="1" applyAlignment="1">
      <alignment horizontal="center" vertical="center"/>
    </xf>
    <xf numFmtId="1" fontId="62" fillId="5" borderId="14" xfId="0" applyNumberFormat="1" applyFont="1" applyFill="1" applyBorder="1" applyAlignment="1">
      <alignment horizontal="center" vertical="center"/>
    </xf>
    <xf numFmtId="0" fontId="2" fillId="10" borderId="0" xfId="0" applyFont="1" applyFill="1" applyBorder="1" applyAlignment="1"/>
    <xf numFmtId="0" fontId="2" fillId="10" borderId="0" xfId="0" applyFont="1" applyFill="1" applyAlignment="1"/>
    <xf numFmtId="0" fontId="0" fillId="5" borderId="0" xfId="0" applyFill="1" applyBorder="1" applyAlignment="1"/>
    <xf numFmtId="2" fontId="62" fillId="5" borderId="3" xfId="0" applyNumberFormat="1" applyFont="1" applyFill="1" applyBorder="1" applyAlignment="1">
      <alignment horizontal="center" vertical="center"/>
    </xf>
    <xf numFmtId="0" fontId="1" fillId="5" borderId="3" xfId="0" applyFont="1" applyFill="1" applyBorder="1" applyAlignment="1">
      <alignment vertical="center"/>
    </xf>
    <xf numFmtId="0" fontId="1" fillId="5" borderId="0" xfId="0" applyFont="1" applyFill="1"/>
    <xf numFmtId="1" fontId="62" fillId="8" borderId="5" xfId="0" applyNumberFormat="1" applyFont="1" applyFill="1" applyBorder="1" applyAlignment="1">
      <alignment horizontal="center" vertical="center"/>
    </xf>
    <xf numFmtId="2" fontId="62" fillId="8" borderId="3" xfId="0" applyNumberFormat="1" applyFont="1" applyFill="1" applyBorder="1" applyAlignment="1">
      <alignment horizontal="center" vertical="center"/>
    </xf>
    <xf numFmtId="0" fontId="5" fillId="5" borderId="3" xfId="0" applyFont="1" applyFill="1" applyBorder="1"/>
    <xf numFmtId="1" fontId="62" fillId="8" borderId="4" xfId="0" applyNumberFormat="1" applyFont="1" applyFill="1" applyBorder="1" applyAlignment="1">
      <alignment horizontal="center" vertical="center"/>
    </xf>
    <xf numFmtId="1" fontId="62" fillId="5" borderId="4" xfId="0" applyNumberFormat="1" applyFont="1" applyFill="1" applyBorder="1" applyAlignment="1">
      <alignment horizontal="center" vertical="center"/>
    </xf>
    <xf numFmtId="0" fontId="69" fillId="10" borderId="0" xfId="0" applyFont="1" applyFill="1" applyBorder="1" applyAlignment="1">
      <alignment vertical="center"/>
    </xf>
    <xf numFmtId="0" fontId="69" fillId="10" borderId="22" xfId="0" applyFont="1" applyFill="1" applyBorder="1" applyAlignment="1">
      <alignment vertical="center"/>
    </xf>
    <xf numFmtId="0" fontId="69" fillId="10" borderId="1" xfId="0" applyFont="1" applyFill="1" applyBorder="1" applyAlignment="1">
      <alignment vertical="center"/>
    </xf>
    <xf numFmtId="2" fontId="1" fillId="5" borderId="3" xfId="0" applyNumberFormat="1" applyFont="1" applyFill="1" applyBorder="1"/>
    <xf numFmtId="0" fontId="2" fillId="10" borderId="0" xfId="0" applyFont="1" applyFill="1" applyBorder="1" applyAlignment="1"/>
    <xf numFmtId="0" fontId="2" fillId="10" borderId="0" xfId="0" applyFont="1" applyFill="1" applyAlignment="1"/>
    <xf numFmtId="1" fontId="73" fillId="8" borderId="3" xfId="0" applyNumberFormat="1" applyFont="1" applyFill="1" applyBorder="1" applyAlignment="1">
      <alignment horizontal="center" vertical="center"/>
    </xf>
    <xf numFmtId="1" fontId="73" fillId="5" borderId="3" xfId="0" applyNumberFormat="1" applyFont="1" applyFill="1" applyBorder="1" applyAlignment="1">
      <alignment horizontal="center" vertical="center"/>
    </xf>
    <xf numFmtId="0" fontId="69" fillId="10" borderId="1" xfId="0" applyFont="1" applyFill="1" applyBorder="1" applyAlignment="1">
      <alignment vertical="center"/>
    </xf>
    <xf numFmtId="0" fontId="69" fillId="10" borderId="0" xfId="0" applyFont="1" applyFill="1" applyBorder="1" applyAlignment="1">
      <alignment vertical="center"/>
    </xf>
    <xf numFmtId="0" fontId="69" fillId="10" borderId="22" xfId="0" applyFont="1" applyFill="1" applyBorder="1" applyAlignment="1">
      <alignment vertical="center"/>
    </xf>
    <xf numFmtId="0" fontId="0" fillId="5" borderId="0" xfId="0" applyFill="1" applyBorder="1" applyAlignment="1"/>
    <xf numFmtId="1" fontId="62" fillId="5" borderId="0" xfId="0" applyNumberFormat="1" applyFont="1" applyFill="1" applyBorder="1" applyAlignment="1">
      <alignment horizontal="center" vertical="center"/>
    </xf>
    <xf numFmtId="0" fontId="69" fillId="10" borderId="1" xfId="0" applyFont="1" applyFill="1" applyBorder="1" applyAlignment="1">
      <alignment vertical="center"/>
    </xf>
    <xf numFmtId="0" fontId="69" fillId="10" borderId="0" xfId="0" applyFont="1" applyFill="1" applyBorder="1" applyAlignment="1">
      <alignment vertical="center"/>
    </xf>
    <xf numFmtId="0" fontId="69" fillId="10" borderId="22" xfId="0" applyFont="1" applyFill="1" applyBorder="1" applyAlignment="1">
      <alignment vertical="center"/>
    </xf>
    <xf numFmtId="1" fontId="62" fillId="5" borderId="18" xfId="0" applyNumberFormat="1" applyFont="1" applyFill="1" applyBorder="1" applyAlignment="1">
      <alignment horizontal="center" vertical="center"/>
    </xf>
    <xf numFmtId="1" fontId="62" fillId="8" borderId="11" xfId="0" applyNumberFormat="1" applyFont="1" applyFill="1" applyBorder="1" applyAlignment="1">
      <alignment horizontal="center" vertical="center"/>
    </xf>
    <xf numFmtId="1" fontId="0" fillId="2" borderId="0" xfId="0" applyNumberFormat="1" applyFill="1" applyBorder="1" applyAlignment="1">
      <alignment horizontal="center" vertical="center" wrapText="1"/>
    </xf>
    <xf numFmtId="1" fontId="0" fillId="8" borderId="3" xfId="0" applyNumberFormat="1" applyFill="1" applyBorder="1"/>
    <xf numFmtId="1" fontId="1" fillId="5" borderId="3" xfId="0" applyNumberFormat="1" applyFont="1" applyFill="1" applyBorder="1"/>
    <xf numFmtId="1" fontId="1" fillId="8" borderId="3" xfId="0" applyNumberFormat="1" applyFont="1" applyFill="1" applyBorder="1"/>
    <xf numFmtId="1" fontId="4" fillId="8" borderId="3" xfId="0" applyNumberFormat="1" applyFont="1" applyFill="1" applyBorder="1" applyAlignment="1">
      <alignment horizontal="center" vertical="center"/>
    </xf>
    <xf numFmtId="1" fontId="4" fillId="5" borderId="3" xfId="0" applyNumberFormat="1" applyFont="1" applyFill="1" applyBorder="1" applyAlignment="1">
      <alignment horizontal="center" vertical="center"/>
    </xf>
    <xf numFmtId="1" fontId="1" fillId="0" borderId="3" xfId="0" applyNumberFormat="1" applyFont="1" applyBorder="1"/>
    <xf numFmtId="1" fontId="62" fillId="8" borderId="10" xfId="0" applyNumberFormat="1" applyFont="1" applyFill="1" applyBorder="1" applyAlignment="1">
      <alignment horizontal="center" vertical="center"/>
    </xf>
    <xf numFmtId="1" fontId="0" fillId="5" borderId="3" xfId="0" applyNumberFormat="1" applyFill="1" applyBorder="1"/>
    <xf numFmtId="1" fontId="1" fillId="5" borderId="7" xfId="0" applyNumberFormat="1" applyFont="1" applyFill="1" applyBorder="1"/>
    <xf numFmtId="1" fontId="1" fillId="8" borderId="7" xfId="0" applyNumberFormat="1" applyFont="1" applyFill="1" applyBorder="1"/>
    <xf numFmtId="1" fontId="62" fillId="5" borderId="17" xfId="0" applyNumberFormat="1" applyFont="1" applyFill="1" applyBorder="1" applyAlignment="1">
      <alignment horizontal="center" vertical="center"/>
    </xf>
    <xf numFmtId="1" fontId="62" fillId="8" borderId="17" xfId="0" applyNumberFormat="1" applyFont="1" applyFill="1" applyBorder="1" applyAlignment="1">
      <alignment horizontal="center" vertical="center"/>
    </xf>
    <xf numFmtId="1" fontId="0" fillId="5" borderId="3" xfId="0" applyNumberFormat="1" applyFill="1" applyBorder="1" applyAlignment="1">
      <alignment horizontal="center" vertical="center"/>
    </xf>
    <xf numFmtId="1" fontId="0" fillId="8" borderId="3" xfId="0" applyNumberFormat="1" applyFill="1" applyBorder="1" applyAlignment="1">
      <alignment horizontal="center" vertical="center"/>
    </xf>
    <xf numFmtId="1" fontId="4" fillId="8" borderId="11" xfId="0" applyNumberFormat="1" applyFont="1" applyFill="1" applyBorder="1" applyAlignment="1">
      <alignment horizontal="center" vertical="center"/>
    </xf>
    <xf numFmtId="1" fontId="4" fillId="5" borderId="11" xfId="0" applyNumberFormat="1" applyFont="1" applyFill="1" applyBorder="1" applyAlignment="1">
      <alignment horizontal="center" vertical="center"/>
    </xf>
    <xf numFmtId="1" fontId="65" fillId="5" borderId="3" xfId="0" applyNumberFormat="1" applyFont="1" applyFill="1" applyBorder="1" applyAlignment="1">
      <alignment horizontal="center" vertical="center" wrapText="1"/>
    </xf>
    <xf numFmtId="1" fontId="65" fillId="8" borderId="3" xfId="0" applyNumberFormat="1" applyFont="1" applyFill="1" applyBorder="1" applyAlignment="1">
      <alignment horizontal="center" vertical="center" wrapText="1"/>
    </xf>
    <xf numFmtId="1" fontId="1" fillId="5" borderId="3" xfId="0" applyNumberFormat="1" applyFont="1" applyFill="1" applyBorder="1" applyAlignment="1">
      <alignment vertical="center"/>
    </xf>
    <xf numFmtId="1" fontId="1" fillId="8" borderId="3" xfId="0" applyNumberFormat="1" applyFont="1" applyFill="1" applyBorder="1" applyAlignment="1">
      <alignment vertical="center"/>
    </xf>
    <xf numFmtId="1" fontId="1" fillId="0" borderId="7" xfId="0" applyNumberFormat="1" applyFont="1" applyBorder="1"/>
    <xf numFmtId="1" fontId="62" fillId="8" borderId="9" xfId="0" applyNumberFormat="1" applyFont="1" applyFill="1" applyBorder="1" applyAlignment="1">
      <alignment horizontal="center" vertical="center"/>
    </xf>
    <xf numFmtId="168" fontId="74" fillId="5" borderId="8" xfId="0" applyNumberFormat="1" applyFont="1" applyFill="1" applyBorder="1" applyAlignment="1">
      <alignment horizontal="center" vertical="center"/>
    </xf>
    <xf numFmtId="168" fontId="4" fillId="6" borderId="3" xfId="0" applyNumberFormat="1" applyFont="1" applyFill="1" applyBorder="1" applyAlignment="1">
      <alignment horizontal="center" vertical="center"/>
    </xf>
    <xf numFmtId="168" fontId="62" fillId="8" borderId="3" xfId="0" applyNumberFormat="1" applyFont="1" applyFill="1" applyBorder="1" applyAlignment="1">
      <alignment horizontal="center" vertical="center"/>
    </xf>
    <xf numFmtId="168" fontId="62" fillId="8" borderId="7" xfId="0" applyNumberFormat="1" applyFont="1" applyFill="1" applyBorder="1" applyAlignment="1">
      <alignment horizontal="center" vertical="center"/>
    </xf>
    <xf numFmtId="168" fontId="62" fillId="5" borderId="3" xfId="0" applyNumberFormat="1" applyFont="1" applyFill="1" applyBorder="1" applyAlignment="1">
      <alignment horizontal="center" vertical="center"/>
    </xf>
    <xf numFmtId="168" fontId="62" fillId="8" borderId="8" xfId="0" applyNumberFormat="1" applyFont="1" applyFill="1" applyBorder="1" applyAlignment="1">
      <alignment horizontal="center" vertical="center"/>
    </xf>
    <xf numFmtId="0" fontId="3" fillId="13" borderId="25" xfId="0" applyNumberFormat="1" applyFont="1" applyFill="1" applyBorder="1" applyAlignment="1">
      <alignment horizontal="center" vertical="center" wrapText="1"/>
    </xf>
    <xf numFmtId="0" fontId="3" fillId="13" borderId="0" xfId="0" applyNumberFormat="1" applyFont="1" applyFill="1" applyBorder="1" applyAlignment="1">
      <alignment horizontal="center" vertical="center" wrapText="1"/>
    </xf>
    <xf numFmtId="0" fontId="3" fillId="13" borderId="12" xfId="0" applyNumberFormat="1" applyFont="1" applyFill="1" applyBorder="1" applyAlignment="1">
      <alignment horizontal="center" vertical="center" wrapText="1"/>
    </xf>
    <xf numFmtId="2" fontId="62" fillId="8" borderId="3" xfId="0" applyNumberFormat="1" applyFont="1" applyFill="1" applyBorder="1" applyAlignment="1">
      <alignment horizontal="center" vertical="center"/>
    </xf>
    <xf numFmtId="2" fontId="4" fillId="5" borderId="16" xfId="0" applyNumberFormat="1" applyFont="1" applyFill="1" applyBorder="1" applyAlignment="1">
      <alignment horizontal="center" vertical="center"/>
    </xf>
    <xf numFmtId="2" fontId="4" fillId="8" borderId="18" xfId="0" applyNumberFormat="1" applyFont="1" applyFill="1" applyBorder="1" applyAlignment="1">
      <alignment horizontal="center" vertical="center"/>
    </xf>
    <xf numFmtId="0" fontId="2" fillId="10" borderId="1" xfId="0" applyFont="1" applyFill="1" applyBorder="1" applyAlignment="1"/>
    <xf numFmtId="0" fontId="2" fillId="10" borderId="0" xfId="0" applyFont="1" applyFill="1" applyAlignment="1"/>
    <xf numFmtId="0" fontId="2" fillId="10" borderId="22" xfId="0" applyFont="1" applyFill="1" applyBorder="1" applyAlignment="1"/>
    <xf numFmtId="0" fontId="0" fillId="10" borderId="0" xfId="0" applyFill="1" applyBorder="1" applyAlignment="1">
      <alignment horizontal="center" vertical="center" wrapText="1"/>
    </xf>
    <xf numFmtId="2" fontId="62" fillId="8" borderId="3" xfId="0" applyNumberFormat="1" applyFont="1" applyFill="1" applyBorder="1" applyAlignment="1">
      <alignment horizontal="center" vertical="center"/>
    </xf>
    <xf numFmtId="1" fontId="62" fillId="8" borderId="37" xfId="0" applyNumberFormat="1" applyFont="1" applyFill="1" applyBorder="1" applyAlignment="1">
      <alignment horizontal="center" vertical="center"/>
    </xf>
    <xf numFmtId="1" fontId="109" fillId="5" borderId="3" xfId="0" applyNumberFormat="1" applyFont="1" applyFill="1" applyBorder="1" applyAlignment="1">
      <alignment horizontal="center" vertical="center"/>
    </xf>
    <xf numFmtId="1" fontId="109" fillId="8" borderId="3" xfId="0" applyNumberFormat="1" applyFont="1" applyFill="1" applyBorder="1" applyAlignment="1">
      <alignment horizontal="center" vertical="center"/>
    </xf>
    <xf numFmtId="1" fontId="109" fillId="8" borderId="4" xfId="0" applyNumberFormat="1" applyFont="1" applyFill="1" applyBorder="1" applyAlignment="1">
      <alignment horizontal="center" vertical="center"/>
    </xf>
    <xf numFmtId="1" fontId="109" fillId="5" borderId="4" xfId="0" applyNumberFormat="1" applyFont="1" applyFill="1" applyBorder="1" applyAlignment="1">
      <alignment horizontal="center" vertical="center"/>
    </xf>
    <xf numFmtId="1" fontId="109" fillId="8" borderId="5" xfId="0" applyNumberFormat="1" applyFont="1" applyFill="1" applyBorder="1" applyAlignment="1">
      <alignment horizontal="center" vertical="center"/>
    </xf>
    <xf numFmtId="1" fontId="109" fillId="5" borderId="5" xfId="0" applyNumberFormat="1" applyFont="1" applyFill="1" applyBorder="1" applyAlignment="1">
      <alignment horizontal="center" vertical="center"/>
    </xf>
    <xf numFmtId="1" fontId="109" fillId="8" borderId="7" xfId="0" applyNumberFormat="1" applyFont="1" applyFill="1" applyBorder="1" applyAlignment="1">
      <alignment horizontal="center" vertical="center"/>
    </xf>
    <xf numFmtId="0" fontId="68" fillId="8" borderId="3" xfId="0" applyFont="1" applyFill="1" applyBorder="1"/>
    <xf numFmtId="0" fontId="75" fillId="8" borderId="11" xfId="0" applyFont="1" applyFill="1" applyBorder="1" applyAlignment="1">
      <alignment horizontal="center" vertical="center"/>
    </xf>
    <xf numFmtId="2" fontId="62" fillId="8" borderId="3" xfId="0" applyNumberFormat="1" applyFont="1" applyFill="1" applyBorder="1" applyAlignment="1">
      <alignment horizontal="center" vertical="center"/>
    </xf>
    <xf numFmtId="2" fontId="62" fillId="8" borderId="9" xfId="0" applyNumberFormat="1" applyFont="1" applyFill="1" applyBorder="1" applyAlignment="1">
      <alignment horizontal="center" vertical="center"/>
    </xf>
    <xf numFmtId="0" fontId="65" fillId="5" borderId="3" xfId="0" applyFont="1" applyFill="1" applyBorder="1" applyAlignment="1">
      <alignment vertical="center"/>
    </xf>
    <xf numFmtId="0" fontId="65" fillId="8" borderId="3" xfId="0" applyFont="1" applyFill="1" applyBorder="1" applyAlignment="1">
      <alignment vertical="center"/>
    </xf>
    <xf numFmtId="0" fontId="5" fillId="8" borderId="11" xfId="0" applyFont="1" applyFill="1" applyBorder="1"/>
    <xf numFmtId="1" fontId="62" fillId="18" borderId="3" xfId="0" applyNumberFormat="1" applyFont="1" applyFill="1" applyBorder="1" applyAlignment="1">
      <alignment horizontal="center" vertical="center"/>
    </xf>
    <xf numFmtId="2" fontId="73" fillId="5" borderId="3" xfId="0" applyNumberFormat="1" applyFont="1" applyFill="1" applyBorder="1" applyAlignment="1">
      <alignment horizontal="center" vertical="center"/>
    </xf>
    <xf numFmtId="0" fontId="0" fillId="10" borderId="0" xfId="0" applyFill="1" applyBorder="1" applyAlignment="1">
      <alignment horizontal="center" vertical="center" wrapText="1"/>
    </xf>
    <xf numFmtId="168" fontId="1" fillId="8" borderId="3" xfId="0" applyNumberFormat="1" applyFont="1" applyFill="1" applyBorder="1"/>
    <xf numFmtId="2" fontId="4" fillId="15" borderId="3" xfId="0" applyNumberFormat="1" applyFont="1" applyFill="1" applyBorder="1" applyAlignment="1">
      <alignment horizontal="center" vertical="center"/>
    </xf>
    <xf numFmtId="168" fontId="1" fillId="5" borderId="3" xfId="0" applyNumberFormat="1" applyFont="1" applyFill="1" applyBorder="1"/>
    <xf numFmtId="2" fontId="4" fillId="19" borderId="3" xfId="0" applyNumberFormat="1" applyFont="1" applyFill="1" applyBorder="1" applyAlignment="1">
      <alignment horizontal="center" vertical="center"/>
    </xf>
    <xf numFmtId="2" fontId="62" fillId="19" borderId="7" xfId="0" applyNumberFormat="1" applyFont="1" applyFill="1" applyBorder="1" applyAlignment="1">
      <alignment horizontal="center" vertical="center"/>
    </xf>
    <xf numFmtId="168" fontId="62" fillId="5" borderId="7" xfId="0" applyNumberFormat="1" applyFont="1" applyFill="1" applyBorder="1" applyAlignment="1">
      <alignment horizontal="center" vertical="center"/>
    </xf>
    <xf numFmtId="2" fontId="62" fillId="19" borderId="3" xfId="0" applyNumberFormat="1" applyFont="1" applyFill="1" applyBorder="1" applyAlignment="1">
      <alignment horizontal="center" vertical="center"/>
    </xf>
    <xf numFmtId="168" fontId="62" fillId="5" borderId="8" xfId="0" applyNumberFormat="1" applyFont="1" applyFill="1" applyBorder="1" applyAlignment="1">
      <alignment horizontal="center" vertical="center"/>
    </xf>
    <xf numFmtId="2" fontId="4" fillId="5" borderId="4" xfId="0" applyNumberFormat="1" applyFont="1" applyFill="1" applyBorder="1" applyAlignment="1">
      <alignment horizontal="center" vertical="center"/>
    </xf>
    <xf numFmtId="2" fontId="4" fillId="8" borderId="22" xfId="0" applyNumberFormat="1" applyFont="1" applyFill="1" applyBorder="1" applyAlignment="1">
      <alignment horizontal="center" vertical="center"/>
    </xf>
    <xf numFmtId="1" fontId="62" fillId="8" borderId="15" xfId="0" applyNumberFormat="1" applyFont="1" applyFill="1" applyBorder="1" applyAlignment="1">
      <alignment horizontal="center" vertical="center"/>
    </xf>
    <xf numFmtId="166" fontId="82" fillId="2" borderId="3" xfId="2" applyNumberFormat="1" applyFont="1" applyFill="1" applyBorder="1" applyAlignment="1" applyProtection="1">
      <alignment horizontal="center" vertical="center"/>
    </xf>
    <xf numFmtId="166" fontId="82" fillId="2" borderId="5" xfId="2" applyNumberFormat="1" applyFont="1" applyFill="1" applyBorder="1" applyAlignment="1" applyProtection="1">
      <alignment horizontal="center"/>
    </xf>
    <xf numFmtId="166" fontId="112" fillId="2" borderId="5" xfId="2" applyNumberFormat="1" applyFont="1" applyFill="1" applyBorder="1" applyAlignment="1" applyProtection="1">
      <alignment horizontal="center"/>
    </xf>
    <xf numFmtId="166" fontId="113" fillId="2" borderId="5" xfId="2" applyNumberFormat="1" applyFont="1" applyFill="1" applyBorder="1" applyAlignment="1" applyProtection="1">
      <alignment horizontal="center"/>
    </xf>
    <xf numFmtId="0" fontId="82" fillId="2" borderId="3" xfId="2" applyFont="1" applyFill="1" applyBorder="1" applyAlignment="1" applyProtection="1">
      <alignment horizontal="center"/>
    </xf>
    <xf numFmtId="166" fontId="82" fillId="2" borderId="19" xfId="2" applyNumberFormat="1" applyFont="1" applyFill="1" applyBorder="1" applyAlignment="1" applyProtection="1">
      <alignment horizontal="center"/>
    </xf>
    <xf numFmtId="0" fontId="82" fillId="0" borderId="3" xfId="2" applyNumberFormat="1" applyFont="1" applyBorder="1" applyAlignment="1" applyProtection="1">
      <alignment horizontal="center"/>
    </xf>
    <xf numFmtId="0" fontId="68" fillId="2" borderId="3" xfId="0" applyFont="1" applyFill="1" applyBorder="1" applyAlignment="1">
      <alignment horizontal="center"/>
    </xf>
    <xf numFmtId="0" fontId="68" fillId="0" borderId="3" xfId="0" applyNumberFormat="1" applyFont="1" applyBorder="1" applyAlignment="1">
      <alignment horizontal="center"/>
    </xf>
    <xf numFmtId="0" fontId="82" fillId="0" borderId="3" xfId="2" applyFont="1" applyBorder="1" applyAlignment="1" applyProtection="1">
      <alignment horizontal="center"/>
    </xf>
    <xf numFmtId="0" fontId="82" fillId="2" borderId="7" xfId="2" applyFont="1" applyFill="1" applyBorder="1" applyAlignment="1" applyProtection="1">
      <alignment horizontal="center"/>
    </xf>
    <xf numFmtId="166" fontId="82" fillId="2" borderId="4" xfId="2" applyNumberFormat="1" applyFont="1" applyFill="1" applyBorder="1" applyAlignment="1" applyProtection="1">
      <alignment horizontal="center" vertical="center"/>
    </xf>
    <xf numFmtId="166" fontId="82" fillId="2" borderId="4" xfId="2" applyNumberFormat="1" applyFont="1" applyFill="1" applyBorder="1" applyAlignment="1" applyProtection="1">
      <alignment horizontal="center"/>
    </xf>
    <xf numFmtId="166" fontId="82" fillId="0" borderId="3" xfId="2" applyNumberFormat="1" applyFont="1" applyBorder="1" applyAlignment="1" applyProtection="1">
      <alignment horizontal="center"/>
    </xf>
    <xf numFmtId="166" fontId="82" fillId="2" borderId="5" xfId="2" applyNumberFormat="1" applyFont="1" applyFill="1" applyBorder="1" applyAlignment="1" applyProtection="1">
      <alignment horizontal="center" vertical="center"/>
    </xf>
    <xf numFmtId="166" fontId="68" fillId="2" borderId="4" xfId="0" applyNumberFormat="1" applyFont="1" applyFill="1" applyBorder="1" applyAlignment="1">
      <alignment horizontal="center"/>
    </xf>
    <xf numFmtId="166" fontId="68" fillId="2" borderId="3" xfId="0" applyNumberFormat="1" applyFont="1" applyFill="1" applyBorder="1" applyAlignment="1">
      <alignment horizontal="center"/>
    </xf>
    <xf numFmtId="166" fontId="82" fillId="5" borderId="3" xfId="2" applyNumberFormat="1" applyFont="1" applyFill="1" applyBorder="1" applyAlignment="1" applyProtection="1">
      <alignment horizontal="center"/>
    </xf>
    <xf numFmtId="166" fontId="68" fillId="5" borderId="3" xfId="0" applyNumberFormat="1" applyFont="1" applyFill="1" applyBorder="1" applyAlignment="1">
      <alignment horizontal="center"/>
    </xf>
    <xf numFmtId="49" fontId="82" fillId="2" borderId="3" xfId="2" applyNumberFormat="1" applyFont="1" applyFill="1" applyBorder="1" applyAlignment="1" applyProtection="1">
      <alignment horizontal="center"/>
    </xf>
    <xf numFmtId="49" fontId="82" fillId="2" borderId="5" xfId="2" applyNumberFormat="1" applyFont="1" applyFill="1" applyBorder="1" applyAlignment="1" applyProtection="1">
      <alignment horizontal="center"/>
    </xf>
    <xf numFmtId="0" fontId="2" fillId="10" borderId="0" xfId="0" applyFont="1" applyFill="1" applyBorder="1" applyAlignment="1"/>
    <xf numFmtId="0" fontId="2" fillId="10" borderId="0" xfId="0" applyFont="1" applyFill="1" applyBorder="1" applyAlignment="1"/>
    <xf numFmtId="0" fontId="0" fillId="5" borderId="0" xfId="0" applyFill="1" applyBorder="1" applyAlignment="1"/>
    <xf numFmtId="0" fontId="0" fillId="5" borderId="0" xfId="0" applyFill="1" applyBorder="1" applyAlignment="1">
      <alignment horizontal="center" vertical="center" wrapText="1"/>
    </xf>
    <xf numFmtId="168" fontId="74" fillId="5" borderId="3" xfId="0" applyNumberFormat="1" applyFont="1" applyFill="1" applyBorder="1" applyAlignment="1">
      <alignment horizontal="center" vertical="center" wrapText="1"/>
    </xf>
    <xf numFmtId="0" fontId="79" fillId="5" borderId="0" xfId="2" applyFont="1" applyFill="1" applyBorder="1" applyAlignment="1" applyProtection="1">
      <alignment horizontal="center" vertical="center" wrapText="1"/>
    </xf>
    <xf numFmtId="1" fontId="109" fillId="5" borderId="0" xfId="0" applyNumberFormat="1" applyFont="1" applyFill="1" applyBorder="1" applyAlignment="1">
      <alignment horizontal="center" vertical="center"/>
    </xf>
    <xf numFmtId="49" fontId="82" fillId="2" borderId="0" xfId="2" applyNumberFormat="1" applyFont="1" applyFill="1" applyBorder="1" applyAlignment="1" applyProtection="1">
      <alignment horizontal="center"/>
    </xf>
    <xf numFmtId="164" fontId="4" fillId="2" borderId="3" xfId="0" applyNumberFormat="1" applyFont="1" applyFill="1" applyBorder="1" applyAlignment="1">
      <alignment horizontal="center" vertical="center" wrapText="1"/>
    </xf>
    <xf numFmtId="168" fontId="74" fillId="5" borderId="3" xfId="0" applyNumberFormat="1" applyFont="1" applyFill="1" applyBorder="1" applyAlignment="1">
      <alignment horizontal="center" vertical="center"/>
    </xf>
    <xf numFmtId="2" fontId="41" fillId="8" borderId="7" xfId="0" applyNumberFormat="1" applyFont="1" applyFill="1" applyBorder="1" applyAlignment="1">
      <alignment horizontal="center" vertical="center"/>
    </xf>
    <xf numFmtId="2" fontId="62" fillId="8" borderId="3" xfId="0" applyNumberFormat="1" applyFont="1" applyFill="1" applyBorder="1" applyAlignment="1">
      <alignment horizontal="center" vertical="center"/>
    </xf>
    <xf numFmtId="0" fontId="2" fillId="10" borderId="1" xfId="0" applyFont="1" applyFill="1" applyBorder="1" applyAlignment="1"/>
    <xf numFmtId="0" fontId="2" fillId="10" borderId="0" xfId="0" applyFont="1" applyFill="1" applyAlignment="1"/>
    <xf numFmtId="0" fontId="2" fillId="10" borderId="22" xfId="0" applyFont="1" applyFill="1" applyBorder="1" applyAlignment="1"/>
    <xf numFmtId="0" fontId="2" fillId="10" borderId="0" xfId="0" applyFont="1" applyFill="1" applyAlignment="1"/>
    <xf numFmtId="0" fontId="2" fillId="10" borderId="22" xfId="0" applyFont="1" applyFill="1" applyBorder="1" applyAlignment="1"/>
    <xf numFmtId="0" fontId="2" fillId="10" borderId="0" xfId="0" applyFont="1" applyFill="1" applyBorder="1" applyAlignment="1"/>
    <xf numFmtId="0" fontId="2" fillId="10" borderId="1" xfId="0" applyFont="1" applyFill="1" applyBorder="1" applyAlignment="1"/>
    <xf numFmtId="0" fontId="2" fillId="10" borderId="0" xfId="0" applyFont="1" applyFill="1" applyAlignment="1"/>
    <xf numFmtId="0" fontId="2" fillId="10" borderId="22" xfId="0" applyFont="1" applyFill="1" applyBorder="1" applyAlignment="1"/>
    <xf numFmtId="2" fontId="62" fillId="8" borderId="3" xfId="0" applyNumberFormat="1" applyFont="1" applyFill="1" applyBorder="1" applyAlignment="1">
      <alignment horizontal="center" vertical="center"/>
    </xf>
    <xf numFmtId="2" fontId="5" fillId="5" borderId="5" xfId="0" applyNumberFormat="1" applyFont="1" applyFill="1" applyBorder="1" applyAlignment="1">
      <alignment horizontal="center" vertical="center"/>
    </xf>
    <xf numFmtId="2" fontId="5" fillId="8" borderId="5" xfId="0" applyNumberFormat="1" applyFont="1" applyFill="1" applyBorder="1" applyAlignment="1">
      <alignment horizontal="center" vertical="center"/>
    </xf>
    <xf numFmtId="0" fontId="2" fillId="10" borderId="0" xfId="0" applyFont="1" applyFill="1" applyBorder="1" applyAlignment="1"/>
    <xf numFmtId="0" fontId="2" fillId="10" borderId="0" xfId="0" applyFont="1" applyFill="1" applyAlignment="1"/>
    <xf numFmtId="0" fontId="2" fillId="10" borderId="0" xfId="0" applyFont="1" applyFill="1" applyAlignment="1"/>
    <xf numFmtId="0" fontId="2" fillId="10" borderId="0" xfId="0" applyFont="1" applyFill="1" applyBorder="1" applyAlignment="1"/>
    <xf numFmtId="0" fontId="2" fillId="10" borderId="1" xfId="0" applyFont="1" applyFill="1" applyBorder="1" applyAlignment="1"/>
    <xf numFmtId="0" fontId="2" fillId="10" borderId="0" xfId="0" applyFont="1" applyFill="1" applyAlignment="1"/>
    <xf numFmtId="0" fontId="2" fillId="10" borderId="22" xfId="0" applyFont="1" applyFill="1" applyBorder="1" applyAlignment="1"/>
    <xf numFmtId="0" fontId="2" fillId="10" borderId="0" xfId="0" applyFont="1" applyFill="1" applyAlignment="1"/>
    <xf numFmtId="0" fontId="2" fillId="10" borderId="0" xfId="0" applyFont="1" applyFill="1" applyBorder="1" applyAlignment="1"/>
    <xf numFmtId="1" fontId="62" fillId="5" borderId="10" xfId="0" applyNumberFormat="1" applyFont="1" applyFill="1" applyBorder="1" applyAlignment="1">
      <alignment horizontal="center" vertical="center"/>
    </xf>
    <xf numFmtId="0" fontId="2" fillId="10" borderId="0" xfId="0" applyFont="1" applyFill="1" applyBorder="1" applyAlignment="1"/>
    <xf numFmtId="166" fontId="82" fillId="2" borderId="9" xfId="2" applyNumberFormat="1" applyFont="1" applyFill="1" applyBorder="1" applyAlignment="1" applyProtection="1">
      <alignment horizontal="center"/>
    </xf>
    <xf numFmtId="0" fontId="2" fillId="10" borderId="0" xfId="0" applyFont="1" applyFill="1" applyBorder="1" applyAlignment="1"/>
    <xf numFmtId="2" fontId="62" fillId="8" borderId="3" xfId="0" applyNumberFormat="1" applyFont="1" applyFill="1" applyBorder="1" applyAlignment="1">
      <alignment horizontal="center" vertical="center"/>
    </xf>
    <xf numFmtId="2" fontId="62" fillId="8" borderId="11" xfId="0" applyNumberFormat="1" applyFont="1" applyFill="1" applyBorder="1" applyAlignment="1">
      <alignment horizontal="center" vertical="center"/>
    </xf>
    <xf numFmtId="1" fontId="109" fillId="5" borderId="11" xfId="0" applyNumberFormat="1" applyFont="1" applyFill="1" applyBorder="1" applyAlignment="1">
      <alignment horizontal="center" vertical="center"/>
    </xf>
    <xf numFmtId="1" fontId="109" fillId="8" borderId="11" xfId="0" applyNumberFormat="1" applyFont="1" applyFill="1" applyBorder="1" applyAlignment="1">
      <alignment horizontal="center" vertical="center"/>
    </xf>
    <xf numFmtId="0" fontId="0" fillId="2" borderId="3" xfId="0" applyFill="1" applyBorder="1"/>
    <xf numFmtId="0" fontId="2" fillId="5" borderId="3" xfId="0" applyFont="1" applyFill="1" applyBorder="1"/>
    <xf numFmtId="0" fontId="69" fillId="5" borderId="3" xfId="0" applyFont="1" applyFill="1" applyBorder="1" applyAlignment="1"/>
    <xf numFmtId="0" fontId="69" fillId="8" borderId="3" xfId="0" applyFont="1" applyFill="1" applyBorder="1" applyAlignment="1"/>
    <xf numFmtId="0" fontId="2" fillId="8" borderId="3" xfId="0" applyFont="1" applyFill="1" applyBorder="1"/>
    <xf numFmtId="1" fontId="73" fillId="5" borderId="7" xfId="0" applyNumberFormat="1" applyFont="1" applyFill="1" applyBorder="1" applyAlignment="1">
      <alignment horizontal="center" vertical="center"/>
    </xf>
    <xf numFmtId="0" fontId="2" fillId="10" borderId="0" xfId="0" applyFont="1" applyFill="1" applyBorder="1" applyAlignment="1"/>
    <xf numFmtId="2" fontId="62" fillId="8" borderId="3" xfId="0" applyNumberFormat="1" applyFont="1" applyFill="1" applyBorder="1" applyAlignment="1">
      <alignment horizontal="center" vertical="center"/>
    </xf>
    <xf numFmtId="0" fontId="0" fillId="10" borderId="0" xfId="0" applyFill="1" applyBorder="1" applyAlignment="1">
      <alignment horizontal="center" vertical="center" wrapText="1"/>
    </xf>
    <xf numFmtId="1" fontId="121" fillId="5" borderId="8" xfId="0" applyNumberFormat="1" applyFont="1" applyFill="1" applyBorder="1" applyAlignment="1">
      <alignment horizontal="center" vertical="center"/>
    </xf>
    <xf numFmtId="0" fontId="10" fillId="5" borderId="18" xfId="0" applyFont="1" applyFill="1" applyBorder="1" applyAlignment="1">
      <alignment horizontal="left" vertical="center"/>
    </xf>
    <xf numFmtId="2" fontId="62" fillId="8" borderId="3" xfId="0" applyNumberFormat="1" applyFont="1" applyFill="1" applyBorder="1" applyAlignment="1">
      <alignment horizontal="center" vertical="center"/>
    </xf>
    <xf numFmtId="1" fontId="62" fillId="5" borderId="40" xfId="0" applyNumberFormat="1" applyFont="1" applyFill="1" applyBorder="1" applyAlignment="1">
      <alignment horizontal="center" vertical="center"/>
    </xf>
    <xf numFmtId="1" fontId="62" fillId="5" borderId="21" xfId="0" applyNumberFormat="1" applyFont="1" applyFill="1" applyBorder="1" applyAlignment="1">
      <alignment horizontal="center" vertical="center"/>
    </xf>
    <xf numFmtId="2" fontId="62" fillId="5" borderId="2" xfId="0" applyNumberFormat="1" applyFont="1" applyFill="1" applyBorder="1" applyAlignment="1">
      <alignment horizontal="center" vertical="center"/>
    </xf>
    <xf numFmtId="2" fontId="62" fillId="8" borderId="12" xfId="0" applyNumberFormat="1" applyFont="1" applyFill="1" applyBorder="1" applyAlignment="1">
      <alignment horizontal="center" vertical="center"/>
    </xf>
    <xf numFmtId="2" fontId="1" fillId="8" borderId="3" xfId="0" applyNumberFormat="1" applyFont="1" applyFill="1" applyBorder="1"/>
    <xf numFmtId="0" fontId="1" fillId="8" borderId="19" xfId="0" applyFont="1" applyFill="1" applyBorder="1" applyAlignment="1">
      <alignment horizontal="center" vertical="center" wrapText="1"/>
    </xf>
    <xf numFmtId="0" fontId="0" fillId="5" borderId="0" xfId="0" applyFill="1" applyBorder="1" applyAlignment="1"/>
    <xf numFmtId="0" fontId="1" fillId="8" borderId="3" xfId="0" applyFont="1" applyFill="1" applyBorder="1" applyAlignment="1">
      <alignment horizontal="center" vertical="center" wrapText="1"/>
    </xf>
    <xf numFmtId="2" fontId="62" fillId="5" borderId="3" xfId="0" applyNumberFormat="1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 wrapText="1"/>
    </xf>
    <xf numFmtId="0" fontId="79" fillId="5" borderId="0" xfId="2" applyFont="1" applyFill="1" applyBorder="1" applyAlignment="1" applyProtection="1">
      <alignment horizontal="center" vertical="center" wrapText="1"/>
    </xf>
    <xf numFmtId="1" fontId="62" fillId="5" borderId="15" xfId="0" applyNumberFormat="1" applyFont="1" applyFill="1" applyBorder="1" applyAlignment="1">
      <alignment horizontal="center" vertical="center"/>
    </xf>
    <xf numFmtId="0" fontId="2" fillId="10" borderId="0" xfId="0" applyFont="1" applyFill="1" applyBorder="1" applyAlignment="1"/>
    <xf numFmtId="0" fontId="2" fillId="10" borderId="0" xfId="0" applyFont="1" applyFill="1" applyAlignment="1"/>
    <xf numFmtId="2" fontId="62" fillId="5" borderId="3" xfId="0" applyNumberFormat="1" applyFont="1" applyFill="1" applyBorder="1" applyAlignment="1">
      <alignment horizontal="center" vertical="center"/>
    </xf>
    <xf numFmtId="0" fontId="81" fillId="14" borderId="12" xfId="0" applyFont="1" applyFill="1" applyBorder="1"/>
    <xf numFmtId="0" fontId="79" fillId="14" borderId="3" xfId="0" applyFont="1" applyFill="1" applyBorder="1" applyAlignment="1">
      <alignment horizontal="center" vertical="center"/>
    </xf>
    <xf numFmtId="0" fontId="69" fillId="14" borderId="3" xfId="0" applyFont="1" applyFill="1" applyBorder="1" applyAlignment="1">
      <alignment horizontal="center" vertical="center"/>
    </xf>
    <xf numFmtId="2" fontId="46" fillId="14" borderId="3" xfId="0" applyNumberFormat="1" applyFont="1" applyFill="1" applyBorder="1" applyAlignment="1">
      <alignment horizontal="center" vertical="center"/>
    </xf>
    <xf numFmtId="2" fontId="79" fillId="14" borderId="3" xfId="0" applyNumberFormat="1" applyFont="1" applyFill="1" applyBorder="1" applyAlignment="1">
      <alignment horizontal="center" vertical="center"/>
    </xf>
    <xf numFmtId="2" fontId="58" fillId="11" borderId="7" xfId="0" applyNumberFormat="1" applyFont="1" applyFill="1" applyBorder="1" applyAlignment="1">
      <alignment horizontal="center" vertical="center" wrapText="1"/>
    </xf>
    <xf numFmtId="0" fontId="77" fillId="11" borderId="5" xfId="0" applyFont="1" applyFill="1" applyBorder="1" applyAlignment="1">
      <alignment horizontal="center" vertical="center" wrapText="1"/>
    </xf>
    <xf numFmtId="0" fontId="5" fillId="20" borderId="12" xfId="0" applyFont="1" applyFill="1" applyBorder="1" applyAlignment="1">
      <alignment horizontal="left" vertical="center"/>
    </xf>
    <xf numFmtId="0" fontId="5" fillId="20" borderId="9" xfId="0" applyFont="1" applyFill="1" applyBorder="1" applyAlignment="1">
      <alignment horizontal="left" vertical="center"/>
    </xf>
    <xf numFmtId="2" fontId="49" fillId="14" borderId="3" xfId="0" applyNumberFormat="1" applyFont="1" applyFill="1" applyBorder="1" applyAlignment="1">
      <alignment horizontal="center" vertical="center"/>
    </xf>
    <xf numFmtId="0" fontId="1" fillId="5" borderId="5" xfId="0" applyFont="1" applyFill="1" applyBorder="1"/>
    <xf numFmtId="0" fontId="69" fillId="14" borderId="12" xfId="0" applyFont="1" applyFill="1" applyBorder="1" applyAlignment="1">
      <alignment horizontal="center" vertical="center"/>
    </xf>
    <xf numFmtId="0" fontId="79" fillId="14" borderId="12" xfId="0" applyFont="1" applyFill="1" applyBorder="1" applyAlignment="1">
      <alignment horizontal="center" vertical="center"/>
    </xf>
    <xf numFmtId="0" fontId="79" fillId="14" borderId="9" xfId="0" applyFont="1" applyFill="1" applyBorder="1" applyAlignment="1">
      <alignment horizontal="center" vertical="center"/>
    </xf>
    <xf numFmtId="168" fontId="62" fillId="5" borderId="40" xfId="0" applyNumberFormat="1" applyFont="1" applyFill="1" applyBorder="1" applyAlignment="1">
      <alignment horizontal="center" vertical="center"/>
    </xf>
    <xf numFmtId="168" fontId="62" fillId="5" borderId="43" xfId="0" applyNumberFormat="1" applyFont="1" applyFill="1" applyBorder="1" applyAlignment="1">
      <alignment horizontal="center" vertical="center"/>
    </xf>
    <xf numFmtId="2" fontId="80" fillId="16" borderId="5" xfId="0" applyNumberFormat="1" applyFont="1" applyFill="1" applyBorder="1" applyAlignment="1">
      <alignment horizontal="center" vertical="center"/>
    </xf>
    <xf numFmtId="2" fontId="79" fillId="16" borderId="5" xfId="0" applyNumberFormat="1" applyFont="1" applyFill="1" applyBorder="1" applyAlignment="1">
      <alignment horizontal="center" vertical="center"/>
    </xf>
    <xf numFmtId="1" fontId="110" fillId="5" borderId="3" xfId="0" applyNumberFormat="1" applyFont="1" applyFill="1" applyBorder="1" applyAlignment="1">
      <alignment horizontal="center" vertical="center"/>
    </xf>
    <xf numFmtId="0" fontId="69" fillId="10" borderId="0" xfId="0" applyFont="1" applyFill="1" applyBorder="1" applyAlignment="1">
      <alignment vertical="center"/>
    </xf>
    <xf numFmtId="0" fontId="69" fillId="10" borderId="22" xfId="0" applyFont="1" applyFill="1" applyBorder="1" applyAlignment="1">
      <alignment vertical="center"/>
    </xf>
    <xf numFmtId="0" fontId="69" fillId="10" borderId="1" xfId="0" applyFont="1" applyFill="1" applyBorder="1" applyAlignment="1">
      <alignment vertical="center"/>
    </xf>
    <xf numFmtId="2" fontId="62" fillId="5" borderId="3" xfId="0" applyNumberFormat="1" applyFont="1" applyFill="1" applyBorder="1" applyAlignment="1">
      <alignment horizontal="center" vertical="center"/>
    </xf>
    <xf numFmtId="0" fontId="1" fillId="2" borderId="0" xfId="0" applyFont="1" applyFill="1" applyBorder="1"/>
    <xf numFmtId="0" fontId="0" fillId="5" borderId="5" xfId="0" applyFill="1" applyBorder="1"/>
    <xf numFmtId="2" fontId="6" fillId="5" borderId="12" xfId="0" applyNumberFormat="1" applyFont="1" applyFill="1" applyBorder="1" applyAlignment="1">
      <alignment horizontal="center" vertical="center" wrapText="1"/>
    </xf>
    <xf numFmtId="0" fontId="5" fillId="5" borderId="5" xfId="0" applyFont="1" applyFill="1" applyBorder="1"/>
    <xf numFmtId="2" fontId="6" fillId="5" borderId="2" xfId="0" applyNumberFormat="1" applyFont="1" applyFill="1" applyBorder="1" applyAlignment="1">
      <alignment horizontal="center" vertical="center" wrapText="1"/>
    </xf>
    <xf numFmtId="1" fontId="1" fillId="5" borderId="5" xfId="0" applyNumberFormat="1" applyFont="1" applyFill="1" applyBorder="1"/>
    <xf numFmtId="2" fontId="62" fillId="5" borderId="3" xfId="0" applyNumberFormat="1" applyFont="1" applyFill="1" applyBorder="1" applyAlignment="1">
      <alignment horizontal="center" vertical="center"/>
    </xf>
    <xf numFmtId="2" fontId="68" fillId="5" borderId="3" xfId="0" applyNumberFormat="1" applyFont="1" applyFill="1" applyBorder="1"/>
    <xf numFmtId="2" fontId="68" fillId="8" borderId="3" xfId="0" applyNumberFormat="1" applyFont="1" applyFill="1" applyBorder="1"/>
    <xf numFmtId="0" fontId="4" fillId="8" borderId="5" xfId="0" applyFont="1" applyFill="1" applyBorder="1" applyAlignment="1">
      <alignment horizontal="center" vertical="center"/>
    </xf>
    <xf numFmtId="2" fontId="62" fillId="8" borderId="4" xfId="0" applyNumberFormat="1" applyFont="1" applyFill="1" applyBorder="1" applyAlignment="1">
      <alignment horizontal="center" vertical="center"/>
    </xf>
    <xf numFmtId="0" fontId="69" fillId="10" borderId="1" xfId="0" applyFont="1" applyFill="1" applyBorder="1" applyAlignment="1">
      <alignment vertical="center"/>
    </xf>
    <xf numFmtId="0" fontId="69" fillId="10" borderId="0" xfId="0" applyFont="1" applyFill="1" applyBorder="1" applyAlignment="1">
      <alignment vertical="center"/>
    </xf>
    <xf numFmtId="0" fontId="69" fillId="10" borderId="22" xfId="0" applyFont="1" applyFill="1" applyBorder="1" applyAlignment="1">
      <alignment vertical="center"/>
    </xf>
    <xf numFmtId="1" fontId="109" fillId="5" borderId="15" xfId="0" applyNumberFormat="1" applyFont="1" applyFill="1" applyBorder="1" applyAlignment="1">
      <alignment horizontal="center" vertical="center"/>
    </xf>
    <xf numFmtId="1" fontId="122" fillId="5" borderId="8" xfId="0" applyNumberFormat="1" applyFont="1" applyFill="1" applyBorder="1" applyAlignment="1">
      <alignment horizontal="center" vertical="center"/>
    </xf>
    <xf numFmtId="1" fontId="73" fillId="8" borderId="15" xfId="0" applyNumberFormat="1" applyFont="1" applyFill="1" applyBorder="1" applyAlignment="1">
      <alignment horizontal="center" vertical="center"/>
    </xf>
    <xf numFmtId="1" fontId="121" fillId="8" borderId="8" xfId="0" applyNumberFormat="1" applyFont="1" applyFill="1" applyBorder="1" applyAlignment="1">
      <alignment horizontal="center" vertical="center"/>
    </xf>
    <xf numFmtId="2" fontId="62" fillId="5" borderId="3" xfId="0" applyNumberFormat="1" applyFont="1" applyFill="1" applyBorder="1" applyAlignment="1">
      <alignment horizontal="center" vertical="center"/>
    </xf>
    <xf numFmtId="1" fontId="62" fillId="8" borderId="18" xfId="0" applyNumberFormat="1" applyFont="1" applyFill="1" applyBorder="1" applyAlignment="1">
      <alignment horizontal="center" vertical="center"/>
    </xf>
    <xf numFmtId="1" fontId="62" fillId="8" borderId="38" xfId="0" applyNumberFormat="1" applyFont="1" applyFill="1" applyBorder="1" applyAlignment="1">
      <alignment horizontal="center" vertical="center"/>
    </xf>
    <xf numFmtId="1" fontId="62" fillId="5" borderId="38" xfId="0" applyNumberFormat="1" applyFont="1" applyFill="1" applyBorder="1" applyAlignment="1">
      <alignment horizontal="center" vertical="center"/>
    </xf>
    <xf numFmtId="0" fontId="2" fillId="10" borderId="1" xfId="0" applyFont="1" applyFill="1" applyBorder="1" applyAlignment="1"/>
    <xf numFmtId="0" fontId="2" fillId="10" borderId="0" xfId="0" applyFont="1" applyFill="1" applyAlignment="1"/>
    <xf numFmtId="0" fontId="2" fillId="10" borderId="22" xfId="0" applyFont="1" applyFill="1" applyBorder="1" applyAlignment="1"/>
    <xf numFmtId="2" fontId="62" fillId="5" borderId="3" xfId="0" applyNumberFormat="1" applyFont="1" applyFill="1" applyBorder="1" applyAlignment="1">
      <alignment horizontal="center" vertical="center"/>
    </xf>
    <xf numFmtId="0" fontId="0" fillId="5" borderId="0" xfId="0" applyFill="1" applyBorder="1" applyAlignment="1">
      <alignment horizontal="center" vertical="center" wrapText="1"/>
    </xf>
    <xf numFmtId="0" fontId="0" fillId="5" borderId="0" xfId="0" applyFill="1" applyBorder="1" applyAlignment="1"/>
    <xf numFmtId="2" fontId="62" fillId="5" borderId="3" xfId="0" applyNumberFormat="1" applyFont="1" applyFill="1" applyBorder="1" applyAlignment="1">
      <alignment horizontal="center" vertical="center"/>
    </xf>
    <xf numFmtId="0" fontId="2" fillId="10" borderId="0" xfId="0" applyFont="1" applyFill="1" applyBorder="1" applyAlignment="1"/>
    <xf numFmtId="0" fontId="2" fillId="10" borderId="0" xfId="0" applyFont="1" applyFill="1" applyAlignment="1"/>
    <xf numFmtId="1" fontId="73" fillId="8" borderId="5" xfId="0" applyNumberFormat="1" applyFont="1" applyFill="1" applyBorder="1" applyAlignment="1">
      <alignment horizontal="center" vertical="center"/>
    </xf>
    <xf numFmtId="1" fontId="73" fillId="5" borderId="5" xfId="0" applyNumberFormat="1" applyFont="1" applyFill="1" applyBorder="1" applyAlignment="1">
      <alignment horizontal="center" vertical="center"/>
    </xf>
    <xf numFmtId="0" fontId="26" fillId="5" borderId="3" xfId="0" applyFont="1" applyFill="1" applyBorder="1"/>
    <xf numFmtId="0" fontId="2" fillId="5" borderId="3" xfId="0" applyFont="1" applyFill="1" applyBorder="1" applyAlignment="1"/>
    <xf numFmtId="0" fontId="4" fillId="8" borderId="3" xfId="0" applyFont="1" applyFill="1" applyBorder="1" applyAlignment="1">
      <alignment horizontal="center" vertical="center"/>
    </xf>
    <xf numFmtId="2" fontId="62" fillId="5" borderId="3" xfId="0" applyNumberFormat="1" applyFont="1" applyFill="1" applyBorder="1" applyAlignment="1">
      <alignment horizontal="center" vertical="center"/>
    </xf>
    <xf numFmtId="166" fontId="113" fillId="2" borderId="3" xfId="2" applyNumberFormat="1" applyFont="1" applyFill="1" applyBorder="1" applyAlignment="1" applyProtection="1">
      <alignment horizontal="center" vertical="center"/>
    </xf>
    <xf numFmtId="0" fontId="2" fillId="10" borderId="0" xfId="0" applyFont="1" applyFill="1" applyBorder="1" applyAlignment="1"/>
    <xf numFmtId="0" fontId="2" fillId="10" borderId="0" xfId="0" applyFont="1" applyFill="1" applyBorder="1" applyAlignment="1"/>
    <xf numFmtId="0" fontId="1" fillId="8" borderId="3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2" fontId="62" fillId="5" borderId="3" xfId="0" applyNumberFormat="1" applyFont="1" applyFill="1" applyBorder="1" applyAlignment="1">
      <alignment horizontal="center" vertical="center"/>
    </xf>
    <xf numFmtId="2" fontId="62" fillId="5" borderId="18" xfId="3" applyNumberFormat="1" applyFont="1" applyFill="1" applyBorder="1" applyAlignment="1">
      <alignment horizontal="center" vertical="center"/>
    </xf>
    <xf numFmtId="1" fontId="109" fillId="5" borderId="18" xfId="0" applyNumberFormat="1" applyFont="1" applyFill="1" applyBorder="1" applyAlignment="1">
      <alignment horizontal="center" vertical="center"/>
    </xf>
    <xf numFmtId="0" fontId="42" fillId="5" borderId="3" xfId="0" applyFont="1" applyFill="1" applyBorder="1"/>
    <xf numFmtId="0" fontId="43" fillId="5" borderId="2" xfId="0" applyFont="1" applyFill="1" applyBorder="1" applyAlignment="1">
      <alignment horizontal="center" vertical="center"/>
    </xf>
    <xf numFmtId="1" fontId="43" fillId="5" borderId="3" xfId="0" applyNumberFormat="1" applyFont="1" applyFill="1" applyBorder="1" applyAlignment="1">
      <alignment horizontal="center" vertical="center" wrapText="1"/>
    </xf>
    <xf numFmtId="1" fontId="62" fillId="5" borderId="39" xfId="0" applyNumberFormat="1" applyFont="1" applyFill="1" applyBorder="1" applyAlignment="1">
      <alignment horizontal="center" vertical="center"/>
    </xf>
    <xf numFmtId="2" fontId="41" fillId="5" borderId="3" xfId="0" applyNumberFormat="1" applyFont="1" applyFill="1" applyBorder="1" applyAlignment="1">
      <alignment horizontal="center" vertical="center" wrapText="1"/>
    </xf>
    <xf numFmtId="1" fontId="62" fillId="8" borderId="35" xfId="0" applyNumberFormat="1" applyFont="1" applyFill="1" applyBorder="1" applyAlignment="1">
      <alignment horizontal="center" vertical="center"/>
    </xf>
    <xf numFmtId="2" fontId="62" fillId="8" borderId="36" xfId="0" applyNumberFormat="1" applyFont="1" applyFill="1" applyBorder="1" applyAlignment="1">
      <alignment horizontal="center" vertical="center"/>
    </xf>
    <xf numFmtId="1" fontId="62" fillId="8" borderId="36" xfId="0" applyNumberFormat="1" applyFont="1" applyFill="1" applyBorder="1" applyAlignment="1">
      <alignment horizontal="center" vertical="center"/>
    </xf>
    <xf numFmtId="1" fontId="43" fillId="8" borderId="7" xfId="0" applyNumberFormat="1" applyFont="1" applyFill="1" applyBorder="1" applyAlignment="1">
      <alignment horizontal="center" vertical="center" wrapText="1"/>
    </xf>
    <xf numFmtId="2" fontId="4" fillId="8" borderId="7" xfId="0" applyNumberFormat="1" applyFont="1" applyFill="1" applyBorder="1" applyAlignment="1">
      <alignment horizontal="center" vertical="center"/>
    </xf>
    <xf numFmtId="0" fontId="43" fillId="8" borderId="25" xfId="0" applyFont="1" applyFill="1" applyBorder="1" applyAlignment="1">
      <alignment horizontal="center" vertical="center"/>
    </xf>
    <xf numFmtId="2" fontId="62" fillId="8" borderId="40" xfId="0" applyNumberFormat="1" applyFont="1" applyFill="1" applyBorder="1" applyAlignment="1">
      <alignment horizontal="center" vertical="center"/>
    </xf>
    <xf numFmtId="1" fontId="109" fillId="5" borderId="7" xfId="0" applyNumberFormat="1" applyFont="1" applyFill="1" applyBorder="1" applyAlignment="1">
      <alignment horizontal="center" vertical="center"/>
    </xf>
    <xf numFmtId="1" fontId="73" fillId="5" borderId="4" xfId="0" applyNumberFormat="1" applyFont="1" applyFill="1" applyBorder="1" applyAlignment="1">
      <alignment horizontal="center" vertical="center"/>
    </xf>
    <xf numFmtId="1" fontId="73" fillId="8" borderId="4" xfId="0" applyNumberFormat="1" applyFont="1" applyFill="1" applyBorder="1" applyAlignment="1">
      <alignment horizontal="center" vertical="center"/>
    </xf>
    <xf numFmtId="0" fontId="0" fillId="5" borderId="0" xfId="0" applyFill="1" applyBorder="1" applyAlignment="1"/>
    <xf numFmtId="0" fontId="1" fillId="8" borderId="3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2" fontId="62" fillId="5" borderId="3" xfId="0" applyNumberFormat="1" applyFont="1" applyFill="1" applyBorder="1" applyAlignment="1">
      <alignment horizontal="center" vertical="center"/>
    </xf>
    <xf numFmtId="0" fontId="0" fillId="5" borderId="0" xfId="0" applyFill="1" applyBorder="1" applyAlignment="1">
      <alignment horizontal="center" vertical="center" wrapText="1"/>
    </xf>
    <xf numFmtId="0" fontId="123" fillId="2" borderId="0" xfId="0" applyFont="1" applyFill="1"/>
    <xf numFmtId="2" fontId="62" fillId="5" borderId="3" xfId="0" applyNumberFormat="1" applyFont="1" applyFill="1" applyBorder="1" applyAlignment="1">
      <alignment horizontal="center" vertical="center"/>
    </xf>
    <xf numFmtId="2" fontId="62" fillId="5" borderId="3" xfId="0" applyNumberFormat="1" applyFont="1" applyFill="1" applyBorder="1" applyAlignment="1">
      <alignment horizontal="center" vertical="center"/>
    </xf>
    <xf numFmtId="2" fontId="62" fillId="5" borderId="3" xfId="0" applyNumberFormat="1" applyFont="1" applyFill="1" applyBorder="1" applyAlignment="1">
      <alignment horizontal="center" vertical="center"/>
    </xf>
    <xf numFmtId="1" fontId="62" fillId="22" borderId="5" xfId="0" applyNumberFormat="1" applyFont="1" applyFill="1" applyBorder="1" applyAlignment="1">
      <alignment horizontal="center" vertical="center"/>
    </xf>
    <xf numFmtId="1" fontId="62" fillId="22" borderId="3" xfId="0" applyNumberFormat="1" applyFont="1" applyFill="1" applyBorder="1" applyAlignment="1">
      <alignment horizontal="center" vertical="center"/>
    </xf>
    <xf numFmtId="0" fontId="1" fillId="22" borderId="3" xfId="0" applyFont="1" applyFill="1" applyBorder="1"/>
    <xf numFmtId="2" fontId="62" fillId="22" borderId="3" xfId="0" applyNumberFormat="1" applyFont="1" applyFill="1" applyBorder="1" applyAlignment="1">
      <alignment horizontal="center" vertical="center"/>
    </xf>
    <xf numFmtId="2" fontId="4" fillId="22" borderId="3" xfId="0" applyNumberFormat="1" applyFont="1" applyFill="1" applyBorder="1" applyAlignment="1">
      <alignment horizontal="center" vertical="center"/>
    </xf>
    <xf numFmtId="1" fontId="1" fillId="22" borderId="3" xfId="0" applyNumberFormat="1" applyFont="1" applyFill="1" applyBorder="1"/>
    <xf numFmtId="1" fontId="109" fillId="22" borderId="3" xfId="0" applyNumberFormat="1" applyFont="1" applyFill="1" applyBorder="1" applyAlignment="1">
      <alignment horizontal="center" vertical="center"/>
    </xf>
    <xf numFmtId="1" fontId="62" fillId="22" borderId="17" xfId="0" applyNumberFormat="1" applyFont="1" applyFill="1" applyBorder="1" applyAlignment="1">
      <alignment horizontal="center" vertical="center"/>
    </xf>
    <xf numFmtId="0" fontId="1" fillId="22" borderId="7" xfId="0" applyFont="1" applyFill="1" applyBorder="1"/>
    <xf numFmtId="1" fontId="62" fillId="22" borderId="14" xfId="0" applyNumberFormat="1" applyFont="1" applyFill="1" applyBorder="1" applyAlignment="1">
      <alignment horizontal="center" vertical="center"/>
    </xf>
    <xf numFmtId="0" fontId="0" fillId="22" borderId="3" xfId="0" applyFill="1" applyBorder="1"/>
    <xf numFmtId="2" fontId="62" fillId="22" borderId="5" xfId="3" applyNumberFormat="1" applyFont="1" applyFill="1" applyBorder="1" applyAlignment="1">
      <alignment horizontal="center" vertical="center"/>
    </xf>
    <xf numFmtId="1" fontId="62" fillId="22" borderId="8" xfId="0" applyNumberFormat="1" applyFont="1" applyFill="1" applyBorder="1" applyAlignment="1">
      <alignment horizontal="center" vertical="center"/>
    </xf>
    <xf numFmtId="2" fontId="62" fillId="22" borderId="5" xfId="0" applyNumberFormat="1" applyFont="1" applyFill="1" applyBorder="1" applyAlignment="1">
      <alignment horizontal="center" vertical="center"/>
    </xf>
    <xf numFmtId="2" fontId="4" fillId="22" borderId="5" xfId="0" applyNumberFormat="1" applyFont="1" applyFill="1" applyBorder="1" applyAlignment="1">
      <alignment horizontal="center" vertical="center"/>
    </xf>
    <xf numFmtId="2" fontId="5" fillId="22" borderId="5" xfId="0" applyNumberFormat="1" applyFont="1" applyFill="1" applyBorder="1" applyAlignment="1">
      <alignment horizontal="center" vertical="center"/>
    </xf>
    <xf numFmtId="1" fontId="73" fillId="22" borderId="3" xfId="0" applyNumberFormat="1" applyFont="1" applyFill="1" applyBorder="1" applyAlignment="1">
      <alignment horizontal="center" vertical="center"/>
    </xf>
    <xf numFmtId="1" fontId="109" fillId="22" borderId="5" xfId="0" applyNumberFormat="1" applyFont="1" applyFill="1" applyBorder="1" applyAlignment="1">
      <alignment horizontal="center" vertical="center"/>
    </xf>
    <xf numFmtId="0" fontId="0" fillId="5" borderId="0" xfId="0" applyFill="1" applyBorder="1" applyAlignment="1">
      <alignment horizontal="center" vertical="center" wrapText="1"/>
    </xf>
    <xf numFmtId="0" fontId="2" fillId="5" borderId="0" xfId="0" applyFont="1" applyFill="1" applyBorder="1" applyAlignment="1">
      <alignment horizontal="center" vertical="center" wrapText="1"/>
    </xf>
    <xf numFmtId="2" fontId="62" fillId="5" borderId="3" xfId="0" applyNumberFormat="1" applyFont="1" applyFill="1" applyBorder="1" applyAlignment="1">
      <alignment horizontal="center" vertical="center"/>
    </xf>
    <xf numFmtId="2" fontId="62" fillId="5" borderId="3" xfId="0" applyNumberFormat="1" applyFont="1" applyFill="1" applyBorder="1" applyAlignment="1">
      <alignment horizontal="center" vertical="center"/>
    </xf>
    <xf numFmtId="2" fontId="62" fillId="5" borderId="3" xfId="0" applyNumberFormat="1" applyFont="1" applyFill="1" applyBorder="1" applyAlignment="1">
      <alignment horizontal="center" vertical="center"/>
    </xf>
    <xf numFmtId="2" fontId="62" fillId="8" borderId="18" xfId="3" applyNumberFormat="1" applyFont="1" applyFill="1" applyBorder="1" applyAlignment="1">
      <alignment horizontal="center" vertical="center"/>
    </xf>
    <xf numFmtId="0" fontId="2" fillId="10" borderId="0" xfId="0" applyFont="1" applyFill="1" applyAlignment="1"/>
    <xf numFmtId="0" fontId="2" fillId="10" borderId="22" xfId="0" applyFont="1" applyFill="1" applyBorder="1" applyAlignment="1"/>
    <xf numFmtId="0" fontId="2" fillId="10" borderId="1" xfId="0" applyFont="1" applyFill="1" applyBorder="1" applyAlignment="1"/>
    <xf numFmtId="2" fontId="62" fillId="22" borderId="3" xfId="0" applyNumberFormat="1" applyFont="1" applyFill="1" applyBorder="1" applyAlignment="1">
      <alignment horizontal="center" vertical="center"/>
    </xf>
    <xf numFmtId="2" fontId="62" fillId="5" borderId="3" xfId="0" applyNumberFormat="1" applyFont="1" applyFill="1" applyBorder="1" applyAlignment="1">
      <alignment horizontal="center" vertical="center"/>
    </xf>
    <xf numFmtId="1" fontId="73" fillId="8" borderId="7" xfId="0" applyNumberFormat="1" applyFont="1" applyFill="1" applyBorder="1" applyAlignment="1">
      <alignment horizontal="center" vertical="center"/>
    </xf>
    <xf numFmtId="2" fontId="65" fillId="8" borderId="3" xfId="0" applyNumberFormat="1" applyFont="1" applyFill="1" applyBorder="1"/>
    <xf numFmtId="2" fontId="62" fillId="8" borderId="3" xfId="0" applyNumberFormat="1" applyFont="1" applyFill="1" applyBorder="1" applyAlignment="1">
      <alignment horizontal="center"/>
    </xf>
    <xf numFmtId="1" fontId="62" fillId="8" borderId="3" xfId="0" applyNumberFormat="1" applyFont="1" applyFill="1" applyBorder="1" applyAlignment="1">
      <alignment horizontal="center"/>
    </xf>
    <xf numFmtId="2" fontId="62" fillId="5" borderId="3" xfId="0" applyNumberFormat="1" applyFont="1" applyFill="1" applyBorder="1" applyAlignment="1">
      <alignment horizontal="center" vertical="center"/>
    </xf>
    <xf numFmtId="0" fontId="0" fillId="5" borderId="0" xfId="0" applyFill="1" applyBorder="1" applyAlignment="1"/>
    <xf numFmtId="2" fontId="62" fillId="5" borderId="3" xfId="0" applyNumberFormat="1" applyFont="1" applyFill="1" applyBorder="1" applyAlignment="1">
      <alignment horizontal="center" vertical="center"/>
    </xf>
    <xf numFmtId="2" fontId="5" fillId="7" borderId="3" xfId="0" applyNumberFormat="1" applyFont="1" applyFill="1" applyBorder="1" applyAlignment="1"/>
    <xf numFmtId="0" fontId="0" fillId="7" borderId="3" xfId="0" applyFill="1" applyBorder="1" applyAlignment="1"/>
    <xf numFmtId="0" fontId="69" fillId="10" borderId="1" xfId="0" applyFont="1" applyFill="1" applyBorder="1" applyAlignment="1">
      <alignment vertical="center"/>
    </xf>
    <xf numFmtId="0" fontId="69" fillId="10" borderId="0" xfId="0" applyFont="1" applyFill="1" applyBorder="1" applyAlignment="1">
      <alignment vertical="center"/>
    </xf>
    <xf numFmtId="0" fontId="69" fillId="10" borderId="22" xfId="0" applyFont="1" applyFill="1" applyBorder="1" applyAlignment="1">
      <alignment vertical="center"/>
    </xf>
    <xf numFmtId="2" fontId="5" fillId="8" borderId="3" xfId="0" applyNumberFormat="1" applyFont="1" applyFill="1" applyBorder="1" applyAlignment="1"/>
    <xf numFmtId="0" fontId="0" fillId="8" borderId="3" xfId="0" applyFill="1" applyBorder="1" applyAlignment="1"/>
    <xf numFmtId="2" fontId="5" fillId="5" borderId="3" xfId="0" applyNumberFormat="1" applyFont="1" applyFill="1" applyBorder="1" applyAlignment="1"/>
    <xf numFmtId="0" fontId="0" fillId="5" borderId="3" xfId="0" applyFill="1" applyBorder="1" applyAlignment="1"/>
    <xf numFmtId="2" fontId="5" fillId="8" borderId="11" xfId="0" applyNumberFormat="1" applyFont="1" applyFill="1" applyBorder="1" applyAlignment="1"/>
    <xf numFmtId="0" fontId="0" fillId="8" borderId="2" xfId="0" applyFill="1" applyBorder="1" applyAlignment="1"/>
    <xf numFmtId="0" fontId="0" fillId="8" borderId="4" xfId="0" applyFill="1" applyBorder="1" applyAlignment="1"/>
    <xf numFmtId="2" fontId="5" fillId="5" borderId="11" xfId="0" applyNumberFormat="1" applyFont="1" applyFill="1" applyBorder="1" applyAlignment="1"/>
    <xf numFmtId="0" fontId="0" fillId="5" borderId="2" xfId="0" applyFill="1" applyBorder="1" applyAlignment="1"/>
    <xf numFmtId="0" fontId="0" fillId="5" borderId="4" xfId="0" applyFill="1" applyBorder="1" applyAlignment="1"/>
    <xf numFmtId="0" fontId="2" fillId="10" borderId="1" xfId="0" applyFont="1" applyFill="1" applyBorder="1" applyAlignment="1"/>
    <xf numFmtId="0" fontId="2" fillId="10" borderId="0" xfId="0" applyFont="1" applyFill="1" applyAlignment="1"/>
    <xf numFmtId="0" fontId="2" fillId="10" borderId="22" xfId="0" applyFont="1" applyFill="1" applyBorder="1" applyAlignment="1"/>
    <xf numFmtId="2" fontId="5" fillId="8" borderId="2" xfId="0" applyNumberFormat="1" applyFont="1" applyFill="1" applyBorder="1" applyAlignment="1"/>
    <xf numFmtId="2" fontId="5" fillId="8" borderId="4" xfId="0" applyNumberFormat="1" applyFont="1" applyFill="1" applyBorder="1" applyAlignment="1"/>
    <xf numFmtId="2" fontId="17" fillId="5" borderId="11" xfId="0" applyNumberFormat="1" applyFont="1" applyFill="1" applyBorder="1" applyAlignment="1"/>
    <xf numFmtId="0" fontId="2" fillId="10" borderId="0" xfId="0" applyFont="1" applyFill="1" applyBorder="1" applyAlignment="1"/>
    <xf numFmtId="0" fontId="5" fillId="8" borderId="11" xfId="0" applyNumberFormat="1" applyFont="1" applyFill="1" applyBorder="1" applyAlignment="1"/>
    <xf numFmtId="0" fontId="0" fillId="8" borderId="2" xfId="0" applyNumberFormat="1" applyFill="1" applyBorder="1" applyAlignment="1"/>
    <xf numFmtId="0" fontId="0" fillId="8" borderId="4" xfId="0" applyNumberFormat="1" applyFill="1" applyBorder="1" applyAlignment="1"/>
    <xf numFmtId="2" fontId="5" fillId="5" borderId="3" xfId="0" applyNumberFormat="1" applyFont="1" applyFill="1" applyBorder="1" applyAlignment="1">
      <alignment wrapText="1"/>
    </xf>
    <xf numFmtId="0" fontId="1" fillId="5" borderId="3" xfId="0" applyFont="1" applyFill="1" applyBorder="1" applyAlignment="1">
      <alignment wrapText="1"/>
    </xf>
    <xf numFmtId="2" fontId="5" fillId="8" borderId="3" xfId="0" applyNumberFormat="1" applyFont="1" applyFill="1" applyBorder="1" applyAlignment="1">
      <alignment wrapText="1"/>
    </xf>
    <xf numFmtId="0" fontId="0" fillId="8" borderId="3" xfId="0" applyFill="1" applyBorder="1" applyAlignment="1">
      <alignment wrapText="1"/>
    </xf>
    <xf numFmtId="2" fontId="5" fillId="8" borderId="11" xfId="0" applyNumberFormat="1" applyFont="1" applyFill="1" applyBorder="1" applyAlignment="1">
      <alignment wrapText="1"/>
    </xf>
    <xf numFmtId="0" fontId="0" fillId="8" borderId="2" xfId="0" applyFill="1" applyBorder="1" applyAlignment="1">
      <alignment wrapText="1"/>
    </xf>
    <xf numFmtId="0" fontId="0" fillId="8" borderId="4" xfId="0" applyFill="1" applyBorder="1" applyAlignment="1">
      <alignment wrapText="1"/>
    </xf>
    <xf numFmtId="2" fontId="5" fillId="5" borderId="11" xfId="0" applyNumberFormat="1" applyFont="1" applyFill="1" applyBorder="1" applyAlignment="1">
      <alignment wrapText="1"/>
    </xf>
    <xf numFmtId="0" fontId="0" fillId="5" borderId="2" xfId="0" applyFill="1" applyBorder="1" applyAlignment="1">
      <alignment wrapText="1"/>
    </xf>
    <xf numFmtId="0" fontId="0" fillId="5" borderId="4" xfId="0" applyFill="1" applyBorder="1" applyAlignment="1">
      <alignment wrapText="1"/>
    </xf>
    <xf numFmtId="0" fontId="18" fillId="5" borderId="2" xfId="0" applyFont="1" applyFill="1" applyBorder="1" applyAlignment="1">
      <alignment wrapText="1"/>
    </xf>
    <xf numFmtId="0" fontId="18" fillId="5" borderId="4" xfId="0" applyFont="1" applyFill="1" applyBorder="1" applyAlignment="1">
      <alignment wrapText="1"/>
    </xf>
    <xf numFmtId="2" fontId="5" fillId="5" borderId="2" xfId="0" applyNumberFormat="1" applyFont="1" applyFill="1" applyBorder="1" applyAlignment="1"/>
    <xf numFmtId="2" fontId="5" fillId="5" borderId="4" xfId="0" applyNumberFormat="1" applyFont="1" applyFill="1" applyBorder="1" applyAlignment="1"/>
    <xf numFmtId="2" fontId="5" fillId="5" borderId="5" xfId="0" applyNumberFormat="1" applyFont="1" applyFill="1" applyBorder="1" applyAlignment="1">
      <alignment wrapText="1"/>
    </xf>
    <xf numFmtId="0" fontId="1" fillId="5" borderId="5" xfId="0" applyFont="1" applyFill="1" applyBorder="1" applyAlignment="1">
      <alignment wrapText="1"/>
    </xf>
    <xf numFmtId="0" fontId="0" fillId="5" borderId="3" xfId="0" applyFill="1" applyBorder="1" applyAlignment="1">
      <alignment wrapText="1"/>
    </xf>
    <xf numFmtId="0" fontId="1" fillId="8" borderId="3" xfId="0" applyFont="1" applyFill="1" applyBorder="1" applyAlignment="1">
      <alignment wrapText="1"/>
    </xf>
    <xf numFmtId="0" fontId="18" fillId="5" borderId="3" xfId="0" applyFont="1" applyFill="1" applyBorder="1" applyAlignment="1"/>
    <xf numFmtId="2" fontId="5" fillId="8" borderId="2" xfId="0" applyNumberFormat="1" applyFont="1" applyFill="1" applyBorder="1" applyAlignment="1">
      <alignment wrapText="1"/>
    </xf>
    <xf numFmtId="2" fontId="5" fillId="8" borderId="4" xfId="0" applyNumberFormat="1" applyFont="1" applyFill="1" applyBorder="1" applyAlignment="1">
      <alignment wrapText="1"/>
    </xf>
    <xf numFmtId="0" fontId="18" fillId="8" borderId="2" xfId="0" applyFont="1" applyFill="1" applyBorder="1" applyAlignment="1"/>
    <xf numFmtId="0" fontId="18" fillId="8" borderId="4" xfId="0" applyFont="1" applyFill="1" applyBorder="1" applyAlignment="1"/>
    <xf numFmtId="2" fontId="17" fillId="5" borderId="11" xfId="0" applyNumberFormat="1" applyFont="1" applyFill="1" applyBorder="1" applyAlignment="1">
      <alignment wrapText="1"/>
    </xf>
    <xf numFmtId="0" fontId="39" fillId="5" borderId="2" xfId="0" applyFont="1" applyFill="1" applyBorder="1" applyAlignment="1">
      <alignment wrapText="1"/>
    </xf>
    <xf numFmtId="0" fontId="39" fillId="5" borderId="4" xfId="0" applyFont="1" applyFill="1" applyBorder="1" applyAlignment="1">
      <alignment wrapText="1"/>
    </xf>
    <xf numFmtId="0" fontId="18" fillId="8" borderId="3" xfId="0" applyFont="1" applyFill="1" applyBorder="1" applyAlignment="1">
      <alignment wrapText="1"/>
    </xf>
    <xf numFmtId="0" fontId="18" fillId="8" borderId="3" xfId="0" applyFont="1" applyFill="1" applyBorder="1" applyAlignment="1"/>
    <xf numFmtId="2" fontId="5" fillId="5" borderId="7" xfId="0" applyNumberFormat="1" applyFont="1" applyFill="1" applyBorder="1" applyAlignment="1">
      <alignment wrapText="1"/>
    </xf>
    <xf numFmtId="0" fontId="18" fillId="5" borderId="7" xfId="0" applyFont="1" applyFill="1" applyBorder="1" applyAlignment="1">
      <alignment wrapText="1"/>
    </xf>
    <xf numFmtId="2" fontId="5" fillId="5" borderId="5" xfId="0" applyNumberFormat="1" applyFont="1" applyFill="1" applyBorder="1" applyAlignment="1"/>
    <xf numFmtId="0" fontId="18" fillId="5" borderId="5" xfId="0" applyFont="1" applyFill="1" applyBorder="1" applyAlignment="1"/>
    <xf numFmtId="2" fontId="5" fillId="8" borderId="5" xfId="0" applyNumberFormat="1" applyFont="1" applyFill="1" applyBorder="1" applyAlignment="1"/>
    <xf numFmtId="0" fontId="0" fillId="8" borderId="5" xfId="0" applyFill="1" applyBorder="1" applyAlignment="1"/>
    <xf numFmtId="2" fontId="87" fillId="5" borderId="3" xfId="0" applyNumberFormat="1" applyFont="1" applyFill="1" applyBorder="1" applyAlignment="1">
      <alignment wrapText="1"/>
    </xf>
    <xf numFmtId="0" fontId="86" fillId="5" borderId="3" xfId="0" applyFont="1" applyFill="1" applyBorder="1" applyAlignment="1">
      <alignment wrapText="1"/>
    </xf>
    <xf numFmtId="0" fontId="1" fillId="8" borderId="3" xfId="0" applyFont="1" applyFill="1" applyBorder="1" applyAlignment="1"/>
    <xf numFmtId="2" fontId="5" fillId="22" borderId="3" xfId="0" applyNumberFormat="1" applyFont="1" applyFill="1" applyBorder="1" applyAlignment="1"/>
    <xf numFmtId="0" fontId="0" fillId="22" borderId="3" xfId="0" applyFill="1" applyBorder="1" applyAlignment="1"/>
    <xf numFmtId="2" fontId="5" fillId="22" borderId="11" xfId="0" applyNumberFormat="1" applyFont="1" applyFill="1" applyBorder="1" applyAlignment="1"/>
    <xf numFmtId="0" fontId="0" fillId="22" borderId="2" xfId="0" applyFill="1" applyBorder="1" applyAlignment="1"/>
    <xf numFmtId="0" fontId="0" fillId="22" borderId="4" xfId="0" applyFill="1" applyBorder="1" applyAlignment="1"/>
    <xf numFmtId="2" fontId="5" fillId="5" borderId="2" xfId="0" applyNumberFormat="1" applyFont="1" applyFill="1" applyBorder="1" applyAlignment="1">
      <alignment wrapText="1"/>
    </xf>
    <xf numFmtId="2" fontId="5" fillId="5" borderId="4" xfId="0" applyNumberFormat="1" applyFont="1" applyFill="1" applyBorder="1" applyAlignment="1">
      <alignment wrapText="1"/>
    </xf>
    <xf numFmtId="0" fontId="2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64" fillId="12" borderId="3" xfId="0" applyFont="1" applyFill="1" applyBorder="1" applyAlignment="1">
      <alignment horizontal="center" vertical="center" wrapText="1"/>
    </xf>
    <xf numFmtId="0" fontId="63" fillId="12" borderId="3" xfId="0" applyFont="1" applyFill="1" applyBorder="1" applyAlignment="1">
      <alignment horizontal="center" vertical="center" wrapText="1"/>
    </xf>
    <xf numFmtId="2" fontId="4" fillId="22" borderId="11" xfId="0" applyNumberFormat="1" applyFont="1" applyFill="1" applyBorder="1" applyAlignment="1">
      <alignment horizontal="center" vertical="center"/>
    </xf>
    <xf numFmtId="0" fontId="1" fillId="22" borderId="2" xfId="0" applyFont="1" applyFill="1" applyBorder="1" applyAlignment="1">
      <alignment horizontal="center" vertical="center"/>
    </xf>
    <xf numFmtId="0" fontId="1" fillId="22" borderId="4" xfId="0" applyFont="1" applyFill="1" applyBorder="1" applyAlignment="1">
      <alignment horizontal="center" vertical="center"/>
    </xf>
    <xf numFmtId="2" fontId="5" fillId="8" borderId="18" xfId="0" applyNumberFormat="1" applyFont="1" applyFill="1" applyBorder="1" applyAlignment="1">
      <alignment wrapText="1"/>
    </xf>
    <xf numFmtId="0" fontId="1" fillId="8" borderId="12" xfId="0" applyFont="1" applyFill="1" applyBorder="1" applyAlignment="1">
      <alignment wrapText="1"/>
    </xf>
    <xf numFmtId="0" fontId="1" fillId="8" borderId="9" xfId="0" applyFont="1" applyFill="1" applyBorder="1" applyAlignment="1">
      <alignment wrapText="1"/>
    </xf>
    <xf numFmtId="2" fontId="5" fillId="7" borderId="11" xfId="0" applyNumberFormat="1" applyFont="1" applyFill="1" applyBorder="1" applyAlignment="1"/>
    <xf numFmtId="0" fontId="0" fillId="7" borderId="2" xfId="0" applyFill="1" applyBorder="1" applyAlignment="1"/>
    <xf numFmtId="0" fontId="0" fillId="7" borderId="4" xfId="0" applyFill="1" applyBorder="1" applyAlignment="1"/>
    <xf numFmtId="0" fontId="69" fillId="13" borderId="16" xfId="0" applyFont="1" applyFill="1" applyBorder="1" applyAlignment="1">
      <alignment horizontal="center" vertical="center" wrapText="1"/>
    </xf>
    <xf numFmtId="0" fontId="68" fillId="13" borderId="25" xfId="0" applyFont="1" applyFill="1" applyBorder="1" applyAlignment="1">
      <alignment horizontal="center" vertical="center" wrapText="1"/>
    </xf>
    <xf numFmtId="0" fontId="68" fillId="13" borderId="19" xfId="0" applyFont="1" applyFill="1" applyBorder="1" applyAlignment="1">
      <alignment horizontal="center" vertical="center" wrapText="1"/>
    </xf>
    <xf numFmtId="0" fontId="68" fillId="13" borderId="1" xfId="0" applyFont="1" applyFill="1" applyBorder="1" applyAlignment="1">
      <alignment horizontal="center" vertical="center" wrapText="1"/>
    </xf>
    <xf numFmtId="0" fontId="68" fillId="13" borderId="0" xfId="0" applyFont="1" applyFill="1" applyAlignment="1">
      <alignment horizontal="center" vertical="center" wrapText="1"/>
    </xf>
    <xf numFmtId="0" fontId="68" fillId="13" borderId="22" xfId="0" applyFont="1" applyFill="1" applyBorder="1" applyAlignment="1">
      <alignment horizontal="center" vertical="center" wrapText="1"/>
    </xf>
    <xf numFmtId="0" fontId="68" fillId="13" borderId="18" xfId="0" applyFont="1" applyFill="1" applyBorder="1" applyAlignment="1">
      <alignment horizontal="center" vertical="center" wrapText="1"/>
    </xf>
    <xf numFmtId="0" fontId="68" fillId="13" borderId="12" xfId="0" applyFont="1" applyFill="1" applyBorder="1" applyAlignment="1">
      <alignment horizontal="center" vertical="center" wrapText="1"/>
    </xf>
    <xf numFmtId="0" fontId="68" fillId="13" borderId="9" xfId="0" applyFont="1" applyFill="1" applyBorder="1" applyAlignment="1">
      <alignment horizontal="center" vertical="center" wrapText="1"/>
    </xf>
    <xf numFmtId="0" fontId="1" fillId="5" borderId="5" xfId="0" applyFont="1" applyFill="1" applyBorder="1" applyAlignment="1"/>
    <xf numFmtId="2" fontId="5" fillId="22" borderId="11" xfId="0" applyNumberFormat="1" applyFont="1" applyFill="1" applyBorder="1" applyAlignment="1">
      <alignment wrapText="1"/>
    </xf>
    <xf numFmtId="0" fontId="0" fillId="22" borderId="2" xfId="0" applyFill="1" applyBorder="1" applyAlignment="1">
      <alignment wrapText="1"/>
    </xf>
    <xf numFmtId="0" fontId="0" fillId="22" borderId="4" xfId="0" applyFill="1" applyBorder="1" applyAlignment="1">
      <alignment wrapText="1"/>
    </xf>
    <xf numFmtId="2" fontId="5" fillId="8" borderId="18" xfId="0" applyNumberFormat="1" applyFont="1" applyFill="1" applyBorder="1" applyAlignment="1"/>
    <xf numFmtId="0" fontId="0" fillId="8" borderId="12" xfId="0" applyFill="1" applyBorder="1" applyAlignment="1"/>
    <xf numFmtId="0" fontId="0" fillId="8" borderId="9" xfId="0" applyFill="1" applyBorder="1" applyAlignment="1"/>
    <xf numFmtId="0" fontId="18" fillId="5" borderId="2" xfId="0" applyFont="1" applyFill="1" applyBorder="1" applyAlignment="1"/>
    <xf numFmtId="0" fontId="18" fillId="5" borderId="4" xfId="0" applyFont="1" applyFill="1" applyBorder="1" applyAlignment="1"/>
    <xf numFmtId="0" fontId="26" fillId="10" borderId="0" xfId="0" applyFont="1" applyFill="1" applyBorder="1" applyAlignment="1">
      <alignment wrapText="1"/>
    </xf>
    <xf numFmtId="0" fontId="9" fillId="10" borderId="0" xfId="0" applyFont="1" applyFill="1" applyBorder="1" applyAlignment="1">
      <alignment wrapText="1"/>
    </xf>
    <xf numFmtId="0" fontId="9" fillId="10" borderId="22" xfId="0" applyFont="1" applyFill="1" applyBorder="1" applyAlignment="1">
      <alignment wrapText="1"/>
    </xf>
    <xf numFmtId="0" fontId="2" fillId="0" borderId="3" xfId="0" applyFont="1" applyBorder="1" applyAlignment="1">
      <alignment horizontal="left" vertical="center" wrapText="1"/>
    </xf>
    <xf numFmtId="0" fontId="76" fillId="10" borderId="0" xfId="0" applyFont="1" applyFill="1" applyBorder="1" applyAlignment="1">
      <alignment horizontal="left" vertical="center"/>
    </xf>
    <xf numFmtId="0" fontId="0" fillId="0" borderId="0" xfId="0" applyAlignment="1">
      <alignment vertical="center"/>
    </xf>
    <xf numFmtId="0" fontId="0" fillId="0" borderId="22" xfId="0" applyBorder="1" applyAlignment="1">
      <alignment vertical="center"/>
    </xf>
    <xf numFmtId="0" fontId="1" fillId="5" borderId="3" xfId="0" applyFont="1" applyFill="1" applyBorder="1" applyAlignment="1"/>
    <xf numFmtId="2" fontId="17" fillId="5" borderId="3" xfId="0" applyNumberFormat="1" applyFont="1" applyFill="1" applyBorder="1" applyAlignment="1"/>
    <xf numFmtId="0" fontId="11" fillId="5" borderId="3" xfId="0" applyFont="1" applyFill="1" applyBorder="1" applyAlignment="1"/>
    <xf numFmtId="0" fontId="36" fillId="10" borderId="0" xfId="0" applyFont="1" applyFill="1" applyBorder="1" applyAlignment="1"/>
    <xf numFmtId="0" fontId="36" fillId="10" borderId="0" xfId="0" applyFont="1" applyFill="1" applyAlignment="1"/>
    <xf numFmtId="0" fontId="69" fillId="13" borderId="25" xfId="0" applyFont="1" applyFill="1" applyBorder="1" applyAlignment="1">
      <alignment horizontal="center" vertical="center" wrapText="1"/>
    </xf>
    <xf numFmtId="0" fontId="0" fillId="13" borderId="25" xfId="0" applyFill="1" applyBorder="1" applyAlignment="1">
      <alignment horizontal="center" vertical="center" wrapText="1"/>
    </xf>
    <xf numFmtId="0" fontId="0" fillId="13" borderId="19" xfId="0" applyFill="1" applyBorder="1" applyAlignment="1">
      <alignment horizontal="center" vertical="center" wrapText="1"/>
    </xf>
    <xf numFmtId="0" fontId="69" fillId="13" borderId="1" xfId="0" applyFont="1" applyFill="1" applyBorder="1" applyAlignment="1">
      <alignment horizontal="center" vertical="center" wrapText="1"/>
    </xf>
    <xf numFmtId="0" fontId="69" fillId="13" borderId="0" xfId="0" applyFont="1" applyFill="1" applyBorder="1" applyAlignment="1">
      <alignment horizontal="center" vertical="center" wrapText="1"/>
    </xf>
    <xf numFmtId="0" fontId="0" fillId="13" borderId="0" xfId="0" applyFill="1" applyAlignment="1">
      <alignment horizontal="center" vertical="center" wrapText="1"/>
    </xf>
    <xf numFmtId="0" fontId="0" fillId="13" borderId="22" xfId="0" applyFill="1" applyBorder="1" applyAlignment="1">
      <alignment horizontal="center" vertical="center" wrapText="1"/>
    </xf>
    <xf numFmtId="0" fontId="0" fillId="13" borderId="1" xfId="0" applyFill="1" applyBorder="1" applyAlignment="1">
      <alignment horizontal="center" vertical="center" wrapText="1"/>
    </xf>
    <xf numFmtId="0" fontId="0" fillId="13" borderId="0" xfId="0" applyFill="1" applyBorder="1" applyAlignment="1">
      <alignment horizontal="center" vertical="center" wrapText="1"/>
    </xf>
    <xf numFmtId="0" fontId="0" fillId="13" borderId="18" xfId="0" applyFill="1" applyBorder="1" applyAlignment="1">
      <alignment horizontal="center" vertical="center" wrapText="1"/>
    </xf>
    <xf numFmtId="0" fontId="0" fillId="13" borderId="12" xfId="0" applyFill="1" applyBorder="1" applyAlignment="1">
      <alignment horizontal="center" vertical="center" wrapText="1"/>
    </xf>
    <xf numFmtId="0" fontId="0" fillId="13" borderId="9" xfId="0" applyFill="1" applyBorder="1" applyAlignment="1">
      <alignment horizontal="center" vertical="center" wrapText="1"/>
    </xf>
    <xf numFmtId="2" fontId="5" fillId="5" borderId="7" xfId="0" applyNumberFormat="1" applyFont="1" applyFill="1" applyBorder="1" applyAlignment="1"/>
    <xf numFmtId="0" fontId="0" fillId="5" borderId="7" xfId="0" applyFill="1" applyBorder="1" applyAlignment="1"/>
    <xf numFmtId="2" fontId="5" fillId="7" borderId="3" xfId="0" applyNumberFormat="1" applyFont="1" applyFill="1" applyBorder="1" applyAlignment="1">
      <alignment wrapText="1"/>
    </xf>
    <xf numFmtId="0" fontId="0" fillId="7" borderId="3" xfId="0" applyFill="1" applyBorder="1" applyAlignment="1">
      <alignment wrapText="1"/>
    </xf>
    <xf numFmtId="0" fontId="5" fillId="5" borderId="3" xfId="0" applyFont="1" applyFill="1" applyBorder="1" applyAlignment="1"/>
    <xf numFmtId="0" fontId="5" fillId="7" borderId="5" xfId="0" applyFont="1" applyFill="1" applyBorder="1" applyAlignment="1"/>
    <xf numFmtId="0" fontId="0" fillId="7" borderId="5" xfId="0" applyFill="1" applyBorder="1" applyAlignment="1"/>
    <xf numFmtId="0" fontId="26" fillId="10" borderId="0" xfId="0" applyFont="1" applyFill="1" applyBorder="1" applyAlignment="1"/>
    <xf numFmtId="0" fontId="15" fillId="0" borderId="0" xfId="0" applyFont="1" applyAlignment="1"/>
    <xf numFmtId="0" fontId="15" fillId="0" borderId="22" xfId="0" applyFont="1" applyBorder="1" applyAlignment="1"/>
    <xf numFmtId="0" fontId="4" fillId="20" borderId="16" xfId="2" applyFont="1" applyFill="1" applyBorder="1" applyAlignment="1" applyProtection="1">
      <alignment horizontal="center" vertical="center" wrapText="1"/>
    </xf>
    <xf numFmtId="0" fontId="4" fillId="20" borderId="25" xfId="2" applyFont="1" applyFill="1" applyBorder="1" applyAlignment="1" applyProtection="1">
      <alignment horizontal="center" vertical="center" wrapText="1"/>
    </xf>
    <xf numFmtId="0" fontId="4" fillId="20" borderId="19" xfId="2" applyFont="1" applyFill="1" applyBorder="1" applyAlignment="1" applyProtection="1">
      <alignment horizontal="center" vertical="center" wrapText="1"/>
    </xf>
    <xf numFmtId="0" fontId="4" fillId="20" borderId="18" xfId="2" applyFont="1" applyFill="1" applyBorder="1" applyAlignment="1" applyProtection="1">
      <alignment horizontal="center" vertical="center" wrapText="1"/>
    </xf>
    <xf numFmtId="0" fontId="4" fillId="20" borderId="12" xfId="2" applyFont="1" applyFill="1" applyBorder="1" applyAlignment="1" applyProtection="1">
      <alignment horizontal="center" vertical="center" wrapText="1"/>
    </xf>
    <xf numFmtId="0" fontId="4" fillId="20" borderId="9" xfId="2" applyFont="1" applyFill="1" applyBorder="1" applyAlignment="1" applyProtection="1">
      <alignment horizontal="center" vertical="center" wrapText="1"/>
    </xf>
    <xf numFmtId="0" fontId="53" fillId="2" borderId="0" xfId="2" applyFont="1" applyFill="1" applyAlignment="1" applyProtection="1"/>
    <xf numFmtId="0" fontId="53" fillId="0" borderId="0" xfId="2" applyFont="1" applyAlignment="1" applyProtection="1"/>
    <xf numFmtId="0" fontId="64" fillId="20" borderId="7" xfId="0" applyFont="1" applyFill="1" applyBorder="1" applyAlignment="1">
      <alignment horizontal="center" vertical="center" wrapText="1"/>
    </xf>
    <xf numFmtId="0" fontId="64" fillId="20" borderId="5" xfId="0" applyFont="1" applyFill="1" applyBorder="1" applyAlignment="1">
      <alignment horizontal="center" vertical="center" wrapText="1"/>
    </xf>
    <xf numFmtId="2" fontId="107" fillId="14" borderId="3" xfId="0" applyNumberFormat="1" applyFont="1" applyFill="1" applyBorder="1" applyAlignment="1">
      <alignment horizontal="center" vertical="center" wrapText="1"/>
    </xf>
    <xf numFmtId="0" fontId="81" fillId="14" borderId="3" xfId="0" applyFont="1" applyFill="1" applyBorder="1" applyAlignment="1">
      <alignment horizontal="center" vertical="center" wrapText="1"/>
    </xf>
    <xf numFmtId="0" fontId="1" fillId="20" borderId="25" xfId="0" applyFont="1" applyFill="1" applyBorder="1" applyAlignment="1">
      <alignment horizontal="center" vertical="center" wrapText="1"/>
    </xf>
    <xf numFmtId="0" fontId="1" fillId="20" borderId="19" xfId="0" applyFont="1" applyFill="1" applyBorder="1" applyAlignment="1">
      <alignment horizontal="center" vertical="center" wrapText="1"/>
    </xf>
    <xf numFmtId="0" fontId="1" fillId="20" borderId="18" xfId="0" applyFont="1" applyFill="1" applyBorder="1" applyAlignment="1">
      <alignment horizontal="center" vertical="center" wrapText="1"/>
    </xf>
    <xf numFmtId="0" fontId="1" fillId="20" borderId="12" xfId="0" applyFont="1" applyFill="1" applyBorder="1" applyAlignment="1">
      <alignment horizontal="center" vertical="center" wrapText="1"/>
    </xf>
    <xf numFmtId="0" fontId="1" fillId="20" borderId="9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/>
    <xf numFmtId="0" fontId="0" fillId="5" borderId="5" xfId="0" applyFill="1" applyBorder="1" applyAlignment="1"/>
    <xf numFmtId="0" fontId="80" fillId="17" borderId="5" xfId="0" applyFont="1" applyFill="1" applyBorder="1" applyAlignment="1"/>
    <xf numFmtId="0" fontId="81" fillId="17" borderId="5" xfId="0" applyFont="1" applyFill="1" applyBorder="1" applyAlignment="1"/>
    <xf numFmtId="0" fontId="80" fillId="14" borderId="5" xfId="0" applyFont="1" applyFill="1" applyBorder="1" applyAlignment="1"/>
    <xf numFmtId="0" fontId="81" fillId="14" borderId="5" xfId="0" applyFont="1" applyFill="1" applyBorder="1" applyAlignment="1"/>
    <xf numFmtId="0" fontId="2" fillId="5" borderId="25" xfId="0" applyFont="1" applyFill="1" applyBorder="1" applyAlignment="1">
      <alignment horizontal="center" vertical="center"/>
    </xf>
    <xf numFmtId="0" fontId="11" fillId="5" borderId="25" xfId="0" applyFont="1" applyFill="1" applyBorder="1" applyAlignment="1">
      <alignment horizontal="center" vertical="center"/>
    </xf>
    <xf numFmtId="0" fontId="11" fillId="5" borderId="12" xfId="0" applyFont="1" applyFill="1" applyBorder="1" applyAlignment="1">
      <alignment horizontal="center" vertical="center"/>
    </xf>
    <xf numFmtId="0" fontId="5" fillId="8" borderId="3" xfId="0" applyFont="1" applyFill="1" applyBorder="1" applyAlignment="1"/>
    <xf numFmtId="0" fontId="2" fillId="2" borderId="3" xfId="0" applyFont="1" applyFill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5" fillId="7" borderId="11" xfId="0" applyFont="1" applyFill="1" applyBorder="1" applyAlignment="1"/>
    <xf numFmtId="0" fontId="5" fillId="7" borderId="2" xfId="0" applyFont="1" applyFill="1" applyBorder="1" applyAlignment="1"/>
    <xf numFmtId="0" fontId="5" fillId="7" borderId="4" xfId="0" applyFont="1" applyFill="1" applyBorder="1" applyAlignment="1"/>
    <xf numFmtId="0" fontId="91" fillId="16" borderId="0" xfId="0" applyFont="1" applyFill="1" applyBorder="1" applyAlignment="1">
      <alignment horizontal="center" vertical="center" wrapText="1"/>
    </xf>
    <xf numFmtId="0" fontId="83" fillId="16" borderId="0" xfId="0" applyFont="1" applyFill="1" applyBorder="1" applyAlignment="1">
      <alignment horizontal="center" vertical="center" wrapText="1"/>
    </xf>
    <xf numFmtId="0" fontId="5" fillId="5" borderId="11" xfId="0" applyFont="1" applyFill="1" applyBorder="1" applyAlignment="1"/>
    <xf numFmtId="0" fontId="5" fillId="5" borderId="2" xfId="0" applyFont="1" applyFill="1" applyBorder="1" applyAlignment="1"/>
    <xf numFmtId="0" fontId="5" fillId="5" borderId="4" xfId="0" applyFont="1" applyFill="1" applyBorder="1" applyAlignment="1"/>
    <xf numFmtId="0" fontId="5" fillId="8" borderId="5" xfId="0" applyFont="1" applyFill="1" applyBorder="1" applyAlignment="1"/>
    <xf numFmtId="0" fontId="5" fillId="8" borderId="11" xfId="0" applyFont="1" applyFill="1" applyBorder="1" applyAlignment="1"/>
    <xf numFmtId="0" fontId="5" fillId="8" borderId="2" xfId="0" applyFont="1" applyFill="1" applyBorder="1" applyAlignment="1"/>
    <xf numFmtId="0" fontId="5" fillId="8" borderId="4" xfId="0" applyFont="1" applyFill="1" applyBorder="1" applyAlignment="1"/>
    <xf numFmtId="0" fontId="2" fillId="5" borderId="7" xfId="0" applyFont="1" applyFill="1" applyBorder="1" applyAlignment="1">
      <alignment horizontal="center" vertical="center"/>
    </xf>
    <xf numFmtId="0" fontId="11" fillId="5" borderId="5" xfId="0" applyFont="1" applyFill="1" applyBorder="1" applyAlignment="1">
      <alignment horizontal="center" vertical="center"/>
    </xf>
    <xf numFmtId="2" fontId="4" fillId="20" borderId="1" xfId="0" applyNumberFormat="1" applyFont="1" applyFill="1" applyBorder="1" applyAlignment="1">
      <alignment horizontal="center" vertical="center" wrapText="1"/>
    </xf>
    <xf numFmtId="0" fontId="5" fillId="20" borderId="0" xfId="0" applyFont="1" applyFill="1" applyBorder="1" applyAlignment="1">
      <alignment horizontal="center" vertical="center" wrapText="1"/>
    </xf>
    <xf numFmtId="0" fontId="5" fillId="20" borderId="22" xfId="0" applyFont="1" applyFill="1" applyBorder="1" applyAlignment="1">
      <alignment horizontal="center" vertical="center" wrapText="1"/>
    </xf>
    <xf numFmtId="0" fontId="5" fillId="20" borderId="18" xfId="0" applyFont="1" applyFill="1" applyBorder="1" applyAlignment="1">
      <alignment horizontal="center" vertical="center" wrapText="1"/>
    </xf>
    <xf numFmtId="0" fontId="5" fillId="20" borderId="12" xfId="0" applyFont="1" applyFill="1" applyBorder="1" applyAlignment="1">
      <alignment horizontal="center" vertical="center" wrapText="1"/>
    </xf>
    <xf numFmtId="0" fontId="5" fillId="20" borderId="9" xfId="0" applyFont="1" applyFill="1" applyBorder="1" applyAlignment="1">
      <alignment horizontal="center" vertical="center" wrapText="1"/>
    </xf>
    <xf numFmtId="0" fontId="80" fillId="14" borderId="23" xfId="0" applyFont="1" applyFill="1" applyBorder="1" applyAlignment="1">
      <alignment horizontal="center" vertical="center" wrapText="1"/>
    </xf>
    <xf numFmtId="0" fontId="80" fillId="14" borderId="26" xfId="0" applyFont="1" applyFill="1" applyBorder="1" applyAlignment="1">
      <alignment horizontal="center" vertical="center" wrapText="1"/>
    </xf>
    <xf numFmtId="0" fontId="80" fillId="14" borderId="27" xfId="0" applyFont="1" applyFill="1" applyBorder="1" applyAlignment="1">
      <alignment horizontal="center" vertical="center" wrapText="1"/>
    </xf>
    <xf numFmtId="0" fontId="80" fillId="14" borderId="6" xfId="0" applyFont="1" applyFill="1" applyBorder="1" applyAlignment="1">
      <alignment horizontal="center" vertical="center" wrapText="1"/>
    </xf>
    <xf numFmtId="0" fontId="80" fillId="14" borderId="0" xfId="0" applyFont="1" applyFill="1" applyBorder="1" applyAlignment="1">
      <alignment horizontal="center" vertical="center" wrapText="1"/>
    </xf>
    <xf numFmtId="0" fontId="80" fillId="14" borderId="13" xfId="0" applyFont="1" applyFill="1" applyBorder="1" applyAlignment="1">
      <alignment horizontal="center" vertical="center" wrapText="1"/>
    </xf>
    <xf numFmtId="0" fontId="80" fillId="14" borderId="24" xfId="0" applyFont="1" applyFill="1" applyBorder="1" applyAlignment="1">
      <alignment horizontal="center" vertical="center" wrapText="1"/>
    </xf>
    <xf numFmtId="0" fontId="80" fillId="14" borderId="20" xfId="0" applyFont="1" applyFill="1" applyBorder="1" applyAlignment="1">
      <alignment horizontal="center" vertical="center" wrapText="1"/>
    </xf>
    <xf numFmtId="0" fontId="80" fillId="14" borderId="28" xfId="0" applyFont="1" applyFill="1" applyBorder="1" applyAlignment="1">
      <alignment horizontal="center" vertical="center" wrapText="1"/>
    </xf>
    <xf numFmtId="2" fontId="79" fillId="16" borderId="15" xfId="0" applyNumberFormat="1" applyFont="1" applyFill="1" applyBorder="1" applyAlignment="1">
      <alignment horizontal="center" vertical="center" wrapText="1"/>
    </xf>
    <xf numFmtId="0" fontId="107" fillId="16" borderId="15" xfId="0" applyFont="1" applyFill="1" applyBorder="1" applyAlignment="1">
      <alignment horizontal="center" vertical="center" wrapText="1"/>
    </xf>
    <xf numFmtId="0" fontId="18" fillId="8" borderId="5" xfId="0" applyFont="1" applyFill="1" applyBorder="1" applyAlignment="1"/>
    <xf numFmtId="0" fontId="79" fillId="18" borderId="5" xfId="0" applyFont="1" applyFill="1" applyBorder="1" applyAlignment="1"/>
    <xf numFmtId="0" fontId="107" fillId="18" borderId="5" xfId="0" applyFont="1" applyFill="1" applyBorder="1" applyAlignment="1"/>
    <xf numFmtId="0" fontId="88" fillId="14" borderId="16" xfId="0" applyFont="1" applyFill="1" applyBorder="1" applyAlignment="1">
      <alignment horizontal="center" vertical="center" wrapText="1"/>
    </xf>
    <xf numFmtId="0" fontId="89" fillId="14" borderId="25" xfId="0" applyFont="1" applyFill="1" applyBorder="1" applyAlignment="1">
      <alignment horizontal="center" vertical="center" wrapText="1"/>
    </xf>
    <xf numFmtId="0" fontId="89" fillId="14" borderId="19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vertical="center"/>
    </xf>
    <xf numFmtId="0" fontId="0" fillId="2" borderId="5" xfId="0" applyFill="1" applyBorder="1" applyAlignment="1">
      <alignment vertical="center"/>
    </xf>
    <xf numFmtId="0" fontId="0" fillId="0" borderId="5" xfId="0" applyBorder="1" applyAlignment="1">
      <alignment vertical="center"/>
    </xf>
    <xf numFmtId="2" fontId="79" fillId="14" borderId="11" xfId="0" applyNumberFormat="1" applyFont="1" applyFill="1" applyBorder="1" applyAlignment="1">
      <alignment horizontal="center" vertical="center"/>
    </xf>
    <xf numFmtId="0" fontId="79" fillId="14" borderId="2" xfId="0" applyFont="1" applyFill="1" applyBorder="1" applyAlignment="1">
      <alignment horizontal="center" vertical="center"/>
    </xf>
    <xf numFmtId="0" fontId="81" fillId="14" borderId="4" xfId="0" applyFont="1" applyFill="1" applyBorder="1" applyAlignment="1">
      <alignment horizontal="center" vertical="center"/>
    </xf>
    <xf numFmtId="0" fontId="81" fillId="16" borderId="0" xfId="0" applyFont="1" applyFill="1" applyBorder="1" applyAlignment="1">
      <alignment horizontal="center" vertical="center" wrapText="1"/>
    </xf>
    <xf numFmtId="0" fontId="0" fillId="16" borderId="0" xfId="0" applyFill="1" applyBorder="1" applyAlignment="1">
      <alignment horizontal="center" vertical="center" wrapText="1"/>
    </xf>
    <xf numFmtId="2" fontId="4" fillId="8" borderId="11" xfId="0" applyNumberFormat="1" applyFont="1" applyFill="1" applyBorder="1" applyAlignment="1">
      <alignment vertical="center" wrapText="1"/>
    </xf>
    <xf numFmtId="2" fontId="4" fillId="8" borderId="2" xfId="0" applyNumberFormat="1" applyFont="1" applyFill="1" applyBorder="1" applyAlignment="1">
      <alignment vertical="center" wrapText="1"/>
    </xf>
    <xf numFmtId="0" fontId="0" fillId="8" borderId="4" xfId="0" applyFill="1" applyBorder="1" applyAlignment="1">
      <alignment vertical="center" wrapText="1"/>
    </xf>
    <xf numFmtId="0" fontId="5" fillId="20" borderId="1" xfId="0" applyFont="1" applyFill="1" applyBorder="1" applyAlignment="1">
      <alignment horizontal="center" vertical="center" wrapText="1"/>
    </xf>
    <xf numFmtId="0" fontId="0" fillId="20" borderId="0" xfId="0" applyFill="1" applyBorder="1" applyAlignment="1">
      <alignment horizontal="center" vertical="center" wrapText="1"/>
    </xf>
    <xf numFmtId="0" fontId="0" fillId="20" borderId="22" xfId="0" applyFill="1" applyBorder="1" applyAlignment="1">
      <alignment horizontal="center" vertical="center" wrapText="1"/>
    </xf>
    <xf numFmtId="0" fontId="0" fillId="20" borderId="12" xfId="0" applyFill="1" applyBorder="1" applyAlignment="1">
      <alignment horizontal="center" vertical="center" wrapText="1"/>
    </xf>
    <xf numFmtId="0" fontId="0" fillId="20" borderId="9" xfId="0" applyFill="1" applyBorder="1" applyAlignment="1">
      <alignment horizontal="center" vertical="center" wrapText="1"/>
    </xf>
    <xf numFmtId="0" fontId="15" fillId="2" borderId="16" xfId="0" applyFont="1" applyFill="1" applyBorder="1" applyAlignment="1">
      <alignment horizontal="center" vertical="center" wrapText="1"/>
    </xf>
    <xf numFmtId="0" fontId="0" fillId="5" borderId="25" xfId="0" applyFill="1" applyBorder="1" applyAlignment="1">
      <alignment horizontal="center" vertical="center" wrapText="1"/>
    </xf>
    <xf numFmtId="0" fontId="0" fillId="8" borderId="19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0" fillId="5" borderId="0" xfId="0" applyFill="1" applyAlignment="1">
      <alignment horizontal="center" vertical="center" wrapText="1"/>
    </xf>
    <xf numFmtId="0" fontId="0" fillId="5" borderId="22" xfId="0" applyFill="1" applyBorder="1" applyAlignment="1">
      <alignment horizontal="center" vertical="center" wrapText="1"/>
    </xf>
    <xf numFmtId="0" fontId="0" fillId="5" borderId="18" xfId="0" applyFill="1" applyBorder="1" applyAlignment="1">
      <alignment horizontal="center" vertical="center" wrapText="1"/>
    </xf>
    <xf numFmtId="0" fontId="0" fillId="5" borderId="12" xfId="0" applyFill="1" applyBorder="1" applyAlignment="1">
      <alignment horizontal="center" vertical="center" wrapText="1"/>
    </xf>
    <xf numFmtId="0" fontId="0" fillId="5" borderId="9" xfId="0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88" fillId="14" borderId="3" xfId="0" applyFont="1" applyFill="1" applyBorder="1" applyAlignment="1">
      <alignment horizontal="center" vertical="center" wrapText="1"/>
    </xf>
    <xf numFmtId="0" fontId="89" fillId="14" borderId="3" xfId="0" applyFont="1" applyFill="1" applyBorder="1" applyAlignment="1">
      <alignment horizontal="center" vertical="center" wrapText="1"/>
    </xf>
    <xf numFmtId="2" fontId="28" fillId="6" borderId="11" xfId="0" applyNumberFormat="1" applyFont="1" applyFill="1" applyBorder="1" applyAlignment="1">
      <alignment horizontal="left" vertical="center" wrapText="1"/>
    </xf>
    <xf numFmtId="0" fontId="6" fillId="6" borderId="2" xfId="0" applyFont="1" applyFill="1" applyBorder="1" applyAlignment="1">
      <alignment horizontal="left" vertical="center" wrapText="1"/>
    </xf>
    <xf numFmtId="0" fontId="5" fillId="7" borderId="3" xfId="0" applyFont="1" applyFill="1" applyBorder="1" applyAlignment="1"/>
    <xf numFmtId="0" fontId="87" fillId="8" borderId="3" xfId="0" applyFont="1" applyFill="1" applyBorder="1" applyAlignment="1">
      <alignment horizontal="left" wrapText="1"/>
    </xf>
    <xf numFmtId="0" fontId="69" fillId="10" borderId="0" xfId="0" applyFont="1" applyFill="1" applyBorder="1" applyAlignment="1"/>
    <xf numFmtId="0" fontId="68" fillId="0" borderId="0" xfId="0" applyFont="1" applyAlignment="1"/>
    <xf numFmtId="0" fontId="68" fillId="0" borderId="22" xfId="0" applyFont="1" applyBorder="1" applyAlignment="1"/>
    <xf numFmtId="0" fontId="69" fillId="10" borderId="1" xfId="0" applyFont="1" applyFill="1" applyBorder="1" applyAlignment="1"/>
    <xf numFmtId="0" fontId="69" fillId="10" borderId="0" xfId="0" applyFont="1" applyFill="1" applyAlignment="1"/>
    <xf numFmtId="0" fontId="69" fillId="10" borderId="22" xfId="0" applyFont="1" applyFill="1" applyBorder="1" applyAlignment="1"/>
    <xf numFmtId="0" fontId="18" fillId="22" borderId="3" xfId="0" applyFont="1" applyFill="1" applyBorder="1" applyAlignment="1"/>
    <xf numFmtId="0" fontId="64" fillId="12" borderId="7" xfId="0" applyFont="1" applyFill="1" applyBorder="1" applyAlignment="1">
      <alignment horizontal="center" vertical="center" wrapText="1"/>
    </xf>
    <xf numFmtId="0" fontId="63" fillId="12" borderId="5" xfId="0" applyFont="1" applyFill="1" applyBorder="1" applyAlignment="1">
      <alignment horizontal="center" vertical="center" wrapText="1"/>
    </xf>
    <xf numFmtId="0" fontId="69" fillId="10" borderId="0" xfId="0" applyFont="1" applyFill="1" applyAlignment="1">
      <alignment vertical="center"/>
    </xf>
    <xf numFmtId="2" fontId="5" fillId="7" borderId="5" xfId="0" applyNumberFormat="1" applyFont="1" applyFill="1" applyBorder="1" applyAlignment="1"/>
    <xf numFmtId="0" fontId="18" fillId="7" borderId="5" xfId="0" applyFont="1" applyFill="1" applyBorder="1" applyAlignment="1"/>
    <xf numFmtId="2" fontId="107" fillId="14" borderId="25" xfId="0" applyNumberFormat="1" applyFont="1" applyFill="1" applyBorder="1" applyAlignment="1">
      <alignment horizontal="center" vertical="center" wrapText="1"/>
    </xf>
    <xf numFmtId="0" fontId="81" fillId="14" borderId="25" xfId="0" applyFont="1" applyFill="1" applyBorder="1" applyAlignment="1">
      <alignment horizontal="center" vertical="center" wrapText="1"/>
    </xf>
    <xf numFmtId="0" fontId="81" fillId="14" borderId="19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11" fillId="5" borderId="3" xfId="0" applyFont="1" applyFill="1" applyBorder="1" applyAlignment="1">
      <alignment horizontal="center" vertical="center" wrapText="1"/>
    </xf>
    <xf numFmtId="0" fontId="2" fillId="10" borderId="1" xfId="0" applyFont="1" applyFill="1" applyBorder="1" applyAlignment="1">
      <alignment horizontal="left"/>
    </xf>
    <xf numFmtId="0" fontId="2" fillId="10" borderId="0" xfId="0" applyFont="1" applyFill="1" applyBorder="1" applyAlignment="1">
      <alignment horizontal="left"/>
    </xf>
    <xf numFmtId="0" fontId="2" fillId="10" borderId="22" xfId="0" applyFont="1" applyFill="1" applyBorder="1" applyAlignment="1">
      <alignment horizontal="left"/>
    </xf>
    <xf numFmtId="2" fontId="87" fillId="8" borderId="11" xfId="0" applyNumberFormat="1" applyFont="1" applyFill="1" applyBorder="1" applyAlignment="1"/>
    <xf numFmtId="2" fontId="0" fillId="5" borderId="3" xfId="0" applyNumberFormat="1" applyFill="1" applyBorder="1" applyAlignment="1"/>
    <xf numFmtId="2" fontId="5" fillId="22" borderId="5" xfId="0" applyNumberFormat="1" applyFont="1" applyFill="1" applyBorder="1" applyAlignment="1"/>
    <xf numFmtId="0" fontId="0" fillId="22" borderId="5" xfId="0" applyFill="1" applyBorder="1" applyAlignment="1"/>
    <xf numFmtId="2" fontId="5" fillId="8" borderId="7" xfId="0" applyNumberFormat="1" applyFont="1" applyFill="1" applyBorder="1" applyAlignment="1"/>
    <xf numFmtId="0" fontId="18" fillId="8" borderId="7" xfId="0" applyFont="1" applyFill="1" applyBorder="1" applyAlignment="1"/>
    <xf numFmtId="2" fontId="5" fillId="7" borderId="2" xfId="0" applyNumberFormat="1" applyFont="1" applyFill="1" applyBorder="1" applyAlignment="1"/>
    <xf numFmtId="2" fontId="5" fillId="7" borderId="4" xfId="0" applyNumberFormat="1" applyFont="1" applyFill="1" applyBorder="1" applyAlignment="1"/>
    <xf numFmtId="0" fontId="14" fillId="0" borderId="0" xfId="0" applyFont="1" applyAlignment="1"/>
    <xf numFmtId="0" fontId="14" fillId="0" borderId="22" xfId="0" applyFont="1" applyBorder="1" applyAlignment="1"/>
    <xf numFmtId="0" fontId="76" fillId="10" borderId="1" xfId="0" applyFont="1" applyFill="1" applyBorder="1" applyAlignment="1"/>
    <xf numFmtId="0" fontId="0" fillId="0" borderId="0" xfId="0" applyBorder="1" applyAlignment="1"/>
    <xf numFmtId="0" fontId="0" fillId="0" borderId="22" xfId="0" applyBorder="1" applyAlignment="1"/>
    <xf numFmtId="0" fontId="76" fillId="10" borderId="1" xfId="0" applyFont="1" applyFill="1" applyBorder="1" applyAlignment="1">
      <alignment vertical="center"/>
    </xf>
    <xf numFmtId="0" fontId="78" fillId="10" borderId="0" xfId="0" applyFont="1" applyFill="1" applyBorder="1" applyAlignment="1">
      <alignment vertical="center"/>
    </xf>
    <xf numFmtId="0" fontId="78" fillId="10" borderId="22" xfId="0" applyFont="1" applyFill="1" applyBorder="1" applyAlignment="1">
      <alignment vertical="center"/>
    </xf>
    <xf numFmtId="0" fontId="1" fillId="7" borderId="3" xfId="0" applyFont="1" applyFill="1" applyBorder="1" applyAlignment="1"/>
    <xf numFmtId="0" fontId="103" fillId="14" borderId="11" xfId="2" applyFont="1" applyFill="1" applyBorder="1" applyAlignment="1" applyProtection="1">
      <alignment horizontal="center" vertical="center" wrapText="1"/>
    </xf>
    <xf numFmtId="0" fontId="103" fillId="14" borderId="2" xfId="2" applyFont="1" applyFill="1" applyBorder="1" applyAlignment="1" applyProtection="1">
      <alignment horizontal="center" vertical="center" wrapText="1"/>
    </xf>
    <xf numFmtId="0" fontId="103" fillId="14" borderId="4" xfId="2" applyFont="1" applyFill="1" applyBorder="1" applyAlignment="1" applyProtection="1">
      <alignment horizontal="center" vertical="center" wrapText="1"/>
    </xf>
    <xf numFmtId="0" fontId="88" fillId="14" borderId="34" xfId="0" applyFont="1" applyFill="1" applyBorder="1" applyAlignment="1">
      <alignment horizontal="center" vertical="center" wrapText="1"/>
    </xf>
    <xf numFmtId="0" fontId="89" fillId="14" borderId="26" xfId="0" applyFont="1" applyFill="1" applyBorder="1" applyAlignment="1">
      <alignment horizontal="center" vertical="center" wrapText="1"/>
    </xf>
    <xf numFmtId="0" fontId="81" fillId="14" borderId="29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5" fillId="20" borderId="11" xfId="0" applyFont="1" applyFill="1" applyBorder="1" applyAlignment="1">
      <alignment horizontal="center" vertical="center" wrapText="1"/>
    </xf>
    <xf numFmtId="0" fontId="9" fillId="20" borderId="2" xfId="0" applyFont="1" applyFill="1" applyBorder="1" applyAlignment="1">
      <alignment horizontal="center" vertical="center" wrapText="1"/>
    </xf>
    <xf numFmtId="0" fontId="9" fillId="20" borderId="4" xfId="0" applyFont="1" applyFill="1" applyBorder="1" applyAlignment="1">
      <alignment horizontal="center" vertical="center" wrapText="1"/>
    </xf>
    <xf numFmtId="0" fontId="9" fillId="20" borderId="16" xfId="0" applyFont="1" applyFill="1" applyBorder="1" applyAlignment="1">
      <alignment horizontal="left" vertical="center" wrapText="1"/>
    </xf>
    <xf numFmtId="0" fontId="9" fillId="20" borderId="25" xfId="0" applyFont="1" applyFill="1" applyBorder="1" applyAlignment="1">
      <alignment horizontal="left" vertical="center" wrapText="1"/>
    </xf>
    <xf numFmtId="0" fontId="9" fillId="20" borderId="25" xfId="0" applyFont="1" applyFill="1" applyBorder="1" applyAlignment="1">
      <alignment wrapText="1"/>
    </xf>
    <xf numFmtId="0" fontId="9" fillId="20" borderId="19" xfId="0" applyFont="1" applyFill="1" applyBorder="1" applyAlignment="1">
      <alignment wrapText="1"/>
    </xf>
    <xf numFmtId="0" fontId="9" fillId="20" borderId="1" xfId="0" applyFont="1" applyFill="1" applyBorder="1" applyAlignment="1">
      <alignment horizontal="left" vertical="center" wrapText="1"/>
    </xf>
    <xf numFmtId="0" fontId="9" fillId="20" borderId="0" xfId="0" applyFont="1" applyFill="1" applyBorder="1" applyAlignment="1">
      <alignment horizontal="left" vertical="center" wrapText="1"/>
    </xf>
    <xf numFmtId="0" fontId="9" fillId="20" borderId="0" xfId="0" applyFont="1" applyFill="1" applyBorder="1" applyAlignment="1">
      <alignment wrapText="1"/>
    </xf>
    <xf numFmtId="0" fontId="9" fillId="20" borderId="22" xfId="0" applyFont="1" applyFill="1" applyBorder="1" applyAlignment="1">
      <alignment wrapText="1"/>
    </xf>
    <xf numFmtId="0" fontId="9" fillId="20" borderId="1" xfId="0" applyFont="1" applyFill="1" applyBorder="1" applyAlignment="1">
      <alignment horizontal="left" wrapText="1"/>
    </xf>
    <xf numFmtId="0" fontId="9" fillId="20" borderId="0" xfId="0" applyFont="1" applyFill="1" applyBorder="1" applyAlignment="1">
      <alignment horizontal="left" wrapText="1"/>
    </xf>
    <xf numFmtId="0" fontId="0" fillId="20" borderId="1" xfId="0" applyFill="1" applyBorder="1" applyAlignment="1">
      <alignment wrapText="1"/>
    </xf>
    <xf numFmtId="0" fontId="0" fillId="20" borderId="0" xfId="0" applyFill="1" applyBorder="1" applyAlignment="1">
      <alignment wrapText="1"/>
    </xf>
    <xf numFmtId="0" fontId="0" fillId="20" borderId="22" xfId="0" applyFill="1" applyBorder="1" applyAlignment="1">
      <alignment wrapText="1"/>
    </xf>
    <xf numFmtId="0" fontId="0" fillId="20" borderId="18" xfId="0" applyFill="1" applyBorder="1" applyAlignment="1">
      <alignment wrapText="1"/>
    </xf>
    <xf numFmtId="0" fontId="0" fillId="20" borderId="12" xfId="0" applyFill="1" applyBorder="1" applyAlignment="1">
      <alignment wrapText="1"/>
    </xf>
    <xf numFmtId="0" fontId="0" fillId="20" borderId="9" xfId="0" applyFill="1" applyBorder="1" applyAlignment="1">
      <alignment wrapText="1"/>
    </xf>
    <xf numFmtId="0" fontId="88" fillId="14" borderId="1" xfId="0" applyFont="1" applyFill="1" applyBorder="1" applyAlignment="1">
      <alignment horizontal="center" vertical="center" wrapText="1"/>
    </xf>
    <xf numFmtId="0" fontId="89" fillId="14" borderId="0" xfId="0" applyFont="1" applyFill="1" applyBorder="1" applyAlignment="1">
      <alignment horizontal="center" vertical="center" wrapText="1"/>
    </xf>
    <xf numFmtId="0" fontId="81" fillId="14" borderId="2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7" fillId="10" borderId="42" xfId="0" applyFont="1" applyFill="1" applyBorder="1" applyAlignment="1">
      <alignment horizontal="center" vertical="center" wrapText="1"/>
    </xf>
    <xf numFmtId="0" fontId="37" fillId="10" borderId="32" xfId="0" applyFont="1" applyFill="1" applyBorder="1" applyAlignment="1">
      <alignment horizontal="center" vertical="center" wrapText="1"/>
    </xf>
    <xf numFmtId="0" fontId="0" fillId="10" borderId="32" xfId="0" applyFill="1" applyBorder="1" applyAlignment="1">
      <alignment horizontal="center" vertical="center" wrapText="1"/>
    </xf>
    <xf numFmtId="0" fontId="0" fillId="10" borderId="33" xfId="0" applyFill="1" applyBorder="1" applyAlignment="1">
      <alignment horizontal="center" vertical="center" wrapText="1"/>
    </xf>
    <xf numFmtId="0" fontId="102" fillId="20" borderId="1" xfId="0" applyFont="1" applyFill="1" applyBorder="1" applyAlignment="1">
      <alignment horizontal="center" vertical="center" wrapText="1"/>
    </xf>
    <xf numFmtId="0" fontId="5" fillId="20" borderId="0" xfId="0" applyFont="1" applyFill="1" applyBorder="1" applyAlignment="1">
      <alignment wrapText="1"/>
    </xf>
    <xf numFmtId="0" fontId="1" fillId="20" borderId="0" xfId="0" applyFont="1" applyFill="1" applyBorder="1" applyAlignment="1">
      <alignment wrapText="1"/>
    </xf>
    <xf numFmtId="0" fontId="1" fillId="20" borderId="22" xfId="0" applyFont="1" applyFill="1" applyBorder="1" applyAlignment="1">
      <alignment wrapText="1"/>
    </xf>
    <xf numFmtId="0" fontId="5" fillId="20" borderId="1" xfId="0" applyFont="1" applyFill="1" applyBorder="1" applyAlignment="1">
      <alignment wrapText="1"/>
    </xf>
    <xf numFmtId="0" fontId="5" fillId="20" borderId="18" xfId="0" applyFont="1" applyFill="1" applyBorder="1" applyAlignment="1">
      <alignment wrapText="1"/>
    </xf>
    <xf numFmtId="0" fontId="5" fillId="20" borderId="12" xfId="0" applyFont="1" applyFill="1" applyBorder="1" applyAlignment="1">
      <alignment wrapText="1"/>
    </xf>
    <xf numFmtId="0" fontId="1" fillId="20" borderId="12" xfId="0" applyFont="1" applyFill="1" applyBorder="1" applyAlignment="1">
      <alignment wrapText="1"/>
    </xf>
    <xf numFmtId="0" fontId="1" fillId="20" borderId="9" xfId="0" applyFont="1" applyFill="1" applyBorder="1" applyAlignment="1">
      <alignment wrapText="1"/>
    </xf>
    <xf numFmtId="0" fontId="26" fillId="2" borderId="3" xfId="0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95" fillId="14" borderId="41" xfId="0" applyFont="1" applyFill="1" applyBorder="1" applyAlignment="1">
      <alignment horizontal="center" vertical="center" wrapText="1"/>
    </xf>
    <xf numFmtId="0" fontId="81" fillId="14" borderId="30" xfId="0" applyFont="1" applyFill="1" applyBorder="1" applyAlignment="1">
      <alignment horizontal="center" vertical="center" wrapText="1"/>
    </xf>
    <xf numFmtId="0" fontId="81" fillId="14" borderId="31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2" fontId="80" fillId="16" borderId="15" xfId="0" applyNumberFormat="1" applyFont="1" applyFill="1" applyBorder="1" applyAlignment="1">
      <alignment horizontal="center" vertical="center" wrapText="1"/>
    </xf>
    <xf numFmtId="0" fontId="81" fillId="16" borderId="15" xfId="0" applyFont="1" applyFill="1" applyBorder="1" applyAlignment="1">
      <alignment horizontal="center" vertical="center" wrapText="1"/>
    </xf>
    <xf numFmtId="0" fontId="100" fillId="14" borderId="11" xfId="0" applyFont="1" applyFill="1" applyBorder="1" applyAlignment="1">
      <alignment horizontal="center" vertical="center" wrapText="1"/>
    </xf>
    <xf numFmtId="0" fontId="100" fillId="14" borderId="2" xfId="0" applyFont="1" applyFill="1" applyBorder="1" applyAlignment="1">
      <alignment horizontal="center" vertical="center" wrapText="1"/>
    </xf>
    <xf numFmtId="0" fontId="101" fillId="14" borderId="4" xfId="0" applyFont="1" applyFill="1" applyBorder="1" applyAlignment="1">
      <alignment horizontal="center" vertical="center" wrapText="1"/>
    </xf>
    <xf numFmtId="0" fontId="19" fillId="5" borderId="16" xfId="0" applyFont="1" applyFill="1" applyBorder="1" applyAlignment="1">
      <alignment horizontal="left" vertical="center"/>
    </xf>
    <xf numFmtId="0" fontId="15" fillId="5" borderId="25" xfId="0" applyFont="1" applyFill="1" applyBorder="1" applyAlignment="1">
      <alignment horizontal="left" vertical="center"/>
    </xf>
    <xf numFmtId="0" fontId="15" fillId="5" borderId="19" xfId="0" applyFont="1" applyFill="1" applyBorder="1" applyAlignment="1">
      <alignment horizontal="left" vertical="center"/>
    </xf>
    <xf numFmtId="0" fontId="107" fillId="16" borderId="5" xfId="0" applyFont="1" applyFill="1" applyBorder="1" applyAlignment="1">
      <alignment horizontal="center" vertical="center" wrapText="1"/>
    </xf>
    <xf numFmtId="2" fontId="5" fillId="5" borderId="18" xfId="0" applyNumberFormat="1" applyFont="1" applyFill="1" applyBorder="1" applyAlignment="1"/>
    <xf numFmtId="0" fontId="0" fillId="5" borderId="12" xfId="0" applyFill="1" applyBorder="1" applyAlignment="1"/>
    <xf numFmtId="0" fontId="0" fillId="5" borderId="9" xfId="0" applyFill="1" applyBorder="1" applyAlignment="1"/>
    <xf numFmtId="2" fontId="87" fillId="5" borderId="3" xfId="0" applyNumberFormat="1" applyFont="1" applyFill="1" applyBorder="1" applyAlignment="1"/>
    <xf numFmtId="0" fontId="86" fillId="5" borderId="3" xfId="0" applyFont="1" applyFill="1" applyBorder="1" applyAlignment="1"/>
    <xf numFmtId="0" fontId="1" fillId="8" borderId="2" xfId="0" applyFont="1" applyFill="1" applyBorder="1" applyAlignment="1"/>
    <xf numFmtId="0" fontId="1" fillId="8" borderId="4" xfId="0" applyFont="1" applyFill="1" applyBorder="1" applyAlignment="1"/>
    <xf numFmtId="2" fontId="1" fillId="22" borderId="5" xfId="0" applyNumberFormat="1" applyFont="1" applyFill="1" applyBorder="1" applyAlignment="1"/>
    <xf numFmtId="0" fontId="75" fillId="5" borderId="0" xfId="0" applyFont="1" applyFill="1" applyBorder="1" applyAlignment="1">
      <alignment horizontal="center" vertical="center" wrapText="1"/>
    </xf>
    <xf numFmtId="2" fontId="62" fillId="22" borderId="3" xfId="0" applyNumberFormat="1" applyFont="1" applyFill="1" applyBorder="1" applyAlignment="1">
      <alignment horizontal="center" vertical="center"/>
    </xf>
    <xf numFmtId="0" fontId="1" fillId="22" borderId="3" xfId="0" applyFont="1" applyFill="1" applyBorder="1" applyAlignment="1">
      <alignment horizontal="center" vertical="center"/>
    </xf>
    <xf numFmtId="0" fontId="15" fillId="10" borderId="1" xfId="0" applyFont="1" applyFill="1" applyBorder="1" applyAlignment="1">
      <alignment vertical="center"/>
    </xf>
    <xf numFmtId="0" fontId="9" fillId="10" borderId="0" xfId="0" applyFont="1" applyFill="1" applyBorder="1" applyAlignment="1">
      <alignment vertical="center"/>
    </xf>
    <xf numFmtId="0" fontId="9" fillId="10" borderId="22" xfId="0" applyFont="1" applyFill="1" applyBorder="1" applyAlignment="1">
      <alignment vertical="center"/>
    </xf>
    <xf numFmtId="0" fontId="30" fillId="2" borderId="0" xfId="0" applyFont="1" applyFill="1" applyBorder="1" applyAlignment="1">
      <alignment horizontal="center" vertical="center" textRotation="90" wrapText="1"/>
    </xf>
    <xf numFmtId="2" fontId="4" fillId="5" borderId="11" xfId="0" applyNumberFormat="1" applyFont="1" applyFill="1" applyBorder="1" applyAlignment="1">
      <alignment vertical="center" wrapText="1"/>
    </xf>
    <xf numFmtId="2" fontId="4" fillId="5" borderId="2" xfId="0" applyNumberFormat="1" applyFont="1" applyFill="1" applyBorder="1" applyAlignment="1">
      <alignment vertical="center" wrapText="1"/>
    </xf>
    <xf numFmtId="0" fontId="0" fillId="5" borderId="4" xfId="0" applyFill="1" applyBorder="1" applyAlignment="1">
      <alignment vertical="center" wrapText="1"/>
    </xf>
    <xf numFmtId="2" fontId="17" fillId="8" borderId="3" xfId="0" applyNumberFormat="1" applyFont="1" applyFill="1" applyBorder="1" applyAlignment="1"/>
    <xf numFmtId="0" fontId="39" fillId="8" borderId="3" xfId="0" applyFont="1" applyFill="1" applyBorder="1" applyAlignment="1"/>
    <xf numFmtId="2" fontId="0" fillId="8" borderId="3" xfId="0" applyNumberFormat="1" applyFill="1" applyBorder="1" applyAlignment="1"/>
    <xf numFmtId="0" fontId="87" fillId="5" borderId="3" xfId="0" applyFont="1" applyFill="1" applyBorder="1" applyAlignment="1">
      <alignment horizontal="left" wrapText="1"/>
    </xf>
    <xf numFmtId="0" fontId="19" fillId="8" borderId="11" xfId="0" applyFont="1" applyFill="1" applyBorder="1" applyAlignment="1">
      <alignment horizontal="left" vertical="center"/>
    </xf>
    <xf numFmtId="0" fontId="15" fillId="8" borderId="2" xfId="0" applyFont="1" applyFill="1" applyBorder="1" applyAlignment="1">
      <alignment horizontal="left" vertical="center"/>
    </xf>
    <xf numFmtId="0" fontId="15" fillId="8" borderId="4" xfId="0" applyFont="1" applyFill="1" applyBorder="1" applyAlignment="1">
      <alignment horizontal="left" vertical="center"/>
    </xf>
    <xf numFmtId="0" fontId="19" fillId="5" borderId="11" xfId="0" applyFont="1" applyFill="1" applyBorder="1" applyAlignment="1">
      <alignment horizontal="left" vertical="center"/>
    </xf>
    <xf numFmtId="0" fontId="15" fillId="5" borderId="2" xfId="0" applyFont="1" applyFill="1" applyBorder="1" applyAlignment="1">
      <alignment horizontal="left" vertical="center"/>
    </xf>
    <xf numFmtId="0" fontId="15" fillId="5" borderId="4" xfId="0" applyFont="1" applyFill="1" applyBorder="1" applyAlignment="1">
      <alignment horizontal="left" vertical="center"/>
    </xf>
    <xf numFmtId="0" fontId="5" fillId="5" borderId="18" xfId="0" applyFont="1" applyFill="1" applyBorder="1" applyAlignment="1"/>
    <xf numFmtId="2" fontId="5" fillId="8" borderId="16" xfId="0" applyNumberFormat="1" applyFont="1" applyFill="1" applyBorder="1" applyAlignment="1">
      <alignment wrapText="1"/>
    </xf>
    <xf numFmtId="0" fontId="0" fillId="8" borderId="25" xfId="0" applyFill="1" applyBorder="1" applyAlignment="1">
      <alignment wrapText="1"/>
    </xf>
    <xf numFmtId="0" fontId="0" fillId="8" borderId="19" xfId="0" applyFill="1" applyBorder="1" applyAlignment="1">
      <alignment wrapText="1"/>
    </xf>
    <xf numFmtId="0" fontId="5" fillId="5" borderId="11" xfId="0" applyNumberFormat="1" applyFont="1" applyFill="1" applyBorder="1" applyAlignment="1"/>
    <xf numFmtId="0" fontId="0" fillId="5" borderId="2" xfId="0" applyNumberFormat="1" applyFill="1" applyBorder="1" applyAlignment="1"/>
    <xf numFmtId="0" fontId="0" fillId="5" borderId="4" xfId="0" applyNumberFormat="1" applyFill="1" applyBorder="1" applyAlignment="1"/>
    <xf numFmtId="2" fontId="5" fillId="7" borderId="11" xfId="0" applyNumberFormat="1" applyFont="1" applyFill="1" applyBorder="1" applyAlignment="1">
      <alignment wrapText="1"/>
    </xf>
    <xf numFmtId="0" fontId="0" fillId="7" borderId="2" xfId="0" applyFill="1" applyBorder="1" applyAlignment="1">
      <alignment wrapText="1"/>
    </xf>
    <xf numFmtId="0" fontId="0" fillId="7" borderId="4" xfId="0" applyFill="1" applyBorder="1" applyAlignment="1">
      <alignment wrapText="1"/>
    </xf>
    <xf numFmtId="2" fontId="62" fillId="13" borderId="1" xfId="0" applyNumberFormat="1" applyFont="1" applyFill="1" applyBorder="1" applyAlignment="1">
      <alignment horizontal="center" vertical="center" wrapText="1"/>
    </xf>
    <xf numFmtId="0" fontId="1" fillId="13" borderId="0" xfId="0" applyFont="1" applyFill="1" applyBorder="1" applyAlignment="1">
      <alignment horizontal="center" vertical="center" wrapText="1"/>
    </xf>
    <xf numFmtId="0" fontId="1" fillId="13" borderId="22" xfId="0" applyFont="1" applyFill="1" applyBorder="1" applyAlignment="1">
      <alignment horizontal="center" vertical="center" wrapText="1"/>
    </xf>
    <xf numFmtId="0" fontId="1" fillId="13" borderId="1" xfId="0" applyFont="1" applyFill="1" applyBorder="1" applyAlignment="1">
      <alignment horizontal="center" vertical="center" wrapText="1"/>
    </xf>
    <xf numFmtId="0" fontId="1" fillId="13" borderId="0" xfId="0" applyFont="1" applyFill="1" applyAlignment="1">
      <alignment horizontal="center" vertical="center" wrapText="1"/>
    </xf>
    <xf numFmtId="0" fontId="1" fillId="13" borderId="18" xfId="0" applyFont="1" applyFill="1" applyBorder="1" applyAlignment="1">
      <alignment horizontal="center" vertical="center" wrapText="1"/>
    </xf>
    <xf numFmtId="0" fontId="1" fillId="13" borderId="12" xfId="0" applyFont="1" applyFill="1" applyBorder="1" applyAlignment="1">
      <alignment horizontal="center" vertical="center" wrapText="1"/>
    </xf>
    <xf numFmtId="0" fontId="1" fillId="13" borderId="9" xfId="0" applyFont="1" applyFill="1" applyBorder="1" applyAlignment="1">
      <alignment horizontal="center" vertical="center" wrapText="1"/>
    </xf>
    <xf numFmtId="0" fontId="1" fillId="22" borderId="3" xfId="0" applyFont="1" applyFill="1" applyBorder="1" applyAlignment="1"/>
    <xf numFmtId="2" fontId="69" fillId="13" borderId="16" xfId="0" applyNumberFormat="1" applyFont="1" applyFill="1" applyBorder="1" applyAlignment="1">
      <alignment horizontal="center" vertical="center" wrapText="1"/>
    </xf>
    <xf numFmtId="0" fontId="75" fillId="13" borderId="25" xfId="0" applyFont="1" applyFill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75" fillId="13" borderId="1" xfId="0" applyFont="1" applyFill="1" applyBorder="1" applyAlignment="1">
      <alignment horizontal="center" vertical="center" wrapText="1"/>
    </xf>
    <xf numFmtId="0" fontId="75" fillId="13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75" fillId="13" borderId="18" xfId="0" applyFont="1" applyFill="1" applyBorder="1" applyAlignment="1">
      <alignment horizontal="center" vertical="center" wrapText="1"/>
    </xf>
    <xf numFmtId="0" fontId="75" fillId="13" borderId="12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2" fontId="41" fillId="8" borderId="3" xfId="0" applyNumberFormat="1" applyFont="1" applyFill="1" applyBorder="1" applyAlignment="1">
      <alignment horizontal="center" vertical="center" wrapText="1"/>
    </xf>
    <xf numFmtId="2" fontId="48" fillId="8" borderId="3" xfId="0" applyNumberFormat="1" applyFont="1" applyFill="1" applyBorder="1" applyAlignment="1">
      <alignment horizontal="center" vertical="center" wrapText="1"/>
    </xf>
    <xf numFmtId="0" fontId="63" fillId="8" borderId="3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left" vertical="center" wrapText="1"/>
    </xf>
    <xf numFmtId="0" fontId="18" fillId="7" borderId="3" xfId="0" applyFont="1" applyFill="1" applyBorder="1" applyAlignment="1"/>
    <xf numFmtId="0" fontId="108" fillId="13" borderId="16" xfId="0" applyFont="1" applyFill="1" applyBorder="1" applyAlignment="1">
      <alignment horizontal="center" vertical="center" wrapText="1"/>
    </xf>
    <xf numFmtId="0" fontId="108" fillId="13" borderId="25" xfId="0" applyFont="1" applyFill="1" applyBorder="1" applyAlignment="1">
      <alignment horizontal="center" vertical="center" wrapText="1"/>
    </xf>
    <xf numFmtId="0" fontId="108" fillId="13" borderId="19" xfId="0" applyFont="1" applyFill="1" applyBorder="1" applyAlignment="1">
      <alignment horizontal="center" vertical="center" wrapText="1"/>
    </xf>
    <xf numFmtId="0" fontId="108" fillId="13" borderId="1" xfId="0" applyFont="1" applyFill="1" applyBorder="1" applyAlignment="1">
      <alignment horizontal="center" vertical="center" wrapText="1"/>
    </xf>
    <xf numFmtId="0" fontId="108" fillId="13" borderId="0" xfId="0" applyFont="1" applyFill="1" applyBorder="1" applyAlignment="1">
      <alignment horizontal="center" vertical="center" wrapText="1"/>
    </xf>
    <xf numFmtId="0" fontId="108" fillId="13" borderId="22" xfId="0" applyFont="1" applyFill="1" applyBorder="1" applyAlignment="1">
      <alignment horizontal="center" vertical="center" wrapText="1"/>
    </xf>
    <xf numFmtId="0" fontId="108" fillId="13" borderId="18" xfId="0" applyFont="1" applyFill="1" applyBorder="1" applyAlignment="1">
      <alignment horizontal="center" vertical="center" wrapText="1"/>
    </xf>
    <xf numFmtId="0" fontId="108" fillId="13" borderId="12" xfId="0" applyFont="1" applyFill="1" applyBorder="1" applyAlignment="1">
      <alignment horizontal="center" vertical="center" wrapText="1"/>
    </xf>
    <xf numFmtId="0" fontId="108" fillId="13" borderId="9" xfId="0" applyFont="1" applyFill="1" applyBorder="1" applyAlignment="1">
      <alignment horizontal="center" vertical="center" wrapText="1"/>
    </xf>
    <xf numFmtId="2" fontId="4" fillId="22" borderId="2" xfId="0" applyNumberFormat="1" applyFont="1" applyFill="1" applyBorder="1" applyAlignment="1">
      <alignment horizontal="center" vertical="center" wrapText="1"/>
    </xf>
    <xf numFmtId="0" fontId="1" fillId="22" borderId="2" xfId="0" applyFont="1" applyFill="1" applyBorder="1" applyAlignment="1">
      <alignment horizontal="center" vertical="center" wrapText="1"/>
    </xf>
    <xf numFmtId="0" fontId="1" fillId="22" borderId="4" xfId="0" applyFont="1" applyFill="1" applyBorder="1" applyAlignment="1">
      <alignment horizontal="center" vertical="center" wrapText="1"/>
    </xf>
    <xf numFmtId="0" fontId="2" fillId="10" borderId="1" xfId="0" applyFont="1" applyFill="1" applyBorder="1" applyAlignment="1">
      <alignment vertical="center"/>
    </xf>
    <xf numFmtId="0" fontId="14" fillId="10" borderId="0" xfId="0" applyFont="1" applyFill="1" applyBorder="1" applyAlignment="1"/>
    <xf numFmtId="0" fontId="14" fillId="10" borderId="22" xfId="0" applyFont="1" applyFill="1" applyBorder="1" applyAlignment="1"/>
    <xf numFmtId="0" fontId="39" fillId="5" borderId="3" xfId="0" applyFont="1" applyFill="1" applyBorder="1" applyAlignment="1"/>
    <xf numFmtId="0" fontId="0" fillId="8" borderId="11" xfId="0" applyFill="1" applyBorder="1" applyAlignment="1"/>
    <xf numFmtId="0" fontId="0" fillId="5" borderId="18" xfId="0" applyFill="1" applyBorder="1" applyAlignment="1"/>
    <xf numFmtId="0" fontId="0" fillId="5" borderId="11" xfId="0" applyFill="1" applyBorder="1" applyAlignment="1"/>
    <xf numFmtId="2" fontId="5" fillId="8" borderId="11" xfId="0" applyNumberFormat="1" applyFont="1" applyFill="1" applyBorder="1" applyAlignment="1">
      <alignment horizontal="left"/>
    </xf>
    <xf numFmtId="2" fontId="2" fillId="13" borderId="11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2" fontId="4" fillId="22" borderId="18" xfId="0" applyNumberFormat="1" applyFont="1" applyFill="1" applyBorder="1" applyAlignment="1">
      <alignment horizontal="center" vertical="center"/>
    </xf>
    <xf numFmtId="2" fontId="4" fillId="22" borderId="12" xfId="0" applyNumberFormat="1" applyFont="1" applyFill="1" applyBorder="1" applyAlignment="1">
      <alignment horizontal="center" vertical="center"/>
    </xf>
    <xf numFmtId="0" fontId="0" fillId="8" borderId="7" xfId="0" applyFill="1" applyBorder="1" applyAlignment="1"/>
    <xf numFmtId="2" fontId="62" fillId="8" borderId="16" xfId="0" applyNumberFormat="1" applyFont="1" applyFill="1" applyBorder="1" applyAlignment="1">
      <alignment horizontal="center" vertical="center" wrapText="1"/>
    </xf>
    <xf numFmtId="0" fontId="5" fillId="8" borderId="25" xfId="0" applyFont="1" applyFill="1" applyBorder="1" applyAlignment="1">
      <alignment horizontal="center" vertical="center" wrapText="1"/>
    </xf>
    <xf numFmtId="0" fontId="1" fillId="8" borderId="25" xfId="0" applyFont="1" applyFill="1" applyBorder="1" applyAlignment="1">
      <alignment horizontal="center" vertical="center" wrapText="1"/>
    </xf>
    <xf numFmtId="0" fontId="1" fillId="8" borderId="19" xfId="0" applyFont="1" applyFill="1" applyBorder="1" applyAlignment="1">
      <alignment horizontal="center" vertical="center" wrapText="1"/>
    </xf>
    <xf numFmtId="2" fontId="62" fillId="5" borderId="16" xfId="0" applyNumberFormat="1" applyFont="1" applyFill="1" applyBorder="1" applyAlignment="1">
      <alignment horizontal="center" vertical="center" wrapText="1"/>
    </xf>
    <xf numFmtId="0" fontId="5" fillId="5" borderId="25" xfId="0" applyFont="1" applyFill="1" applyBorder="1" applyAlignment="1">
      <alignment horizontal="center" vertical="center" wrapText="1"/>
    </xf>
    <xf numFmtId="0" fontId="1" fillId="5" borderId="25" xfId="0" applyFont="1" applyFill="1" applyBorder="1" applyAlignment="1">
      <alignment horizontal="center" vertical="center" wrapText="1"/>
    </xf>
    <xf numFmtId="0" fontId="1" fillId="5" borderId="19" xfId="0" applyFont="1" applyFill="1" applyBorder="1" applyAlignment="1">
      <alignment horizontal="center" vertical="center" wrapText="1"/>
    </xf>
    <xf numFmtId="0" fontId="97" fillId="10" borderId="0" xfId="0" applyFont="1" applyFill="1" applyBorder="1" applyAlignment="1"/>
    <xf numFmtId="0" fontId="68" fillId="10" borderId="0" xfId="0" applyFont="1" applyFill="1" applyBorder="1" applyAlignment="1"/>
    <xf numFmtId="0" fontId="17" fillId="5" borderId="11" xfId="0" applyFont="1" applyFill="1" applyBorder="1" applyAlignment="1"/>
    <xf numFmtId="0" fontId="39" fillId="5" borderId="2" xfId="0" applyFont="1" applyFill="1" applyBorder="1" applyAlignment="1"/>
    <xf numFmtId="0" fontId="39" fillId="5" borderId="4" xfId="0" applyFont="1" applyFill="1" applyBorder="1" applyAlignment="1"/>
    <xf numFmtId="0" fontId="75" fillId="13" borderId="19" xfId="0" applyFont="1" applyFill="1" applyBorder="1" applyAlignment="1">
      <alignment horizontal="center" vertical="center" wrapText="1"/>
    </xf>
    <xf numFmtId="0" fontId="75" fillId="13" borderId="9" xfId="0" applyFont="1" applyFill="1" applyBorder="1" applyAlignment="1">
      <alignment horizontal="center" vertical="center" wrapText="1"/>
    </xf>
    <xf numFmtId="2" fontId="2" fillId="7" borderId="1" xfId="0" applyNumberFormat="1" applyFont="1" applyFill="1" applyBorder="1" applyAlignment="1">
      <alignment horizontal="center" vertical="center" wrapText="1"/>
    </xf>
    <xf numFmtId="0" fontId="5" fillId="7" borderId="0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 wrapText="1"/>
    </xf>
    <xf numFmtId="0" fontId="5" fillId="7" borderId="18" xfId="0" applyFont="1" applyFill="1" applyBorder="1" applyAlignment="1">
      <alignment horizontal="center" vertical="center" wrapText="1"/>
    </xf>
    <xf numFmtId="0" fontId="5" fillId="7" borderId="12" xfId="0" applyFont="1" applyFill="1" applyBorder="1" applyAlignment="1">
      <alignment horizontal="center" vertical="center" wrapText="1"/>
    </xf>
    <xf numFmtId="2" fontId="61" fillId="8" borderId="5" xfId="0" applyNumberFormat="1" applyFont="1" applyFill="1" applyBorder="1" applyAlignment="1">
      <alignment horizontal="center" vertical="center" wrapText="1"/>
    </xf>
    <xf numFmtId="0" fontId="6" fillId="8" borderId="5" xfId="0" applyFont="1" applyFill="1" applyBorder="1" applyAlignment="1">
      <alignment horizontal="center" vertical="center" wrapText="1"/>
    </xf>
    <xf numFmtId="0" fontId="1" fillId="8" borderId="5" xfId="0" applyFont="1" applyFill="1" applyBorder="1" applyAlignment="1">
      <alignment horizontal="center" vertical="center" wrapText="1"/>
    </xf>
    <xf numFmtId="0" fontId="17" fillId="8" borderId="11" xfId="0" applyFont="1" applyFill="1" applyBorder="1" applyAlignment="1"/>
    <xf numFmtId="0" fontId="39" fillId="8" borderId="2" xfId="0" applyFont="1" applyFill="1" applyBorder="1" applyAlignment="1"/>
    <xf numFmtId="0" fontId="39" fillId="8" borderId="4" xfId="0" applyFont="1" applyFill="1" applyBorder="1" applyAlignment="1"/>
    <xf numFmtId="0" fontId="0" fillId="0" borderId="0" xfId="0" applyAlignment="1"/>
    <xf numFmtId="0" fontId="36" fillId="8" borderId="18" xfId="0" applyFont="1" applyFill="1" applyBorder="1" applyAlignment="1"/>
    <xf numFmtId="0" fontId="36" fillId="8" borderId="12" xfId="0" applyFont="1" applyFill="1" applyBorder="1" applyAlignment="1"/>
    <xf numFmtId="2" fontId="61" fillId="5" borderId="3" xfId="0" applyNumberFormat="1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29" fillId="5" borderId="3" xfId="0" applyFont="1" applyFill="1" applyBorder="1" applyAlignment="1">
      <alignment horizontal="center" vertical="center" wrapText="1"/>
    </xf>
    <xf numFmtId="0" fontId="5" fillId="22" borderId="5" xfId="0" applyFont="1" applyFill="1" applyBorder="1" applyAlignment="1"/>
    <xf numFmtId="2" fontId="61" fillId="8" borderId="7" xfId="0" applyNumberFormat="1" applyFont="1" applyFill="1" applyBorder="1" applyAlignment="1">
      <alignment horizontal="center" vertical="center" wrapText="1"/>
    </xf>
    <xf numFmtId="0" fontId="6" fillId="8" borderId="7" xfId="0" applyFont="1" applyFill="1" applyBorder="1" applyAlignment="1">
      <alignment horizontal="center" vertical="center" wrapText="1"/>
    </xf>
    <xf numFmtId="0" fontId="1" fillId="8" borderId="7" xfId="0" applyFont="1" applyFill="1" applyBorder="1" applyAlignment="1">
      <alignment horizontal="center" vertical="center" wrapText="1"/>
    </xf>
    <xf numFmtId="2" fontId="61" fillId="5" borderId="5" xfId="0" applyNumberFormat="1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 wrapText="1"/>
    </xf>
    <xf numFmtId="0" fontId="66" fillId="2" borderId="7" xfId="2" applyFont="1" applyFill="1" applyBorder="1" applyAlignment="1" applyProtection="1">
      <alignment horizontal="center" vertical="center"/>
    </xf>
    <xf numFmtId="0" fontId="66" fillId="0" borderId="5" xfId="2" applyFont="1" applyBorder="1" applyAlignment="1" applyProtection="1">
      <alignment horizontal="center" vertical="center"/>
    </xf>
    <xf numFmtId="0" fontId="48" fillId="20" borderId="16" xfId="0" applyFont="1" applyFill="1" applyBorder="1" applyAlignment="1">
      <alignment horizontal="left" vertical="center" wrapText="1"/>
    </xf>
    <xf numFmtId="0" fontId="18" fillId="20" borderId="25" xfId="0" applyFont="1" applyFill="1" applyBorder="1" applyAlignment="1">
      <alignment horizontal="left" vertical="center" wrapText="1"/>
    </xf>
    <xf numFmtId="0" fontId="18" fillId="20" borderId="19" xfId="0" applyFont="1" applyFill="1" applyBorder="1" applyAlignment="1">
      <alignment horizontal="left" vertical="center" wrapText="1"/>
    </xf>
    <xf numFmtId="0" fontId="8" fillId="20" borderId="16" xfId="0" applyFont="1" applyFill="1" applyBorder="1" applyAlignment="1">
      <alignment horizontal="center" vertical="center" wrapText="1"/>
    </xf>
    <xf numFmtId="0" fontId="47" fillId="20" borderId="25" xfId="0" applyFont="1" applyFill="1" applyBorder="1" applyAlignment="1">
      <alignment horizontal="center" vertical="center" wrapText="1"/>
    </xf>
    <xf numFmtId="0" fontId="47" fillId="20" borderId="19" xfId="0" applyFont="1" applyFill="1" applyBorder="1" applyAlignment="1">
      <alignment horizontal="center" vertical="center" wrapText="1"/>
    </xf>
    <xf numFmtId="0" fontId="55" fillId="2" borderId="0" xfId="2" applyFont="1" applyFill="1" applyAlignment="1" applyProtection="1"/>
    <xf numFmtId="0" fontId="90" fillId="5" borderId="0" xfId="0" applyFont="1" applyFill="1" applyBorder="1" applyAlignment="1">
      <alignment horizontal="center" vertical="center" wrapText="1"/>
    </xf>
    <xf numFmtId="0" fontId="0" fillId="5" borderId="0" xfId="0" applyFill="1" applyBorder="1" applyAlignment="1">
      <alignment horizontal="center" vertical="center" wrapText="1"/>
    </xf>
    <xf numFmtId="0" fontId="12" fillId="20" borderId="18" xfId="2" applyFill="1" applyBorder="1" applyAlignment="1" applyProtection="1">
      <alignment horizontal="left" vertical="center"/>
    </xf>
    <xf numFmtId="0" fontId="12" fillId="20" borderId="12" xfId="2" applyFill="1" applyBorder="1" applyAlignment="1" applyProtection="1">
      <alignment horizontal="left" vertical="center"/>
    </xf>
    <xf numFmtId="0" fontId="93" fillId="21" borderId="11" xfId="0" applyFont="1" applyFill="1" applyBorder="1" applyAlignment="1">
      <alignment horizontal="center" vertical="center"/>
    </xf>
    <xf numFmtId="0" fontId="94" fillId="21" borderId="2" xfId="0" applyFont="1" applyFill="1" applyBorder="1" applyAlignment="1">
      <alignment horizontal="center" vertical="center"/>
    </xf>
    <xf numFmtId="0" fontId="94" fillId="21" borderId="4" xfId="0" applyFont="1" applyFill="1" applyBorder="1" applyAlignment="1">
      <alignment horizontal="center" vertical="center"/>
    </xf>
    <xf numFmtId="0" fontId="118" fillId="20" borderId="16" xfId="0" applyFont="1" applyFill="1" applyBorder="1" applyAlignment="1">
      <alignment horizontal="center" vertical="center" wrapText="1"/>
    </xf>
    <xf numFmtId="0" fontId="14" fillId="20" borderId="18" xfId="0" applyFont="1" applyFill="1" applyBorder="1" applyAlignment="1">
      <alignment horizontal="center" vertical="center" wrapText="1"/>
    </xf>
    <xf numFmtId="0" fontId="14" fillId="20" borderId="12" xfId="0" applyFont="1" applyFill="1" applyBorder="1" applyAlignment="1">
      <alignment horizontal="center" vertical="center" wrapText="1"/>
    </xf>
    <xf numFmtId="0" fontId="14" fillId="20" borderId="9" xfId="0" applyFont="1" applyFill="1" applyBorder="1" applyAlignment="1">
      <alignment horizontal="center" vertical="center" wrapText="1"/>
    </xf>
    <xf numFmtId="0" fontId="119" fillId="20" borderId="16" xfId="2" applyFont="1" applyFill="1" applyBorder="1" applyAlignment="1" applyProtection="1">
      <alignment horizontal="center" vertical="center" wrapText="1"/>
    </xf>
    <xf numFmtId="0" fontId="119" fillId="20" borderId="25" xfId="2" applyFont="1" applyFill="1" applyBorder="1" applyAlignment="1" applyProtection="1">
      <alignment horizontal="center" vertical="center" wrapText="1"/>
    </xf>
    <xf numFmtId="0" fontId="119" fillId="20" borderId="19" xfId="2" applyFont="1" applyFill="1" applyBorder="1" applyAlignment="1" applyProtection="1">
      <alignment horizontal="center" vertical="center" wrapText="1"/>
    </xf>
    <xf numFmtId="0" fontId="119" fillId="20" borderId="18" xfId="2" applyFont="1" applyFill="1" applyBorder="1" applyAlignment="1" applyProtection="1">
      <alignment horizontal="center" vertical="center" wrapText="1"/>
    </xf>
    <xf numFmtId="0" fontId="119" fillId="20" borderId="12" xfId="2" applyFont="1" applyFill="1" applyBorder="1" applyAlignment="1" applyProtection="1">
      <alignment horizontal="center" vertical="center" wrapText="1"/>
    </xf>
    <xf numFmtId="0" fontId="119" fillId="20" borderId="9" xfId="2" applyFont="1" applyFill="1" applyBorder="1" applyAlignment="1" applyProtection="1">
      <alignment horizontal="center" vertical="center" wrapText="1"/>
    </xf>
    <xf numFmtId="0" fontId="0" fillId="2" borderId="16" xfId="0" applyFill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16" fillId="9" borderId="11" xfId="0" applyFont="1" applyFill="1" applyBorder="1" applyAlignment="1">
      <alignment horizontal="center" vertical="center" wrapText="1"/>
    </xf>
    <xf numFmtId="0" fontId="116" fillId="9" borderId="2" xfId="0" applyFont="1" applyFill="1" applyBorder="1" applyAlignment="1">
      <alignment horizontal="center" vertical="center" wrapText="1"/>
    </xf>
    <xf numFmtId="0" fontId="117" fillId="9" borderId="4" xfId="0" applyFont="1" applyFill="1" applyBorder="1" applyAlignment="1">
      <alignment horizontal="center" vertical="center" wrapText="1"/>
    </xf>
    <xf numFmtId="0" fontId="56" fillId="4" borderId="11" xfId="0" applyFont="1" applyFill="1" applyBorder="1" applyAlignment="1">
      <alignment horizontal="center" wrapText="1"/>
    </xf>
    <xf numFmtId="0" fontId="56" fillId="4" borderId="2" xfId="0" applyFont="1" applyFill="1" applyBorder="1" applyAlignment="1">
      <alignment horizontal="center" wrapText="1"/>
    </xf>
    <xf numFmtId="0" fontId="50" fillId="4" borderId="4" xfId="0" applyFont="1" applyFill="1" applyBorder="1" applyAlignment="1">
      <alignment horizontal="center" wrapText="1"/>
    </xf>
    <xf numFmtId="0" fontId="37" fillId="10" borderId="16" xfId="0" applyFont="1" applyFill="1" applyBorder="1" applyAlignment="1">
      <alignment horizontal="center" vertical="center" wrapText="1"/>
    </xf>
    <xf numFmtId="0" fontId="37" fillId="10" borderId="25" xfId="0" applyFont="1" applyFill="1" applyBorder="1" applyAlignment="1">
      <alignment horizontal="center" vertical="center" wrapText="1"/>
    </xf>
    <xf numFmtId="0" fontId="37" fillId="10" borderId="19" xfId="0" applyFont="1" applyFill="1" applyBorder="1" applyAlignment="1">
      <alignment horizontal="center" vertical="center" wrapText="1"/>
    </xf>
    <xf numFmtId="0" fontId="37" fillId="10" borderId="1" xfId="0" applyFont="1" applyFill="1" applyBorder="1" applyAlignment="1">
      <alignment horizontal="center" vertical="center" wrapText="1"/>
    </xf>
    <xf numFmtId="0" fontId="37" fillId="10" borderId="0" xfId="0" applyFont="1" applyFill="1" applyBorder="1" applyAlignment="1">
      <alignment horizontal="center" vertical="center" wrapText="1"/>
    </xf>
    <xf numFmtId="0" fontId="37" fillId="10" borderId="22" xfId="0" applyFont="1" applyFill="1" applyBorder="1" applyAlignment="1">
      <alignment horizontal="center" vertical="center" wrapText="1"/>
    </xf>
    <xf numFmtId="0" fontId="0" fillId="10" borderId="18" xfId="0" applyFill="1" applyBorder="1" applyAlignment="1">
      <alignment horizontal="center" vertical="center" wrapText="1"/>
    </xf>
    <xf numFmtId="0" fontId="0" fillId="10" borderId="12" xfId="0" applyFill="1" applyBorder="1" applyAlignment="1">
      <alignment horizontal="center" vertical="center" wrapText="1"/>
    </xf>
    <xf numFmtId="0" fontId="0" fillId="10" borderId="9" xfId="0" applyFill="1" applyBorder="1" applyAlignment="1">
      <alignment horizontal="center" vertical="center" wrapText="1"/>
    </xf>
    <xf numFmtId="0" fontId="96" fillId="5" borderId="11" xfId="0" applyFont="1" applyFill="1" applyBorder="1" applyAlignment="1">
      <alignment horizontal="center" vertical="center"/>
    </xf>
    <xf numFmtId="0" fontId="94" fillId="5" borderId="2" xfId="0" applyFont="1" applyFill="1" applyBorder="1" applyAlignment="1">
      <alignment horizontal="center" vertical="center"/>
    </xf>
    <xf numFmtId="0" fontId="94" fillId="5" borderId="2" xfId="0" applyFont="1" applyFill="1" applyBorder="1" applyAlignment="1"/>
    <xf numFmtId="0" fontId="94" fillId="5" borderId="4" xfId="0" applyFont="1" applyFill="1" applyBorder="1" applyAlignment="1"/>
    <xf numFmtId="0" fontId="114" fillId="20" borderId="11" xfId="0" applyFont="1" applyFill="1" applyBorder="1" applyAlignment="1">
      <alignment horizontal="center" vertical="center" wrapText="1"/>
    </xf>
    <xf numFmtId="0" fontId="115" fillId="20" borderId="2" xfId="0" applyFont="1" applyFill="1" applyBorder="1" applyAlignment="1">
      <alignment horizontal="center" vertical="center" wrapText="1"/>
    </xf>
    <xf numFmtId="0" fontId="115" fillId="20" borderId="4" xfId="0" applyFont="1" applyFill="1" applyBorder="1" applyAlignment="1">
      <alignment horizontal="center" vertical="center" wrapText="1"/>
    </xf>
    <xf numFmtId="0" fontId="91" fillId="14" borderId="11" xfId="0" applyFont="1" applyFill="1" applyBorder="1" applyAlignment="1">
      <alignment horizontal="center" vertical="center"/>
    </xf>
    <xf numFmtId="0" fontId="81" fillId="14" borderId="2" xfId="0" applyFont="1" applyFill="1" applyBorder="1" applyAlignment="1">
      <alignment horizontal="center" vertical="center"/>
    </xf>
    <xf numFmtId="0" fontId="81" fillId="14" borderId="2" xfId="0" applyFont="1" applyFill="1" applyBorder="1" applyAlignment="1">
      <alignment horizontal="center"/>
    </xf>
    <xf numFmtId="0" fontId="81" fillId="14" borderId="4" xfId="0" applyFont="1" applyFill="1" applyBorder="1" applyAlignment="1">
      <alignment horizontal="center"/>
    </xf>
    <xf numFmtId="0" fontId="120" fillId="20" borderId="11" xfId="2" applyFont="1" applyFill="1" applyBorder="1" applyAlignment="1" applyProtection="1">
      <alignment horizontal="center" vertical="center" wrapText="1"/>
    </xf>
    <xf numFmtId="0" fontId="120" fillId="20" borderId="2" xfId="2" applyFont="1" applyFill="1" applyBorder="1" applyAlignment="1" applyProtection="1">
      <alignment horizontal="center" vertical="center" wrapText="1"/>
    </xf>
    <xf numFmtId="0" fontId="120" fillId="20" borderId="4" xfId="2" applyFont="1" applyFill="1" applyBorder="1" applyAlignment="1" applyProtection="1">
      <alignment horizontal="center" vertical="center" wrapText="1"/>
    </xf>
    <xf numFmtId="0" fontId="92" fillId="5" borderId="0" xfId="2" applyFont="1" applyFill="1" applyBorder="1" applyAlignment="1" applyProtection="1">
      <alignment horizontal="center" vertical="center" wrapText="1"/>
    </xf>
    <xf numFmtId="0" fontId="55" fillId="5" borderId="0" xfId="2" applyFont="1" applyFill="1" applyAlignment="1" applyProtection="1"/>
    <xf numFmtId="0" fontId="55" fillId="0" borderId="0" xfId="2" applyFont="1" applyAlignment="1" applyProtection="1"/>
    <xf numFmtId="0" fontId="5" fillId="8" borderId="16" xfId="0" applyFont="1" applyFill="1" applyBorder="1" applyAlignment="1"/>
    <xf numFmtId="0" fontId="0" fillId="8" borderId="25" xfId="0" applyFill="1" applyBorder="1" applyAlignment="1"/>
    <xf numFmtId="0" fontId="0" fillId="8" borderId="19" xfId="0" applyFill="1" applyBorder="1" applyAlignment="1"/>
    <xf numFmtId="2" fontId="4" fillId="7" borderId="11" xfId="0" applyNumberFormat="1" applyFont="1" applyFill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1" fillId="7" borderId="4" xfId="0" applyFont="1" applyFill="1" applyBorder="1" applyAlignment="1">
      <alignment horizontal="center" vertical="center"/>
    </xf>
    <xf numFmtId="2" fontId="4" fillId="7" borderId="18" xfId="0" applyNumberFormat="1" applyFont="1" applyFill="1" applyBorder="1" applyAlignment="1">
      <alignment horizontal="center" vertical="center"/>
    </xf>
    <xf numFmtId="0" fontId="1" fillId="7" borderId="12" xfId="0" applyFont="1" applyFill="1" applyBorder="1" applyAlignment="1">
      <alignment horizontal="center" vertical="center"/>
    </xf>
    <xf numFmtId="0" fontId="1" fillId="7" borderId="9" xfId="0" applyFont="1" applyFill="1" applyBorder="1" applyAlignment="1">
      <alignment horizontal="center" vertical="center"/>
    </xf>
    <xf numFmtId="2" fontId="61" fillId="8" borderId="3" xfId="0" applyNumberFormat="1" applyFont="1" applyFill="1" applyBorder="1" applyAlignment="1">
      <alignment horizontal="center" vertical="center" wrapText="1"/>
    </xf>
    <xf numFmtId="0" fontId="6" fillId="8" borderId="3" xfId="0" applyFont="1" applyFill="1" applyBorder="1" applyAlignment="1">
      <alignment horizontal="center" vertical="center" wrapText="1"/>
    </xf>
    <xf numFmtId="0" fontId="1" fillId="8" borderId="3" xfId="0" applyFont="1" applyFill="1" applyBorder="1" applyAlignment="1">
      <alignment horizontal="center" vertical="center" wrapText="1"/>
    </xf>
    <xf numFmtId="0" fontId="5" fillId="5" borderId="18" xfId="0" applyNumberFormat="1" applyFont="1" applyFill="1" applyBorder="1" applyAlignment="1"/>
    <xf numFmtId="0" fontId="0" fillId="5" borderId="12" xfId="0" applyNumberFormat="1" applyFill="1" applyBorder="1" applyAlignment="1"/>
    <xf numFmtId="0" fontId="0" fillId="5" borderId="9" xfId="0" applyNumberFormat="1" applyFill="1" applyBorder="1" applyAlignment="1"/>
    <xf numFmtId="0" fontId="76" fillId="10" borderId="0" xfId="0" applyFont="1" applyFill="1" applyBorder="1" applyAlignment="1"/>
    <xf numFmtId="0" fontId="76" fillId="10" borderId="22" xfId="0" applyFont="1" applyFill="1" applyBorder="1" applyAlignment="1"/>
    <xf numFmtId="2" fontId="62" fillId="5" borderId="3" xfId="0" applyNumberFormat="1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0" fontId="5" fillId="8" borderId="7" xfId="0" applyFont="1" applyFill="1" applyBorder="1" applyAlignment="1"/>
    <xf numFmtId="0" fontId="76" fillId="5" borderId="1" xfId="0" applyFont="1" applyFill="1" applyBorder="1" applyAlignment="1"/>
    <xf numFmtId="0" fontId="0" fillId="5" borderId="0" xfId="0" applyFill="1" applyBorder="1" applyAlignment="1"/>
    <xf numFmtId="0" fontId="1" fillId="5" borderId="7" xfId="0" applyFont="1" applyFill="1" applyBorder="1" applyAlignment="1">
      <alignment horizontal="center" vertical="center" wrapText="1"/>
    </xf>
    <xf numFmtId="2" fontId="5" fillId="5" borderId="11" xfId="0" applyNumberFormat="1" applyFont="1" applyFill="1" applyBorder="1" applyAlignment="1">
      <alignment vertical="center" wrapText="1"/>
    </xf>
    <xf numFmtId="0" fontId="18" fillId="5" borderId="2" xfId="0" applyFont="1" applyFill="1" applyBorder="1" applyAlignment="1">
      <alignment vertical="center" wrapText="1"/>
    </xf>
    <xf numFmtId="0" fontId="18" fillId="5" borderId="4" xfId="0" applyFont="1" applyFill="1" applyBorder="1" applyAlignment="1">
      <alignment vertical="center" wrapText="1"/>
    </xf>
    <xf numFmtId="0" fontId="111" fillId="13" borderId="16" xfId="0" applyFont="1" applyFill="1" applyBorder="1" applyAlignment="1">
      <alignment horizontal="center" vertical="center" wrapText="1"/>
    </xf>
    <xf numFmtId="0" fontId="111" fillId="13" borderId="25" xfId="0" applyFont="1" applyFill="1" applyBorder="1" applyAlignment="1">
      <alignment horizontal="center" vertical="center" wrapText="1"/>
    </xf>
    <xf numFmtId="0" fontId="14" fillId="0" borderId="25" xfId="0" applyFont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111" fillId="13" borderId="18" xfId="0" applyFont="1" applyFill="1" applyBorder="1" applyAlignment="1">
      <alignment horizontal="center" vertical="center" wrapText="1"/>
    </xf>
    <xf numFmtId="0" fontId="111" fillId="13" borderId="12" xfId="0" applyFont="1" applyFill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2" fontId="75" fillId="22" borderId="3" xfId="0" applyNumberFormat="1" applyFont="1" applyFill="1" applyBorder="1" applyAlignment="1"/>
    <xf numFmtId="0" fontId="68" fillId="22" borderId="3" xfId="0" applyFont="1" applyFill="1" applyBorder="1" applyAlignment="1"/>
    <xf numFmtId="0" fontId="2" fillId="13" borderId="25" xfId="0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54" fillId="16" borderId="18" xfId="0" applyFont="1" applyFill="1" applyBorder="1" applyAlignment="1">
      <alignment horizontal="center" vertical="center" wrapText="1"/>
    </xf>
    <xf numFmtId="0" fontId="14" fillId="16" borderId="12" xfId="0" applyFont="1" applyFill="1" applyBorder="1" applyAlignment="1">
      <alignment horizontal="center" vertical="center" wrapText="1"/>
    </xf>
    <xf numFmtId="0" fontId="14" fillId="16" borderId="9" xfId="0" applyFont="1" applyFill="1" applyBorder="1" applyAlignment="1">
      <alignment horizontal="center" vertical="center" wrapText="1"/>
    </xf>
  </cellXfs>
  <cellStyles count="4">
    <cellStyle name="Euro" xfId="1"/>
    <cellStyle name="Hipervínculo" xfId="2" builtinId="8"/>
    <cellStyle name="Normal" xfId="0" builtinId="0"/>
    <cellStyle name="Porcentaje" xfId="3" builtinId="5"/>
  </cellStyles>
  <dxfs count="0"/>
  <tableStyles count="0" defaultTableStyle="TableStyleMedium9" defaultPivotStyle="PivotStyleLight16"/>
  <colors>
    <mruColors>
      <color rgb="FFFFFF99"/>
      <color rgb="FFCCFF99"/>
      <color rgb="FFFFFFCC"/>
      <color rgb="FF007635"/>
      <color rgb="FF008E40"/>
      <color rgb="FF00542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2.png"/><Relationship Id="rId18" Type="http://schemas.openxmlformats.org/officeDocument/2006/relationships/image" Target="../media/image17.png"/><Relationship Id="rId26" Type="http://schemas.openxmlformats.org/officeDocument/2006/relationships/image" Target="../media/image25.png"/><Relationship Id="rId39" Type="http://schemas.openxmlformats.org/officeDocument/2006/relationships/image" Target="../media/image38.png"/><Relationship Id="rId21" Type="http://schemas.openxmlformats.org/officeDocument/2006/relationships/image" Target="../media/image20.png"/><Relationship Id="rId34" Type="http://schemas.openxmlformats.org/officeDocument/2006/relationships/image" Target="../media/image33.png"/><Relationship Id="rId42" Type="http://schemas.openxmlformats.org/officeDocument/2006/relationships/image" Target="../media/image41.png"/><Relationship Id="rId47" Type="http://schemas.openxmlformats.org/officeDocument/2006/relationships/image" Target="../media/image46.png"/><Relationship Id="rId50" Type="http://schemas.openxmlformats.org/officeDocument/2006/relationships/image" Target="../media/image49.png"/><Relationship Id="rId55" Type="http://schemas.openxmlformats.org/officeDocument/2006/relationships/image" Target="../media/image54.pn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6" Type="http://schemas.openxmlformats.org/officeDocument/2006/relationships/image" Target="../media/image15.png"/><Relationship Id="rId29" Type="http://schemas.openxmlformats.org/officeDocument/2006/relationships/image" Target="../media/image28.png"/><Relationship Id="rId11" Type="http://schemas.openxmlformats.org/officeDocument/2006/relationships/image" Target="../media/image10.png"/><Relationship Id="rId24" Type="http://schemas.openxmlformats.org/officeDocument/2006/relationships/image" Target="../media/image23.png"/><Relationship Id="rId32" Type="http://schemas.openxmlformats.org/officeDocument/2006/relationships/image" Target="../media/image31.png"/><Relationship Id="rId37" Type="http://schemas.openxmlformats.org/officeDocument/2006/relationships/image" Target="../media/image36.png"/><Relationship Id="rId40" Type="http://schemas.openxmlformats.org/officeDocument/2006/relationships/image" Target="../media/image39.png"/><Relationship Id="rId45" Type="http://schemas.openxmlformats.org/officeDocument/2006/relationships/image" Target="../media/image44.png"/><Relationship Id="rId53" Type="http://schemas.openxmlformats.org/officeDocument/2006/relationships/image" Target="../media/image52.png"/><Relationship Id="rId58" Type="http://schemas.openxmlformats.org/officeDocument/2006/relationships/image" Target="../media/image57.jpeg"/><Relationship Id="rId5" Type="http://schemas.openxmlformats.org/officeDocument/2006/relationships/image" Target="../media/image5.jpeg"/><Relationship Id="rId61" Type="http://schemas.openxmlformats.org/officeDocument/2006/relationships/image" Target="../media/image60.png"/><Relationship Id="rId19" Type="http://schemas.openxmlformats.org/officeDocument/2006/relationships/image" Target="../media/image18.png"/><Relationship Id="rId14" Type="http://schemas.openxmlformats.org/officeDocument/2006/relationships/image" Target="../media/image13.png"/><Relationship Id="rId22" Type="http://schemas.openxmlformats.org/officeDocument/2006/relationships/image" Target="../media/image21.png"/><Relationship Id="rId27" Type="http://schemas.openxmlformats.org/officeDocument/2006/relationships/image" Target="../media/image26.png"/><Relationship Id="rId30" Type="http://schemas.openxmlformats.org/officeDocument/2006/relationships/image" Target="../media/image29.png"/><Relationship Id="rId35" Type="http://schemas.openxmlformats.org/officeDocument/2006/relationships/image" Target="../media/image34.png"/><Relationship Id="rId43" Type="http://schemas.openxmlformats.org/officeDocument/2006/relationships/image" Target="../media/image42.png"/><Relationship Id="rId48" Type="http://schemas.openxmlformats.org/officeDocument/2006/relationships/image" Target="../media/image47.png"/><Relationship Id="rId56" Type="http://schemas.openxmlformats.org/officeDocument/2006/relationships/image" Target="../media/image55.png"/><Relationship Id="rId8" Type="http://schemas.openxmlformats.org/officeDocument/2006/relationships/image" Target="../media/image8.jpeg"/><Relationship Id="rId51" Type="http://schemas.openxmlformats.org/officeDocument/2006/relationships/image" Target="../media/image50.png"/><Relationship Id="rId3" Type="http://schemas.openxmlformats.org/officeDocument/2006/relationships/image" Target="../media/image3.jpeg"/><Relationship Id="rId12" Type="http://schemas.openxmlformats.org/officeDocument/2006/relationships/image" Target="../media/image11.png"/><Relationship Id="rId17" Type="http://schemas.openxmlformats.org/officeDocument/2006/relationships/image" Target="../media/image16.png"/><Relationship Id="rId25" Type="http://schemas.openxmlformats.org/officeDocument/2006/relationships/image" Target="../media/image24.png"/><Relationship Id="rId33" Type="http://schemas.openxmlformats.org/officeDocument/2006/relationships/image" Target="../media/image32.png"/><Relationship Id="rId38" Type="http://schemas.openxmlformats.org/officeDocument/2006/relationships/image" Target="../media/image37.png"/><Relationship Id="rId46" Type="http://schemas.openxmlformats.org/officeDocument/2006/relationships/image" Target="../media/image45.png"/><Relationship Id="rId59" Type="http://schemas.openxmlformats.org/officeDocument/2006/relationships/image" Target="../media/image58.png"/><Relationship Id="rId20" Type="http://schemas.openxmlformats.org/officeDocument/2006/relationships/image" Target="../media/image19.png"/><Relationship Id="rId41" Type="http://schemas.openxmlformats.org/officeDocument/2006/relationships/image" Target="../media/image40.png"/><Relationship Id="rId54" Type="http://schemas.openxmlformats.org/officeDocument/2006/relationships/image" Target="../media/image53.pn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5" Type="http://schemas.openxmlformats.org/officeDocument/2006/relationships/image" Target="../media/image14.png"/><Relationship Id="rId23" Type="http://schemas.openxmlformats.org/officeDocument/2006/relationships/image" Target="../media/image22.png"/><Relationship Id="rId28" Type="http://schemas.openxmlformats.org/officeDocument/2006/relationships/image" Target="../media/image27.png"/><Relationship Id="rId36" Type="http://schemas.openxmlformats.org/officeDocument/2006/relationships/image" Target="../media/image35.png"/><Relationship Id="rId49" Type="http://schemas.openxmlformats.org/officeDocument/2006/relationships/image" Target="../media/image48.png"/><Relationship Id="rId57" Type="http://schemas.openxmlformats.org/officeDocument/2006/relationships/image" Target="../media/image56.png"/><Relationship Id="rId10" Type="http://schemas.openxmlformats.org/officeDocument/2006/relationships/image" Target="../media/image9.png"/><Relationship Id="rId31" Type="http://schemas.openxmlformats.org/officeDocument/2006/relationships/image" Target="../media/image30.png"/><Relationship Id="rId44" Type="http://schemas.openxmlformats.org/officeDocument/2006/relationships/image" Target="../media/image43.png"/><Relationship Id="rId52" Type="http://schemas.openxmlformats.org/officeDocument/2006/relationships/image" Target="../media/image51.png"/><Relationship Id="rId60" Type="http://schemas.openxmlformats.org/officeDocument/2006/relationships/image" Target="../media/image59.png"/><Relationship Id="rId4" Type="http://schemas.openxmlformats.org/officeDocument/2006/relationships/image" Target="../media/image4.png"/><Relationship Id="rId9" Type="http://schemas.openxmlformats.org/officeDocument/2006/relationships/hyperlink" Target="http://www.jivi.com.ar/home.asp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701</xdr:row>
      <xdr:rowOff>28575</xdr:rowOff>
    </xdr:from>
    <xdr:to>
      <xdr:col>1</xdr:col>
      <xdr:colOff>295275</xdr:colOff>
      <xdr:row>701</xdr:row>
      <xdr:rowOff>161925</xdr:rowOff>
    </xdr:to>
    <xdr:pic>
      <xdr:nvPicPr>
        <xdr:cNvPr id="274608" name="Picture 991" descr="100">
          <a:extLst>
            <a:ext uri="{FF2B5EF4-FFF2-40B4-BE49-F238E27FC236}">
              <a16:creationId xmlns:a16="http://schemas.microsoft.com/office/drawing/2014/main" id="{98EC0E31-0DB0-4E85-9616-F03844435E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123291600"/>
          <a:ext cx="2000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103</xdr:row>
      <xdr:rowOff>19050</xdr:rowOff>
    </xdr:from>
    <xdr:to>
      <xdr:col>0</xdr:col>
      <xdr:colOff>295275</xdr:colOff>
      <xdr:row>103</xdr:row>
      <xdr:rowOff>142875</xdr:rowOff>
    </xdr:to>
    <xdr:pic>
      <xdr:nvPicPr>
        <xdr:cNvPr id="274616" name="Picture 1012" descr="100">
          <a:extLst>
            <a:ext uri="{FF2B5EF4-FFF2-40B4-BE49-F238E27FC236}">
              <a16:creationId xmlns:a16="http://schemas.microsoft.com/office/drawing/2014/main" id="{316D6F31-0731-473B-B30F-5ECF604E0A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0316825"/>
          <a:ext cx="2000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76200</xdr:colOff>
      <xdr:row>699</xdr:row>
      <xdr:rowOff>19050</xdr:rowOff>
    </xdr:from>
    <xdr:to>
      <xdr:col>1</xdr:col>
      <xdr:colOff>180975</xdr:colOff>
      <xdr:row>699</xdr:row>
      <xdr:rowOff>200025</xdr:rowOff>
    </xdr:to>
    <xdr:pic>
      <xdr:nvPicPr>
        <xdr:cNvPr id="274619" name="Picture 826" descr="pesos">
          <a:extLst>
            <a:ext uri="{FF2B5EF4-FFF2-40B4-BE49-F238E27FC236}">
              <a16:creationId xmlns:a16="http://schemas.microsoft.com/office/drawing/2014/main" id="{A0DCA90C-255D-4CAD-B0D7-D2FE35775D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122901075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0</xdr:colOff>
      <xdr:row>54</xdr:row>
      <xdr:rowOff>0</xdr:rowOff>
    </xdr:from>
    <xdr:to>
      <xdr:col>4</xdr:col>
      <xdr:colOff>0</xdr:colOff>
      <xdr:row>54</xdr:row>
      <xdr:rowOff>0</xdr:rowOff>
    </xdr:to>
    <xdr:sp macro="" textlink="">
      <xdr:nvSpPr>
        <xdr:cNvPr id="2" name="Text Box 6">
          <a:extLst>
            <a:ext uri="{FF2B5EF4-FFF2-40B4-BE49-F238E27FC236}">
              <a16:creationId xmlns:a16="http://schemas.microsoft.com/office/drawing/2014/main" id="{29FDABAC-772F-4467-AB5C-0546480A5E85}"/>
            </a:ext>
          </a:extLst>
        </xdr:cNvPr>
        <xdr:cNvSpPr txBox="1">
          <a:spLocks noChangeArrowheads="1"/>
        </xdr:cNvSpPr>
      </xdr:nvSpPr>
      <xdr:spPr bwMode="auto">
        <a:xfrm>
          <a:off x="2428875" y="8648700"/>
          <a:ext cx="0" cy="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</xdr:txBody>
    </xdr:sp>
    <xdr:clientData/>
  </xdr:twoCellAnchor>
  <xdr:twoCellAnchor>
    <xdr:from>
      <xdr:col>4</xdr:col>
      <xdr:colOff>0</xdr:colOff>
      <xdr:row>54</xdr:row>
      <xdr:rowOff>0</xdr:rowOff>
    </xdr:from>
    <xdr:to>
      <xdr:col>4</xdr:col>
      <xdr:colOff>0</xdr:colOff>
      <xdr:row>54</xdr:row>
      <xdr:rowOff>0</xdr:rowOff>
    </xdr:to>
    <xdr:sp macro="" textlink="">
      <xdr:nvSpPr>
        <xdr:cNvPr id="3" name="Text Box 6">
          <a:extLst>
            <a:ext uri="{FF2B5EF4-FFF2-40B4-BE49-F238E27FC236}">
              <a16:creationId xmlns:a16="http://schemas.microsoft.com/office/drawing/2014/main" id="{FD3BE4C5-E8A9-4A11-A5D3-E7634C26396F}"/>
            </a:ext>
          </a:extLst>
        </xdr:cNvPr>
        <xdr:cNvSpPr txBox="1">
          <a:spLocks noChangeArrowheads="1"/>
        </xdr:cNvSpPr>
      </xdr:nvSpPr>
      <xdr:spPr bwMode="auto">
        <a:xfrm>
          <a:off x="2428875" y="8648700"/>
          <a:ext cx="0" cy="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</xdr:txBody>
    </xdr:sp>
    <xdr:clientData/>
  </xdr:twoCellAnchor>
  <xdr:twoCellAnchor>
    <xdr:from>
      <xdr:col>4</xdr:col>
      <xdr:colOff>0</xdr:colOff>
      <xdr:row>54</xdr:row>
      <xdr:rowOff>0</xdr:rowOff>
    </xdr:from>
    <xdr:to>
      <xdr:col>4</xdr:col>
      <xdr:colOff>0</xdr:colOff>
      <xdr:row>54</xdr:row>
      <xdr:rowOff>0</xdr:rowOff>
    </xdr:to>
    <xdr:sp macro="" textlink="">
      <xdr:nvSpPr>
        <xdr:cNvPr id="4" name="Text Box 6">
          <a:extLst>
            <a:ext uri="{FF2B5EF4-FFF2-40B4-BE49-F238E27FC236}">
              <a16:creationId xmlns:a16="http://schemas.microsoft.com/office/drawing/2014/main" id="{C02D90C1-0AA6-46CF-8BF7-C06D8838A382}"/>
            </a:ext>
          </a:extLst>
        </xdr:cNvPr>
        <xdr:cNvSpPr txBox="1">
          <a:spLocks noChangeArrowheads="1"/>
        </xdr:cNvSpPr>
      </xdr:nvSpPr>
      <xdr:spPr bwMode="auto">
        <a:xfrm>
          <a:off x="2428875" y="8648700"/>
          <a:ext cx="0" cy="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</xdr:txBody>
    </xdr:sp>
    <xdr:clientData/>
  </xdr:twoCellAnchor>
  <xdr:twoCellAnchor>
    <xdr:from>
      <xdr:col>4</xdr:col>
      <xdr:colOff>0</xdr:colOff>
      <xdr:row>54</xdr:row>
      <xdr:rowOff>0</xdr:rowOff>
    </xdr:from>
    <xdr:to>
      <xdr:col>4</xdr:col>
      <xdr:colOff>0</xdr:colOff>
      <xdr:row>54</xdr:row>
      <xdr:rowOff>0</xdr:rowOff>
    </xdr:to>
    <xdr:sp macro="" textlink="">
      <xdr:nvSpPr>
        <xdr:cNvPr id="5" name="Text Box 6">
          <a:extLst>
            <a:ext uri="{FF2B5EF4-FFF2-40B4-BE49-F238E27FC236}">
              <a16:creationId xmlns:a16="http://schemas.microsoft.com/office/drawing/2014/main" id="{DD2B9736-D220-4579-B578-63C0566A33B9}"/>
            </a:ext>
          </a:extLst>
        </xdr:cNvPr>
        <xdr:cNvSpPr txBox="1">
          <a:spLocks noChangeArrowheads="1"/>
        </xdr:cNvSpPr>
      </xdr:nvSpPr>
      <xdr:spPr bwMode="auto">
        <a:xfrm>
          <a:off x="2428875" y="8648700"/>
          <a:ext cx="0" cy="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</xdr:txBody>
    </xdr:sp>
    <xdr:clientData/>
  </xdr:twoCellAnchor>
  <xdr:twoCellAnchor>
    <xdr:from>
      <xdr:col>4</xdr:col>
      <xdr:colOff>0</xdr:colOff>
      <xdr:row>54</xdr:row>
      <xdr:rowOff>0</xdr:rowOff>
    </xdr:from>
    <xdr:to>
      <xdr:col>4</xdr:col>
      <xdr:colOff>0</xdr:colOff>
      <xdr:row>54</xdr:row>
      <xdr:rowOff>0</xdr:rowOff>
    </xdr:to>
    <xdr:sp macro="" textlink="">
      <xdr:nvSpPr>
        <xdr:cNvPr id="6" name="Text Box 6">
          <a:extLst>
            <a:ext uri="{FF2B5EF4-FFF2-40B4-BE49-F238E27FC236}">
              <a16:creationId xmlns:a16="http://schemas.microsoft.com/office/drawing/2014/main" id="{BC7AA8ED-57DB-4451-B324-0A5E6C775AF2}"/>
            </a:ext>
          </a:extLst>
        </xdr:cNvPr>
        <xdr:cNvSpPr txBox="1">
          <a:spLocks noChangeArrowheads="1"/>
        </xdr:cNvSpPr>
      </xdr:nvSpPr>
      <xdr:spPr bwMode="auto">
        <a:xfrm>
          <a:off x="2428875" y="8648700"/>
          <a:ext cx="0" cy="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</xdr:txBody>
    </xdr:sp>
    <xdr:clientData/>
  </xdr:twoCellAnchor>
  <xdr:twoCellAnchor>
    <xdr:from>
      <xdr:col>4</xdr:col>
      <xdr:colOff>0</xdr:colOff>
      <xdr:row>54</xdr:row>
      <xdr:rowOff>0</xdr:rowOff>
    </xdr:from>
    <xdr:to>
      <xdr:col>4</xdr:col>
      <xdr:colOff>0</xdr:colOff>
      <xdr:row>54</xdr:row>
      <xdr:rowOff>0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D0706055-6226-4FD8-B354-EFD44421B761}"/>
            </a:ext>
          </a:extLst>
        </xdr:cNvPr>
        <xdr:cNvSpPr txBox="1">
          <a:spLocks noChangeArrowheads="1"/>
        </xdr:cNvSpPr>
      </xdr:nvSpPr>
      <xdr:spPr bwMode="auto">
        <a:xfrm>
          <a:off x="2428875" y="8648700"/>
          <a:ext cx="0" cy="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</xdr:txBody>
    </xdr:sp>
    <xdr:clientData/>
  </xdr:twoCellAnchor>
  <xdr:twoCellAnchor editAs="oneCell">
    <xdr:from>
      <xdr:col>24</xdr:col>
      <xdr:colOff>0</xdr:colOff>
      <xdr:row>0</xdr:row>
      <xdr:rowOff>28575</xdr:rowOff>
    </xdr:from>
    <xdr:to>
      <xdr:col>24</xdr:col>
      <xdr:colOff>219075</xdr:colOff>
      <xdr:row>1</xdr:row>
      <xdr:rowOff>38100</xdr:rowOff>
    </xdr:to>
    <xdr:pic>
      <xdr:nvPicPr>
        <xdr:cNvPr id="274655" name="329 Imagen" descr="flechita-verde.png">
          <a:extLst>
            <a:ext uri="{FF2B5EF4-FFF2-40B4-BE49-F238E27FC236}">
              <a16:creationId xmlns:a16="http://schemas.microsoft.com/office/drawing/2014/main" id="{2C4A5E53-2999-4917-8D83-0DCED67D13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86725" y="28575"/>
          <a:ext cx="2190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37</xdr:col>
      <xdr:colOff>466725</xdr:colOff>
      <xdr:row>117</xdr:row>
      <xdr:rowOff>0</xdr:rowOff>
    </xdr:from>
    <xdr:to>
      <xdr:col>38</xdr:col>
      <xdr:colOff>371475</xdr:colOff>
      <xdr:row>120</xdr:row>
      <xdr:rowOff>0</xdr:rowOff>
    </xdr:to>
    <xdr:sp macro="" textlink="">
      <xdr:nvSpPr>
        <xdr:cNvPr id="274658" name="Text Box 593666">
          <a:extLst>
            <a:ext uri="{FF2B5EF4-FFF2-40B4-BE49-F238E27FC236}">
              <a16:creationId xmlns:a16="http://schemas.microsoft.com/office/drawing/2014/main" id="{8685D1C6-B6BD-41E6-8669-8C09271A56BA}"/>
            </a:ext>
          </a:extLst>
        </xdr:cNvPr>
        <xdr:cNvSpPr txBox="1">
          <a:spLocks noChangeArrowheads="1"/>
        </xdr:cNvSpPr>
      </xdr:nvSpPr>
      <xdr:spPr bwMode="auto">
        <a:xfrm>
          <a:off x="14087475" y="23040975"/>
          <a:ext cx="666750" cy="914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0</xdr:col>
      <xdr:colOff>95250</xdr:colOff>
      <xdr:row>108</xdr:row>
      <xdr:rowOff>28575</xdr:rowOff>
    </xdr:from>
    <xdr:to>
      <xdr:col>0</xdr:col>
      <xdr:colOff>295275</xdr:colOff>
      <xdr:row>108</xdr:row>
      <xdr:rowOff>149086</xdr:rowOff>
    </xdr:to>
    <xdr:pic>
      <xdr:nvPicPr>
        <xdr:cNvPr id="274659" name="304 Imagen" descr="200.jpg">
          <a:extLst>
            <a:ext uri="{FF2B5EF4-FFF2-40B4-BE49-F238E27FC236}">
              <a16:creationId xmlns:a16="http://schemas.microsoft.com/office/drawing/2014/main" id="{6464C38E-BCF6-4AE4-B260-85FEF17CCE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1393150"/>
          <a:ext cx="2000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109</xdr:row>
      <xdr:rowOff>28575</xdr:rowOff>
    </xdr:from>
    <xdr:to>
      <xdr:col>0</xdr:col>
      <xdr:colOff>295275</xdr:colOff>
      <xdr:row>110</xdr:row>
      <xdr:rowOff>0</xdr:rowOff>
    </xdr:to>
    <xdr:pic>
      <xdr:nvPicPr>
        <xdr:cNvPr id="274660" name="305 Imagen" descr="200.jpg">
          <a:extLst>
            <a:ext uri="{FF2B5EF4-FFF2-40B4-BE49-F238E27FC236}">
              <a16:creationId xmlns:a16="http://schemas.microsoft.com/office/drawing/2014/main" id="{B61F24E9-DA96-4CFA-8131-20F89E5B66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1545550"/>
          <a:ext cx="2000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63</xdr:row>
      <xdr:rowOff>19050</xdr:rowOff>
    </xdr:from>
    <xdr:to>
      <xdr:col>0</xdr:col>
      <xdr:colOff>295275</xdr:colOff>
      <xdr:row>63</xdr:row>
      <xdr:rowOff>142875</xdr:rowOff>
    </xdr:to>
    <xdr:pic>
      <xdr:nvPicPr>
        <xdr:cNvPr id="274665" name="Picture 1006" descr="100">
          <a:extLst>
            <a:ext uri="{FF2B5EF4-FFF2-40B4-BE49-F238E27FC236}">
              <a16:creationId xmlns:a16="http://schemas.microsoft.com/office/drawing/2014/main" id="{F3E195D8-D2A6-466B-A1F5-CF5010ECDD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3458825"/>
          <a:ext cx="2000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83</xdr:row>
      <xdr:rowOff>28575</xdr:rowOff>
    </xdr:from>
    <xdr:to>
      <xdr:col>1</xdr:col>
      <xdr:colOff>9525</xdr:colOff>
      <xdr:row>83</xdr:row>
      <xdr:rowOff>142875</xdr:rowOff>
    </xdr:to>
    <xdr:pic>
      <xdr:nvPicPr>
        <xdr:cNvPr id="274666" name="205 Imagen" descr="premium.jpg">
          <a:extLst>
            <a:ext uri="{FF2B5EF4-FFF2-40B4-BE49-F238E27FC236}">
              <a16:creationId xmlns:a16="http://schemas.microsoft.com/office/drawing/2014/main" id="{3AC1E528-8588-4F61-ACBF-4D87A038F3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6363950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84</xdr:row>
      <xdr:rowOff>28575</xdr:rowOff>
    </xdr:from>
    <xdr:to>
      <xdr:col>1</xdr:col>
      <xdr:colOff>9525</xdr:colOff>
      <xdr:row>84</xdr:row>
      <xdr:rowOff>142875</xdr:rowOff>
    </xdr:to>
    <xdr:pic>
      <xdr:nvPicPr>
        <xdr:cNvPr id="274667" name="206 Imagen" descr="premium.jpg">
          <a:extLst>
            <a:ext uri="{FF2B5EF4-FFF2-40B4-BE49-F238E27FC236}">
              <a16:creationId xmlns:a16="http://schemas.microsoft.com/office/drawing/2014/main" id="{BAB6762A-76E0-45B9-8504-EA71F4FBF3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6516350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85</xdr:row>
      <xdr:rowOff>28575</xdr:rowOff>
    </xdr:from>
    <xdr:to>
      <xdr:col>1</xdr:col>
      <xdr:colOff>9525</xdr:colOff>
      <xdr:row>85</xdr:row>
      <xdr:rowOff>142875</xdr:rowOff>
    </xdr:to>
    <xdr:pic>
      <xdr:nvPicPr>
        <xdr:cNvPr id="274668" name="207 Imagen" descr="premium.jpg">
          <a:extLst>
            <a:ext uri="{FF2B5EF4-FFF2-40B4-BE49-F238E27FC236}">
              <a16:creationId xmlns:a16="http://schemas.microsoft.com/office/drawing/2014/main" id="{5D572C1B-8C02-4C83-842A-E0B57180CE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6668750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49</xdr:row>
      <xdr:rowOff>28575</xdr:rowOff>
    </xdr:from>
    <xdr:to>
      <xdr:col>1</xdr:col>
      <xdr:colOff>0</xdr:colOff>
      <xdr:row>49</xdr:row>
      <xdr:rowOff>142875</xdr:rowOff>
    </xdr:to>
    <xdr:pic>
      <xdr:nvPicPr>
        <xdr:cNvPr id="274669" name="209 Imagen" descr="premium.jpg">
          <a:extLst>
            <a:ext uri="{FF2B5EF4-FFF2-40B4-BE49-F238E27FC236}">
              <a16:creationId xmlns:a16="http://schemas.microsoft.com/office/drawing/2014/main" id="{A6D64656-A29C-4460-9206-993A7E1AA2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305925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79</xdr:row>
      <xdr:rowOff>28575</xdr:rowOff>
    </xdr:from>
    <xdr:to>
      <xdr:col>1</xdr:col>
      <xdr:colOff>9525</xdr:colOff>
      <xdr:row>79</xdr:row>
      <xdr:rowOff>142875</xdr:rowOff>
    </xdr:to>
    <xdr:pic>
      <xdr:nvPicPr>
        <xdr:cNvPr id="274678" name="201 Imagen" descr="premium.jpg">
          <a:extLst>
            <a:ext uri="{FF2B5EF4-FFF2-40B4-BE49-F238E27FC236}">
              <a16:creationId xmlns:a16="http://schemas.microsoft.com/office/drawing/2014/main" id="{568F369B-E9BF-43CE-828B-09407B8F30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5754350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80</xdr:row>
      <xdr:rowOff>28575</xdr:rowOff>
    </xdr:from>
    <xdr:to>
      <xdr:col>1</xdr:col>
      <xdr:colOff>9525</xdr:colOff>
      <xdr:row>80</xdr:row>
      <xdr:rowOff>142875</xdr:rowOff>
    </xdr:to>
    <xdr:pic>
      <xdr:nvPicPr>
        <xdr:cNvPr id="274679" name="202 Imagen" descr="premium.jpg">
          <a:extLst>
            <a:ext uri="{FF2B5EF4-FFF2-40B4-BE49-F238E27FC236}">
              <a16:creationId xmlns:a16="http://schemas.microsoft.com/office/drawing/2014/main" id="{2851FA39-9B35-4818-893E-77D2C0A81C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5906750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28575</xdr:colOff>
      <xdr:row>689</xdr:row>
      <xdr:rowOff>76200</xdr:rowOff>
    </xdr:from>
    <xdr:to>
      <xdr:col>8</xdr:col>
      <xdr:colOff>353861</xdr:colOff>
      <xdr:row>695</xdr:row>
      <xdr:rowOff>85725</xdr:rowOff>
    </xdr:to>
    <xdr:pic>
      <xdr:nvPicPr>
        <xdr:cNvPr id="274694" name="Picture 1118" descr="Llaveros_de_Goma_Eva">
          <a:extLst>
            <a:ext uri="{FF2B5EF4-FFF2-40B4-BE49-F238E27FC236}">
              <a16:creationId xmlns:a16="http://schemas.microsoft.com/office/drawing/2014/main" id="{4E32BDB5-59DE-4E7E-A452-B84DAC8B99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4925" y="120329325"/>
          <a:ext cx="272415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64</xdr:row>
      <xdr:rowOff>28575</xdr:rowOff>
    </xdr:from>
    <xdr:to>
      <xdr:col>0</xdr:col>
      <xdr:colOff>295275</xdr:colOff>
      <xdr:row>65</xdr:row>
      <xdr:rowOff>0</xdr:rowOff>
    </xdr:to>
    <xdr:pic>
      <xdr:nvPicPr>
        <xdr:cNvPr id="274695" name="Picture 1006" descr="100">
          <a:extLst>
            <a:ext uri="{FF2B5EF4-FFF2-40B4-BE49-F238E27FC236}">
              <a16:creationId xmlns:a16="http://schemas.microsoft.com/office/drawing/2014/main" id="{37F5099D-075A-4065-9ACA-CBC1E71558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3620750"/>
          <a:ext cx="2000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95250</xdr:colOff>
      <xdr:row>703</xdr:row>
      <xdr:rowOff>38100</xdr:rowOff>
    </xdr:from>
    <xdr:to>
      <xdr:col>1</xdr:col>
      <xdr:colOff>295275</xdr:colOff>
      <xdr:row>703</xdr:row>
      <xdr:rowOff>161925</xdr:rowOff>
    </xdr:to>
    <xdr:pic>
      <xdr:nvPicPr>
        <xdr:cNvPr id="274698" name="315 Imagen" descr="500.jpg">
          <a:extLst>
            <a:ext uri="{FF2B5EF4-FFF2-40B4-BE49-F238E27FC236}">
              <a16:creationId xmlns:a16="http://schemas.microsoft.com/office/drawing/2014/main" id="{9598342F-399C-4BE9-9BCC-2B0780A20F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123701175"/>
          <a:ext cx="2000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37</xdr:col>
      <xdr:colOff>466725</xdr:colOff>
      <xdr:row>112</xdr:row>
      <xdr:rowOff>0</xdr:rowOff>
    </xdr:from>
    <xdr:to>
      <xdr:col>38</xdr:col>
      <xdr:colOff>371475</xdr:colOff>
      <xdr:row>154</xdr:row>
      <xdr:rowOff>9525</xdr:rowOff>
    </xdr:to>
    <xdr:sp macro="" textlink="">
      <xdr:nvSpPr>
        <xdr:cNvPr id="274703" name="Text Box 593666">
          <a:extLst>
            <a:ext uri="{FF2B5EF4-FFF2-40B4-BE49-F238E27FC236}">
              <a16:creationId xmlns:a16="http://schemas.microsoft.com/office/drawing/2014/main" id="{D882B232-FA37-449D-9245-9821A6CEE213}"/>
            </a:ext>
          </a:extLst>
        </xdr:cNvPr>
        <xdr:cNvSpPr txBox="1">
          <a:spLocks noChangeArrowheads="1"/>
        </xdr:cNvSpPr>
      </xdr:nvSpPr>
      <xdr:spPr bwMode="auto">
        <a:xfrm>
          <a:off x="14087475" y="22126575"/>
          <a:ext cx="666750" cy="18383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48</xdr:row>
      <xdr:rowOff>28575</xdr:rowOff>
    </xdr:from>
    <xdr:to>
      <xdr:col>1</xdr:col>
      <xdr:colOff>0</xdr:colOff>
      <xdr:row>48</xdr:row>
      <xdr:rowOff>142875</xdr:rowOff>
    </xdr:to>
    <xdr:pic>
      <xdr:nvPicPr>
        <xdr:cNvPr id="274707" name="208 Imagen" descr="premium.jpg">
          <a:extLst>
            <a:ext uri="{FF2B5EF4-FFF2-40B4-BE49-F238E27FC236}">
              <a16:creationId xmlns:a16="http://schemas.microsoft.com/office/drawing/2014/main" id="{5E0BADAE-847B-4EDA-903E-592609C71F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153525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95250</xdr:colOff>
      <xdr:row>702</xdr:row>
      <xdr:rowOff>38100</xdr:rowOff>
    </xdr:from>
    <xdr:to>
      <xdr:col>1</xdr:col>
      <xdr:colOff>295275</xdr:colOff>
      <xdr:row>702</xdr:row>
      <xdr:rowOff>161925</xdr:rowOff>
    </xdr:to>
    <xdr:pic>
      <xdr:nvPicPr>
        <xdr:cNvPr id="274709" name="301 Imagen" descr="200.jpg">
          <a:extLst>
            <a:ext uri="{FF2B5EF4-FFF2-40B4-BE49-F238E27FC236}">
              <a16:creationId xmlns:a16="http://schemas.microsoft.com/office/drawing/2014/main" id="{8DE91D76-0BA3-4273-8C00-8C9D0C97E6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123501150"/>
          <a:ext cx="2000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81</xdr:row>
      <xdr:rowOff>28575</xdr:rowOff>
    </xdr:from>
    <xdr:to>
      <xdr:col>1</xdr:col>
      <xdr:colOff>9525</xdr:colOff>
      <xdr:row>81</xdr:row>
      <xdr:rowOff>142875</xdr:rowOff>
    </xdr:to>
    <xdr:pic>
      <xdr:nvPicPr>
        <xdr:cNvPr id="274712" name="203 Imagen" descr="premium.jpg">
          <a:extLst>
            <a:ext uri="{FF2B5EF4-FFF2-40B4-BE49-F238E27FC236}">
              <a16:creationId xmlns:a16="http://schemas.microsoft.com/office/drawing/2014/main" id="{F28E0277-A90A-4D98-BBAA-2EAD59AF9C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6059150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82</xdr:row>
      <xdr:rowOff>28575</xdr:rowOff>
    </xdr:from>
    <xdr:to>
      <xdr:col>1</xdr:col>
      <xdr:colOff>9525</xdr:colOff>
      <xdr:row>82</xdr:row>
      <xdr:rowOff>142875</xdr:rowOff>
    </xdr:to>
    <xdr:pic>
      <xdr:nvPicPr>
        <xdr:cNvPr id="274713" name="204 Imagen" descr="premium.jpg">
          <a:extLst>
            <a:ext uri="{FF2B5EF4-FFF2-40B4-BE49-F238E27FC236}">
              <a16:creationId xmlns:a16="http://schemas.microsoft.com/office/drawing/2014/main" id="{A33D7DD3-A65F-4EAA-A9F6-9BFF162DE1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6211550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50</xdr:row>
      <xdr:rowOff>28575</xdr:rowOff>
    </xdr:from>
    <xdr:to>
      <xdr:col>1</xdr:col>
      <xdr:colOff>0</xdr:colOff>
      <xdr:row>50</xdr:row>
      <xdr:rowOff>142875</xdr:rowOff>
    </xdr:to>
    <xdr:pic>
      <xdr:nvPicPr>
        <xdr:cNvPr id="274715" name="210 Imagen" descr="premium.jpg">
          <a:extLst>
            <a:ext uri="{FF2B5EF4-FFF2-40B4-BE49-F238E27FC236}">
              <a16:creationId xmlns:a16="http://schemas.microsoft.com/office/drawing/2014/main" id="{8EDAAC46-24B0-49CA-ADAB-89678F672D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58325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615</xdr:row>
      <xdr:rowOff>19050</xdr:rowOff>
    </xdr:from>
    <xdr:to>
      <xdr:col>1</xdr:col>
      <xdr:colOff>0</xdr:colOff>
      <xdr:row>615</xdr:row>
      <xdr:rowOff>133350</xdr:rowOff>
    </xdr:to>
    <xdr:pic>
      <xdr:nvPicPr>
        <xdr:cNvPr id="274723" name="229 Imagen" descr="premium.jpg">
          <a:extLst>
            <a:ext uri="{FF2B5EF4-FFF2-40B4-BE49-F238E27FC236}">
              <a16:creationId xmlns:a16="http://schemas.microsoft.com/office/drawing/2014/main" id="{ACE96F9E-045A-4349-BB44-B3ECCA310A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5565575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616</xdr:row>
      <xdr:rowOff>19050</xdr:rowOff>
    </xdr:from>
    <xdr:to>
      <xdr:col>1</xdr:col>
      <xdr:colOff>0</xdr:colOff>
      <xdr:row>616</xdr:row>
      <xdr:rowOff>133350</xdr:rowOff>
    </xdr:to>
    <xdr:pic>
      <xdr:nvPicPr>
        <xdr:cNvPr id="274724" name="229 Imagen" descr="premium.jpg">
          <a:extLst>
            <a:ext uri="{FF2B5EF4-FFF2-40B4-BE49-F238E27FC236}">
              <a16:creationId xmlns:a16="http://schemas.microsoft.com/office/drawing/2014/main" id="{ACCFED9B-9202-4921-8497-CE51BA7E42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5727500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617</xdr:row>
      <xdr:rowOff>19050</xdr:rowOff>
    </xdr:from>
    <xdr:to>
      <xdr:col>1</xdr:col>
      <xdr:colOff>0</xdr:colOff>
      <xdr:row>617</xdr:row>
      <xdr:rowOff>133350</xdr:rowOff>
    </xdr:to>
    <xdr:pic>
      <xdr:nvPicPr>
        <xdr:cNvPr id="274725" name="229 Imagen" descr="premium.jpg">
          <a:extLst>
            <a:ext uri="{FF2B5EF4-FFF2-40B4-BE49-F238E27FC236}">
              <a16:creationId xmlns:a16="http://schemas.microsoft.com/office/drawing/2014/main" id="{E27E26A0-C260-433F-8468-6D5B2B9FA1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5889425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</xdr:colOff>
      <xdr:row>2</xdr:row>
      <xdr:rowOff>28575</xdr:rowOff>
    </xdr:from>
    <xdr:to>
      <xdr:col>3</xdr:col>
      <xdr:colOff>361950</xdr:colOff>
      <xdr:row>4</xdr:row>
      <xdr:rowOff>247650</xdr:rowOff>
    </xdr:to>
    <xdr:pic>
      <xdr:nvPicPr>
        <xdr:cNvPr id="274730" name="Imagen 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3F83B4C9-635C-4C44-9CD0-DC15F16D17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419100"/>
          <a:ext cx="20478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28575</xdr:colOff>
      <xdr:row>4</xdr:row>
      <xdr:rowOff>57150</xdr:rowOff>
    </xdr:from>
    <xdr:to>
      <xdr:col>29</xdr:col>
      <xdr:colOff>190500</xdr:colOff>
      <xdr:row>6</xdr:row>
      <xdr:rowOff>133350</xdr:rowOff>
    </xdr:to>
    <xdr:pic>
      <xdr:nvPicPr>
        <xdr:cNvPr id="274731" name="228 Imagen" descr="mp_banner-4.png">
          <a:extLst>
            <a:ext uri="{FF2B5EF4-FFF2-40B4-BE49-F238E27FC236}">
              <a16:creationId xmlns:a16="http://schemas.microsoft.com/office/drawing/2014/main" id="{3C84DA17-CC43-48EE-9EE4-737454A210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923925"/>
          <a:ext cx="323850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47626</xdr:colOff>
      <xdr:row>722</xdr:row>
      <xdr:rowOff>36168</xdr:rowOff>
    </xdr:from>
    <xdr:to>
      <xdr:col>22</xdr:col>
      <xdr:colOff>273705</xdr:colOff>
      <xdr:row>722</xdr:row>
      <xdr:rowOff>1095376</xdr:rowOff>
    </xdr:to>
    <xdr:pic>
      <xdr:nvPicPr>
        <xdr:cNvPr id="274732" name="229 Imagen" descr="mp_banner-4.png">
          <a:extLst>
            <a:ext uri="{FF2B5EF4-FFF2-40B4-BE49-F238E27FC236}">
              <a16:creationId xmlns:a16="http://schemas.microsoft.com/office/drawing/2014/main" id="{1B0C9D30-8341-4C96-BECD-14784BEADD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6" y="120365493"/>
          <a:ext cx="6437428" cy="10592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336</xdr:row>
      <xdr:rowOff>28575</xdr:rowOff>
    </xdr:from>
    <xdr:to>
      <xdr:col>1</xdr:col>
      <xdr:colOff>0</xdr:colOff>
      <xdr:row>336</xdr:row>
      <xdr:rowOff>133350</xdr:rowOff>
    </xdr:to>
    <xdr:pic>
      <xdr:nvPicPr>
        <xdr:cNvPr id="274746" name="222 Imagen" descr="oferta icono.png">
          <a:extLst>
            <a:ext uri="{FF2B5EF4-FFF2-40B4-BE49-F238E27FC236}">
              <a16:creationId xmlns:a16="http://schemas.microsoft.com/office/drawing/2014/main" id="{3E96CCA1-0FD5-4D0A-BD9D-85B022678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79227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215</xdr:row>
      <xdr:rowOff>28575</xdr:rowOff>
    </xdr:from>
    <xdr:to>
      <xdr:col>1</xdr:col>
      <xdr:colOff>0</xdr:colOff>
      <xdr:row>215</xdr:row>
      <xdr:rowOff>133350</xdr:rowOff>
    </xdr:to>
    <xdr:pic>
      <xdr:nvPicPr>
        <xdr:cNvPr id="274758" name="235 Imagen" descr="oferta icono.png">
          <a:extLst>
            <a:ext uri="{FF2B5EF4-FFF2-40B4-BE49-F238E27FC236}">
              <a16:creationId xmlns:a16="http://schemas.microsoft.com/office/drawing/2014/main" id="{9E3CA306-CFC8-4AA4-8FCC-5F7C665FB7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2243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95</xdr:row>
      <xdr:rowOff>28575</xdr:rowOff>
    </xdr:from>
    <xdr:to>
      <xdr:col>1</xdr:col>
      <xdr:colOff>0</xdr:colOff>
      <xdr:row>95</xdr:row>
      <xdr:rowOff>133350</xdr:rowOff>
    </xdr:to>
    <xdr:pic>
      <xdr:nvPicPr>
        <xdr:cNvPr id="274763" name="240 Imagen" descr="oferta icono.png">
          <a:extLst>
            <a:ext uri="{FF2B5EF4-FFF2-40B4-BE49-F238E27FC236}">
              <a16:creationId xmlns:a16="http://schemas.microsoft.com/office/drawing/2014/main" id="{8651C8C1-883D-49E3-AEF7-6E97CDEF18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0403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425</xdr:row>
      <xdr:rowOff>28575</xdr:rowOff>
    </xdr:from>
    <xdr:to>
      <xdr:col>1</xdr:col>
      <xdr:colOff>0</xdr:colOff>
      <xdr:row>425</xdr:row>
      <xdr:rowOff>133350</xdr:rowOff>
    </xdr:to>
    <xdr:pic>
      <xdr:nvPicPr>
        <xdr:cNvPr id="274764" name="241 Imagen" descr="oferta icono.png">
          <a:extLst>
            <a:ext uri="{FF2B5EF4-FFF2-40B4-BE49-F238E27FC236}">
              <a16:creationId xmlns:a16="http://schemas.microsoft.com/office/drawing/2014/main" id="{0920FD20-6E04-45AE-9228-EC9AF85872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86003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451</xdr:row>
      <xdr:rowOff>28575</xdr:rowOff>
    </xdr:from>
    <xdr:to>
      <xdr:col>1</xdr:col>
      <xdr:colOff>0</xdr:colOff>
      <xdr:row>451</xdr:row>
      <xdr:rowOff>133350</xdr:rowOff>
    </xdr:to>
    <xdr:pic>
      <xdr:nvPicPr>
        <xdr:cNvPr id="274765" name="242 Imagen" descr="oferta icono.png">
          <a:extLst>
            <a:ext uri="{FF2B5EF4-FFF2-40B4-BE49-F238E27FC236}">
              <a16:creationId xmlns:a16="http://schemas.microsoft.com/office/drawing/2014/main" id="{B37EF289-0EB0-46E9-8712-F617F536AA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16483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424</xdr:row>
      <xdr:rowOff>19050</xdr:rowOff>
    </xdr:from>
    <xdr:to>
      <xdr:col>24</xdr:col>
      <xdr:colOff>47625</xdr:colOff>
      <xdr:row>424</xdr:row>
      <xdr:rowOff>142875</xdr:rowOff>
    </xdr:to>
    <xdr:pic>
      <xdr:nvPicPr>
        <xdr:cNvPr id="274795" name="288 Imagen" descr="seri icono.png">
          <a:extLst>
            <a:ext uri="{FF2B5EF4-FFF2-40B4-BE49-F238E27FC236}">
              <a16:creationId xmlns:a16="http://schemas.microsoft.com/office/drawing/2014/main" id="{03689539-8229-4EDD-82CE-31D962118B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0856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421</xdr:row>
      <xdr:rowOff>19050</xdr:rowOff>
    </xdr:from>
    <xdr:to>
      <xdr:col>24</xdr:col>
      <xdr:colOff>47625</xdr:colOff>
      <xdr:row>421</xdr:row>
      <xdr:rowOff>142875</xdr:rowOff>
    </xdr:to>
    <xdr:pic>
      <xdr:nvPicPr>
        <xdr:cNvPr id="274796" name="290 Imagen" descr="seri icono.png">
          <a:extLst>
            <a:ext uri="{FF2B5EF4-FFF2-40B4-BE49-F238E27FC236}">
              <a16:creationId xmlns:a16="http://schemas.microsoft.com/office/drawing/2014/main" id="{3BDCA750-F4C3-4DFF-B062-4107FB5635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78895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418</xdr:row>
      <xdr:rowOff>19050</xdr:rowOff>
    </xdr:from>
    <xdr:to>
      <xdr:col>24</xdr:col>
      <xdr:colOff>47625</xdr:colOff>
      <xdr:row>418</xdr:row>
      <xdr:rowOff>142875</xdr:rowOff>
    </xdr:to>
    <xdr:pic>
      <xdr:nvPicPr>
        <xdr:cNvPr id="274797" name="291 Imagen" descr="dome icono.png">
          <a:extLst>
            <a:ext uri="{FF2B5EF4-FFF2-40B4-BE49-F238E27FC236}">
              <a16:creationId xmlns:a16="http://schemas.microsoft.com/office/drawing/2014/main" id="{ABB8E52F-69F5-4349-9895-85ADD78009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78438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417</xdr:row>
      <xdr:rowOff>19050</xdr:rowOff>
    </xdr:from>
    <xdr:to>
      <xdr:col>24</xdr:col>
      <xdr:colOff>47625</xdr:colOff>
      <xdr:row>417</xdr:row>
      <xdr:rowOff>142875</xdr:rowOff>
    </xdr:to>
    <xdr:pic>
      <xdr:nvPicPr>
        <xdr:cNvPr id="274799" name="293 Imagen" descr="dome icono.png">
          <a:extLst>
            <a:ext uri="{FF2B5EF4-FFF2-40B4-BE49-F238E27FC236}">
              <a16:creationId xmlns:a16="http://schemas.microsoft.com/office/drawing/2014/main" id="{B1101479-DA06-412D-95BB-FBE43670EC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3266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389</xdr:row>
      <xdr:rowOff>19050</xdr:rowOff>
    </xdr:from>
    <xdr:to>
      <xdr:col>24</xdr:col>
      <xdr:colOff>47625</xdr:colOff>
      <xdr:row>389</xdr:row>
      <xdr:rowOff>142875</xdr:rowOff>
    </xdr:to>
    <xdr:pic>
      <xdr:nvPicPr>
        <xdr:cNvPr id="274809" name="303 Imagen" descr="laser icono.png">
          <a:extLst>
            <a:ext uri="{FF2B5EF4-FFF2-40B4-BE49-F238E27FC236}">
              <a16:creationId xmlns:a16="http://schemas.microsoft.com/office/drawing/2014/main" id="{DE98B125-2DDD-4973-B53A-367F941487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05675" y="67513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441</xdr:row>
      <xdr:rowOff>19050</xdr:rowOff>
    </xdr:from>
    <xdr:to>
      <xdr:col>24</xdr:col>
      <xdr:colOff>47625</xdr:colOff>
      <xdr:row>441</xdr:row>
      <xdr:rowOff>142875</xdr:rowOff>
    </xdr:to>
    <xdr:pic>
      <xdr:nvPicPr>
        <xdr:cNvPr id="274824" name="326 Imagen" descr="dome icono.png">
          <a:extLst>
            <a:ext uri="{FF2B5EF4-FFF2-40B4-BE49-F238E27FC236}">
              <a16:creationId xmlns:a16="http://schemas.microsoft.com/office/drawing/2014/main" id="{7F96D350-78BE-4CDA-A964-05EE5E83C9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3733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443</xdr:row>
      <xdr:rowOff>19050</xdr:rowOff>
    </xdr:from>
    <xdr:to>
      <xdr:col>24</xdr:col>
      <xdr:colOff>47625</xdr:colOff>
      <xdr:row>443</xdr:row>
      <xdr:rowOff>144555</xdr:rowOff>
    </xdr:to>
    <xdr:pic>
      <xdr:nvPicPr>
        <xdr:cNvPr id="274825" name="329 Imagen" descr="dome icono.png">
          <a:extLst>
            <a:ext uri="{FF2B5EF4-FFF2-40B4-BE49-F238E27FC236}">
              <a16:creationId xmlns:a16="http://schemas.microsoft.com/office/drawing/2014/main" id="{42C86699-D147-4984-B480-07726383A7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40378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444</xdr:row>
      <xdr:rowOff>19050</xdr:rowOff>
    </xdr:from>
    <xdr:to>
      <xdr:col>24</xdr:col>
      <xdr:colOff>47625</xdr:colOff>
      <xdr:row>444</xdr:row>
      <xdr:rowOff>142875</xdr:rowOff>
    </xdr:to>
    <xdr:pic>
      <xdr:nvPicPr>
        <xdr:cNvPr id="274826" name="330 Imagen" descr="dome icono.png">
          <a:extLst>
            <a:ext uri="{FF2B5EF4-FFF2-40B4-BE49-F238E27FC236}">
              <a16:creationId xmlns:a16="http://schemas.microsoft.com/office/drawing/2014/main" id="{2E713EC7-F693-43F5-9758-B23BA771A9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4190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445</xdr:row>
      <xdr:rowOff>19050</xdr:rowOff>
    </xdr:from>
    <xdr:to>
      <xdr:col>24</xdr:col>
      <xdr:colOff>47625</xdr:colOff>
      <xdr:row>445</xdr:row>
      <xdr:rowOff>142875</xdr:rowOff>
    </xdr:to>
    <xdr:pic>
      <xdr:nvPicPr>
        <xdr:cNvPr id="274827" name="333 Imagen" descr="dome icono.png">
          <a:extLst>
            <a:ext uri="{FF2B5EF4-FFF2-40B4-BE49-F238E27FC236}">
              <a16:creationId xmlns:a16="http://schemas.microsoft.com/office/drawing/2014/main" id="{DB0775BA-5171-452B-960F-9588F8E876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4342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446</xdr:row>
      <xdr:rowOff>19050</xdr:rowOff>
    </xdr:from>
    <xdr:to>
      <xdr:col>24</xdr:col>
      <xdr:colOff>47625</xdr:colOff>
      <xdr:row>446</xdr:row>
      <xdr:rowOff>142875</xdr:rowOff>
    </xdr:to>
    <xdr:pic>
      <xdr:nvPicPr>
        <xdr:cNvPr id="274828" name="334 Imagen" descr="dome icono.png">
          <a:extLst>
            <a:ext uri="{FF2B5EF4-FFF2-40B4-BE49-F238E27FC236}">
              <a16:creationId xmlns:a16="http://schemas.microsoft.com/office/drawing/2014/main" id="{A6B2D975-30A6-4129-B2EF-DB74CA63C3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4495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442</xdr:row>
      <xdr:rowOff>19050</xdr:rowOff>
    </xdr:from>
    <xdr:to>
      <xdr:col>24</xdr:col>
      <xdr:colOff>47625</xdr:colOff>
      <xdr:row>442</xdr:row>
      <xdr:rowOff>142875</xdr:rowOff>
    </xdr:to>
    <xdr:pic>
      <xdr:nvPicPr>
        <xdr:cNvPr id="274829" name="335 Imagen" descr="dome icono.png">
          <a:extLst>
            <a:ext uri="{FF2B5EF4-FFF2-40B4-BE49-F238E27FC236}">
              <a16:creationId xmlns:a16="http://schemas.microsoft.com/office/drawing/2014/main" id="{4B848387-5EA0-412D-AE40-09B13BE963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3885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448</xdr:row>
      <xdr:rowOff>19050</xdr:rowOff>
    </xdr:from>
    <xdr:to>
      <xdr:col>24</xdr:col>
      <xdr:colOff>47625</xdr:colOff>
      <xdr:row>448</xdr:row>
      <xdr:rowOff>142875</xdr:rowOff>
    </xdr:to>
    <xdr:pic>
      <xdr:nvPicPr>
        <xdr:cNvPr id="274831" name="337 Imagen" descr="laser fibra icono.png">
          <a:extLst>
            <a:ext uri="{FF2B5EF4-FFF2-40B4-BE49-F238E27FC236}">
              <a16:creationId xmlns:a16="http://schemas.microsoft.com/office/drawing/2014/main" id="{8504D109-95E7-49E6-9F49-7E0269928A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72666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366</xdr:row>
      <xdr:rowOff>19050</xdr:rowOff>
    </xdr:from>
    <xdr:to>
      <xdr:col>24</xdr:col>
      <xdr:colOff>47625</xdr:colOff>
      <xdr:row>366</xdr:row>
      <xdr:rowOff>142875</xdr:rowOff>
    </xdr:to>
    <xdr:pic>
      <xdr:nvPicPr>
        <xdr:cNvPr id="274856" name="363 Imagen" descr="laser icono.png">
          <a:extLst>
            <a:ext uri="{FF2B5EF4-FFF2-40B4-BE49-F238E27FC236}">
              <a16:creationId xmlns:a16="http://schemas.microsoft.com/office/drawing/2014/main" id="{EE666AD8-84E5-4585-A8CF-9DB2085757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8721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470</xdr:row>
      <xdr:rowOff>19050</xdr:rowOff>
    </xdr:from>
    <xdr:to>
      <xdr:col>24</xdr:col>
      <xdr:colOff>47625</xdr:colOff>
      <xdr:row>470</xdr:row>
      <xdr:rowOff>142875</xdr:rowOff>
    </xdr:to>
    <xdr:pic>
      <xdr:nvPicPr>
        <xdr:cNvPr id="274880" name="390 Imagen" descr="sublimacion icono.png">
          <a:extLst>
            <a:ext uri="{FF2B5EF4-FFF2-40B4-BE49-F238E27FC236}">
              <a16:creationId xmlns:a16="http://schemas.microsoft.com/office/drawing/2014/main" id="{0007AD53-79CC-4D6B-A02D-466FF367CA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871632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582</xdr:row>
      <xdr:rowOff>19050</xdr:rowOff>
    </xdr:from>
    <xdr:to>
      <xdr:col>24</xdr:col>
      <xdr:colOff>47625</xdr:colOff>
      <xdr:row>582</xdr:row>
      <xdr:rowOff>142875</xdr:rowOff>
    </xdr:to>
    <xdr:pic>
      <xdr:nvPicPr>
        <xdr:cNvPr id="274915" name="427 Imagen" descr="sublimacion icono.png">
          <a:extLst>
            <a:ext uri="{FF2B5EF4-FFF2-40B4-BE49-F238E27FC236}">
              <a16:creationId xmlns:a16="http://schemas.microsoft.com/office/drawing/2014/main" id="{34C797C0-B7B1-49CC-AB46-6EB7EE1345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877633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583</xdr:row>
      <xdr:rowOff>19050</xdr:rowOff>
    </xdr:from>
    <xdr:to>
      <xdr:col>24</xdr:col>
      <xdr:colOff>47625</xdr:colOff>
      <xdr:row>583</xdr:row>
      <xdr:rowOff>142875</xdr:rowOff>
    </xdr:to>
    <xdr:pic>
      <xdr:nvPicPr>
        <xdr:cNvPr id="274916" name="428 Imagen" descr="sublimacion icono.png">
          <a:extLst>
            <a:ext uri="{FF2B5EF4-FFF2-40B4-BE49-F238E27FC236}">
              <a16:creationId xmlns:a16="http://schemas.microsoft.com/office/drawing/2014/main" id="{4C7C92FD-FC97-48E3-992F-25E5F4EBF0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879157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584</xdr:row>
      <xdr:rowOff>19050</xdr:rowOff>
    </xdr:from>
    <xdr:to>
      <xdr:col>24</xdr:col>
      <xdr:colOff>47625</xdr:colOff>
      <xdr:row>584</xdr:row>
      <xdr:rowOff>142875</xdr:rowOff>
    </xdr:to>
    <xdr:pic>
      <xdr:nvPicPr>
        <xdr:cNvPr id="274917" name="429 Imagen" descr="sublimacion icono.png">
          <a:extLst>
            <a:ext uri="{FF2B5EF4-FFF2-40B4-BE49-F238E27FC236}">
              <a16:creationId xmlns:a16="http://schemas.microsoft.com/office/drawing/2014/main" id="{6CF316BA-1A7F-4150-9180-0700F4598B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880681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591</xdr:row>
      <xdr:rowOff>20292</xdr:rowOff>
    </xdr:from>
    <xdr:to>
      <xdr:col>24</xdr:col>
      <xdr:colOff>47625</xdr:colOff>
      <xdr:row>591</xdr:row>
      <xdr:rowOff>140803</xdr:rowOff>
    </xdr:to>
    <xdr:pic>
      <xdr:nvPicPr>
        <xdr:cNvPr id="274927" name="439 Imagen" descr="sublimacion icono.png">
          <a:extLst>
            <a:ext uri="{FF2B5EF4-FFF2-40B4-BE49-F238E27FC236}">
              <a16:creationId xmlns:a16="http://schemas.microsoft.com/office/drawing/2014/main" id="{0FA9E6BF-97F1-48FB-A837-659B6D7AA1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9938" y="86407901"/>
          <a:ext cx="816665" cy="1205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592</xdr:row>
      <xdr:rowOff>20292</xdr:rowOff>
    </xdr:from>
    <xdr:to>
      <xdr:col>24</xdr:col>
      <xdr:colOff>47625</xdr:colOff>
      <xdr:row>592</xdr:row>
      <xdr:rowOff>140803</xdr:rowOff>
    </xdr:to>
    <xdr:pic>
      <xdr:nvPicPr>
        <xdr:cNvPr id="274928" name="440 Imagen" descr="sublimacion icono.png">
          <a:extLst>
            <a:ext uri="{FF2B5EF4-FFF2-40B4-BE49-F238E27FC236}">
              <a16:creationId xmlns:a16="http://schemas.microsoft.com/office/drawing/2014/main" id="{031A1FFB-F9A0-48D0-9943-95C6D526CB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9938" y="86556988"/>
          <a:ext cx="816665" cy="1205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593</xdr:row>
      <xdr:rowOff>19050</xdr:rowOff>
    </xdr:from>
    <xdr:to>
      <xdr:col>24</xdr:col>
      <xdr:colOff>47625</xdr:colOff>
      <xdr:row>593</xdr:row>
      <xdr:rowOff>142875</xdr:rowOff>
    </xdr:to>
    <xdr:pic>
      <xdr:nvPicPr>
        <xdr:cNvPr id="274929" name="441 Imagen" descr="sublimacion icono.png">
          <a:extLst>
            <a:ext uri="{FF2B5EF4-FFF2-40B4-BE49-F238E27FC236}">
              <a16:creationId xmlns:a16="http://schemas.microsoft.com/office/drawing/2014/main" id="{AF0064DE-F1ED-4C18-8398-CEDC5F056F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944308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594</xdr:row>
      <xdr:rowOff>19050</xdr:rowOff>
    </xdr:from>
    <xdr:to>
      <xdr:col>24</xdr:col>
      <xdr:colOff>47625</xdr:colOff>
      <xdr:row>594</xdr:row>
      <xdr:rowOff>142875</xdr:rowOff>
    </xdr:to>
    <xdr:pic>
      <xdr:nvPicPr>
        <xdr:cNvPr id="274932" name="444 Imagen" descr="sublimacion icono.png">
          <a:extLst>
            <a:ext uri="{FF2B5EF4-FFF2-40B4-BE49-F238E27FC236}">
              <a16:creationId xmlns:a16="http://schemas.microsoft.com/office/drawing/2014/main" id="{C2183AF0-A4C4-4982-949B-45A498C722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09923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596</xdr:row>
      <xdr:rowOff>19050</xdr:rowOff>
    </xdr:from>
    <xdr:to>
      <xdr:col>24</xdr:col>
      <xdr:colOff>47625</xdr:colOff>
      <xdr:row>596</xdr:row>
      <xdr:rowOff>142875</xdr:rowOff>
    </xdr:to>
    <xdr:pic>
      <xdr:nvPicPr>
        <xdr:cNvPr id="274935" name="448 Imagen" descr="sublimacion icono.png">
          <a:extLst>
            <a:ext uri="{FF2B5EF4-FFF2-40B4-BE49-F238E27FC236}">
              <a16:creationId xmlns:a16="http://schemas.microsoft.com/office/drawing/2014/main" id="{B0E9A3D8-0201-4B4B-9837-1C200CBB20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1297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595</xdr:row>
      <xdr:rowOff>19050</xdr:rowOff>
    </xdr:from>
    <xdr:to>
      <xdr:col>24</xdr:col>
      <xdr:colOff>47625</xdr:colOff>
      <xdr:row>595</xdr:row>
      <xdr:rowOff>144555</xdr:rowOff>
    </xdr:to>
    <xdr:pic>
      <xdr:nvPicPr>
        <xdr:cNvPr id="274936" name="449 Imagen" descr="sublimacion icono.png">
          <a:extLst>
            <a:ext uri="{FF2B5EF4-FFF2-40B4-BE49-F238E27FC236}">
              <a16:creationId xmlns:a16="http://schemas.microsoft.com/office/drawing/2014/main" id="{A43DEB20-4DB2-4D2B-A5CB-A32375C726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11447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597</xdr:row>
      <xdr:rowOff>19050</xdr:rowOff>
    </xdr:from>
    <xdr:to>
      <xdr:col>24</xdr:col>
      <xdr:colOff>47625</xdr:colOff>
      <xdr:row>597</xdr:row>
      <xdr:rowOff>142875</xdr:rowOff>
    </xdr:to>
    <xdr:pic>
      <xdr:nvPicPr>
        <xdr:cNvPr id="274938" name="451 Imagen" descr="sublimacion icono.png">
          <a:extLst>
            <a:ext uri="{FF2B5EF4-FFF2-40B4-BE49-F238E27FC236}">
              <a16:creationId xmlns:a16="http://schemas.microsoft.com/office/drawing/2014/main" id="{0FD393AB-3027-4CC9-ABBC-2F1F56FA6B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25163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598</xdr:row>
      <xdr:rowOff>19050</xdr:rowOff>
    </xdr:from>
    <xdr:to>
      <xdr:col>24</xdr:col>
      <xdr:colOff>47625</xdr:colOff>
      <xdr:row>598</xdr:row>
      <xdr:rowOff>142875</xdr:rowOff>
    </xdr:to>
    <xdr:pic>
      <xdr:nvPicPr>
        <xdr:cNvPr id="274939" name="452 Imagen" descr="sublimacion icono.png">
          <a:extLst>
            <a:ext uri="{FF2B5EF4-FFF2-40B4-BE49-F238E27FC236}">
              <a16:creationId xmlns:a16="http://schemas.microsoft.com/office/drawing/2014/main" id="{9CAB0423-F160-433E-B611-FBB0BCCF3C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26687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599</xdr:row>
      <xdr:rowOff>19050</xdr:rowOff>
    </xdr:from>
    <xdr:to>
      <xdr:col>24</xdr:col>
      <xdr:colOff>47625</xdr:colOff>
      <xdr:row>599</xdr:row>
      <xdr:rowOff>142875</xdr:rowOff>
    </xdr:to>
    <xdr:pic>
      <xdr:nvPicPr>
        <xdr:cNvPr id="274940" name="453 Imagen" descr="sublimacion icono.png">
          <a:extLst>
            <a:ext uri="{FF2B5EF4-FFF2-40B4-BE49-F238E27FC236}">
              <a16:creationId xmlns:a16="http://schemas.microsoft.com/office/drawing/2014/main" id="{36BC524F-6013-42AB-8516-3E71E83AF8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2821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600</xdr:row>
      <xdr:rowOff>19050</xdr:rowOff>
    </xdr:from>
    <xdr:to>
      <xdr:col>24</xdr:col>
      <xdr:colOff>47625</xdr:colOff>
      <xdr:row>600</xdr:row>
      <xdr:rowOff>142875</xdr:rowOff>
    </xdr:to>
    <xdr:pic>
      <xdr:nvPicPr>
        <xdr:cNvPr id="274941" name="454 Imagen" descr="sublimacion icono.png">
          <a:extLst>
            <a:ext uri="{FF2B5EF4-FFF2-40B4-BE49-F238E27FC236}">
              <a16:creationId xmlns:a16="http://schemas.microsoft.com/office/drawing/2014/main" id="{E9CEF868-BB39-495B-9B6E-B2EA142797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2973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601</xdr:row>
      <xdr:rowOff>19050</xdr:rowOff>
    </xdr:from>
    <xdr:to>
      <xdr:col>24</xdr:col>
      <xdr:colOff>47625</xdr:colOff>
      <xdr:row>601</xdr:row>
      <xdr:rowOff>142875</xdr:rowOff>
    </xdr:to>
    <xdr:pic>
      <xdr:nvPicPr>
        <xdr:cNvPr id="274942" name="455 Imagen" descr="sublimacion icono.png">
          <a:extLst>
            <a:ext uri="{FF2B5EF4-FFF2-40B4-BE49-F238E27FC236}">
              <a16:creationId xmlns:a16="http://schemas.microsoft.com/office/drawing/2014/main" id="{7CCCF7FD-A007-46C0-8861-61099D5075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3125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602</xdr:row>
      <xdr:rowOff>19050</xdr:rowOff>
    </xdr:from>
    <xdr:to>
      <xdr:col>24</xdr:col>
      <xdr:colOff>47625</xdr:colOff>
      <xdr:row>602</xdr:row>
      <xdr:rowOff>142875</xdr:rowOff>
    </xdr:to>
    <xdr:pic>
      <xdr:nvPicPr>
        <xdr:cNvPr id="274943" name="456 Imagen" descr="sublimacion icono.png">
          <a:extLst>
            <a:ext uri="{FF2B5EF4-FFF2-40B4-BE49-F238E27FC236}">
              <a16:creationId xmlns:a16="http://schemas.microsoft.com/office/drawing/2014/main" id="{FEB66BDF-174C-4CC6-A520-DE08E50383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32783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603</xdr:row>
      <xdr:rowOff>9525</xdr:rowOff>
    </xdr:from>
    <xdr:to>
      <xdr:col>24</xdr:col>
      <xdr:colOff>47625</xdr:colOff>
      <xdr:row>603</xdr:row>
      <xdr:rowOff>133350</xdr:rowOff>
    </xdr:to>
    <xdr:pic>
      <xdr:nvPicPr>
        <xdr:cNvPr id="274944" name="457 Imagen" descr="sublimacion icono.png">
          <a:extLst>
            <a:ext uri="{FF2B5EF4-FFF2-40B4-BE49-F238E27FC236}">
              <a16:creationId xmlns:a16="http://schemas.microsoft.com/office/drawing/2014/main" id="{69C26F01-9454-4933-87E6-FD3C78F9CF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3421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325</xdr:row>
      <xdr:rowOff>19050</xdr:rowOff>
    </xdr:from>
    <xdr:to>
      <xdr:col>24</xdr:col>
      <xdr:colOff>47625</xdr:colOff>
      <xdr:row>325</xdr:row>
      <xdr:rowOff>142875</xdr:rowOff>
    </xdr:to>
    <xdr:pic>
      <xdr:nvPicPr>
        <xdr:cNvPr id="275014" name="529 Imagen" descr="tampo icono.png">
          <a:extLst>
            <a:ext uri="{FF2B5EF4-FFF2-40B4-BE49-F238E27FC236}">
              <a16:creationId xmlns:a16="http://schemas.microsoft.com/office/drawing/2014/main" id="{76894DB9-89C2-4200-9754-9FA158707A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4606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267</xdr:row>
      <xdr:rowOff>19050</xdr:rowOff>
    </xdr:from>
    <xdr:to>
      <xdr:col>24</xdr:col>
      <xdr:colOff>47625</xdr:colOff>
      <xdr:row>267</xdr:row>
      <xdr:rowOff>142875</xdr:rowOff>
    </xdr:to>
    <xdr:pic>
      <xdr:nvPicPr>
        <xdr:cNvPr id="275076" name="603 Imagen" descr="laser icono.png">
          <a:extLst>
            <a:ext uri="{FF2B5EF4-FFF2-40B4-BE49-F238E27FC236}">
              <a16:creationId xmlns:a16="http://schemas.microsoft.com/office/drawing/2014/main" id="{90359F57-78FD-4944-99AD-2D577F530B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55978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268</xdr:row>
      <xdr:rowOff>19050</xdr:rowOff>
    </xdr:from>
    <xdr:to>
      <xdr:col>24</xdr:col>
      <xdr:colOff>47625</xdr:colOff>
      <xdr:row>268</xdr:row>
      <xdr:rowOff>142875</xdr:rowOff>
    </xdr:to>
    <xdr:pic>
      <xdr:nvPicPr>
        <xdr:cNvPr id="275077" name="604 Imagen" descr="laser icono.png">
          <a:extLst>
            <a:ext uri="{FF2B5EF4-FFF2-40B4-BE49-F238E27FC236}">
              <a16:creationId xmlns:a16="http://schemas.microsoft.com/office/drawing/2014/main" id="{4D2958C7-62FD-4076-A2A7-AD9673FF99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56130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269</xdr:row>
      <xdr:rowOff>19050</xdr:rowOff>
    </xdr:from>
    <xdr:to>
      <xdr:col>24</xdr:col>
      <xdr:colOff>47625</xdr:colOff>
      <xdr:row>269</xdr:row>
      <xdr:rowOff>142875</xdr:rowOff>
    </xdr:to>
    <xdr:pic>
      <xdr:nvPicPr>
        <xdr:cNvPr id="275078" name="605 Imagen" descr="laser icono.png">
          <a:extLst>
            <a:ext uri="{FF2B5EF4-FFF2-40B4-BE49-F238E27FC236}">
              <a16:creationId xmlns:a16="http://schemas.microsoft.com/office/drawing/2014/main" id="{78254C7B-4885-4B15-966D-DA50586611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56283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270</xdr:row>
      <xdr:rowOff>19050</xdr:rowOff>
    </xdr:from>
    <xdr:to>
      <xdr:col>24</xdr:col>
      <xdr:colOff>47625</xdr:colOff>
      <xdr:row>270</xdr:row>
      <xdr:rowOff>142875</xdr:rowOff>
    </xdr:to>
    <xdr:pic>
      <xdr:nvPicPr>
        <xdr:cNvPr id="275079" name="606 Imagen" descr="laser icono.png">
          <a:extLst>
            <a:ext uri="{FF2B5EF4-FFF2-40B4-BE49-F238E27FC236}">
              <a16:creationId xmlns:a16="http://schemas.microsoft.com/office/drawing/2014/main" id="{5C88BFC3-153A-4974-9A89-B463D8D8EC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56435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271</xdr:row>
      <xdr:rowOff>19050</xdr:rowOff>
    </xdr:from>
    <xdr:to>
      <xdr:col>24</xdr:col>
      <xdr:colOff>47625</xdr:colOff>
      <xdr:row>271</xdr:row>
      <xdr:rowOff>142875</xdr:rowOff>
    </xdr:to>
    <xdr:pic>
      <xdr:nvPicPr>
        <xdr:cNvPr id="275080" name="607 Imagen" descr="laser icono.png">
          <a:extLst>
            <a:ext uri="{FF2B5EF4-FFF2-40B4-BE49-F238E27FC236}">
              <a16:creationId xmlns:a16="http://schemas.microsoft.com/office/drawing/2014/main" id="{058828AF-BCFF-42D4-9D53-73FBA48BB9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56588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272</xdr:row>
      <xdr:rowOff>19050</xdr:rowOff>
    </xdr:from>
    <xdr:to>
      <xdr:col>24</xdr:col>
      <xdr:colOff>47625</xdr:colOff>
      <xdr:row>272</xdr:row>
      <xdr:rowOff>142875</xdr:rowOff>
    </xdr:to>
    <xdr:pic>
      <xdr:nvPicPr>
        <xdr:cNvPr id="275081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56740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266</xdr:row>
      <xdr:rowOff>19050</xdr:rowOff>
    </xdr:from>
    <xdr:to>
      <xdr:col>24</xdr:col>
      <xdr:colOff>47625</xdr:colOff>
      <xdr:row>266</xdr:row>
      <xdr:rowOff>142875</xdr:rowOff>
    </xdr:to>
    <xdr:pic>
      <xdr:nvPicPr>
        <xdr:cNvPr id="275083" name="610 Imagen" descr="seri icono.png">
          <a:extLst>
            <a:ext uri="{FF2B5EF4-FFF2-40B4-BE49-F238E27FC236}">
              <a16:creationId xmlns:a16="http://schemas.microsoft.com/office/drawing/2014/main" id="{F564A31B-94AF-4178-B861-D8AC89F967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3891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629</xdr:row>
      <xdr:rowOff>19050</xdr:rowOff>
    </xdr:from>
    <xdr:to>
      <xdr:col>24</xdr:col>
      <xdr:colOff>47625</xdr:colOff>
      <xdr:row>629</xdr:row>
      <xdr:rowOff>144555</xdr:rowOff>
    </xdr:to>
    <xdr:pic>
      <xdr:nvPicPr>
        <xdr:cNvPr id="275085" name="612 Imagen" descr="laser un lado icono.png">
          <a:extLst>
            <a:ext uri="{FF2B5EF4-FFF2-40B4-BE49-F238E27FC236}">
              <a16:creationId xmlns:a16="http://schemas.microsoft.com/office/drawing/2014/main" id="{A139070A-D4AF-4623-BD37-C29EBB95F8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32816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630</xdr:row>
      <xdr:rowOff>19050</xdr:rowOff>
    </xdr:from>
    <xdr:to>
      <xdr:col>24</xdr:col>
      <xdr:colOff>47625</xdr:colOff>
      <xdr:row>630</xdr:row>
      <xdr:rowOff>142875</xdr:rowOff>
    </xdr:to>
    <xdr:pic>
      <xdr:nvPicPr>
        <xdr:cNvPr id="275086" name="613 Imagen" descr="laser un lado icono.png">
          <a:extLst>
            <a:ext uri="{FF2B5EF4-FFF2-40B4-BE49-F238E27FC236}">
              <a16:creationId xmlns:a16="http://schemas.microsoft.com/office/drawing/2014/main" id="{359BE694-F425-4F94-8F5F-748040DF7F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3434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631</xdr:row>
      <xdr:rowOff>19050</xdr:rowOff>
    </xdr:from>
    <xdr:to>
      <xdr:col>24</xdr:col>
      <xdr:colOff>47625</xdr:colOff>
      <xdr:row>631</xdr:row>
      <xdr:rowOff>142875</xdr:rowOff>
    </xdr:to>
    <xdr:pic>
      <xdr:nvPicPr>
        <xdr:cNvPr id="275087" name="614 Imagen" descr="laser un lado icono.png">
          <a:extLst>
            <a:ext uri="{FF2B5EF4-FFF2-40B4-BE49-F238E27FC236}">
              <a16:creationId xmlns:a16="http://schemas.microsoft.com/office/drawing/2014/main" id="{7739F6A5-E58C-42C2-86E9-9EB75A47F3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3586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632</xdr:row>
      <xdr:rowOff>19050</xdr:rowOff>
    </xdr:from>
    <xdr:to>
      <xdr:col>24</xdr:col>
      <xdr:colOff>47625</xdr:colOff>
      <xdr:row>632</xdr:row>
      <xdr:rowOff>142875</xdr:rowOff>
    </xdr:to>
    <xdr:pic>
      <xdr:nvPicPr>
        <xdr:cNvPr id="275088" name="615 Imagen" descr="laser un lado icono.png">
          <a:extLst>
            <a:ext uri="{FF2B5EF4-FFF2-40B4-BE49-F238E27FC236}">
              <a16:creationId xmlns:a16="http://schemas.microsoft.com/office/drawing/2014/main" id="{15F705C0-980F-4777-8EF5-3BBCE397DA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3738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625</xdr:row>
      <xdr:rowOff>19050</xdr:rowOff>
    </xdr:from>
    <xdr:to>
      <xdr:col>24</xdr:col>
      <xdr:colOff>47625</xdr:colOff>
      <xdr:row>625</xdr:row>
      <xdr:rowOff>142875</xdr:rowOff>
    </xdr:to>
    <xdr:pic>
      <xdr:nvPicPr>
        <xdr:cNvPr id="275091" name="618 Imagen" descr="laser icono.png">
          <a:extLst>
            <a:ext uri="{FF2B5EF4-FFF2-40B4-BE49-F238E27FC236}">
              <a16:creationId xmlns:a16="http://schemas.microsoft.com/office/drawing/2014/main" id="{6236EB1F-2F3B-4DA3-98BE-B917123D71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2672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624</xdr:row>
      <xdr:rowOff>19050</xdr:rowOff>
    </xdr:from>
    <xdr:to>
      <xdr:col>24</xdr:col>
      <xdr:colOff>47625</xdr:colOff>
      <xdr:row>624</xdr:row>
      <xdr:rowOff>142875</xdr:rowOff>
    </xdr:to>
    <xdr:pic>
      <xdr:nvPicPr>
        <xdr:cNvPr id="275092" name="619 Imagen" descr="laser icono.png">
          <a:extLst>
            <a:ext uri="{FF2B5EF4-FFF2-40B4-BE49-F238E27FC236}">
              <a16:creationId xmlns:a16="http://schemas.microsoft.com/office/drawing/2014/main" id="{49257B3C-36DC-4F8D-B6A6-CDFC96A73F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2519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622</xdr:row>
      <xdr:rowOff>19050</xdr:rowOff>
    </xdr:from>
    <xdr:to>
      <xdr:col>24</xdr:col>
      <xdr:colOff>47625</xdr:colOff>
      <xdr:row>622</xdr:row>
      <xdr:rowOff>142875</xdr:rowOff>
    </xdr:to>
    <xdr:pic>
      <xdr:nvPicPr>
        <xdr:cNvPr id="275093" name="620 Imagen" descr="laser icono.png">
          <a:extLst>
            <a:ext uri="{FF2B5EF4-FFF2-40B4-BE49-F238E27FC236}">
              <a16:creationId xmlns:a16="http://schemas.microsoft.com/office/drawing/2014/main" id="{45FD4C15-BDDF-4841-9AB5-7CD787B13D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2214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621</xdr:row>
      <xdr:rowOff>19050</xdr:rowOff>
    </xdr:from>
    <xdr:to>
      <xdr:col>24</xdr:col>
      <xdr:colOff>47625</xdr:colOff>
      <xdr:row>621</xdr:row>
      <xdr:rowOff>142875</xdr:rowOff>
    </xdr:to>
    <xdr:pic>
      <xdr:nvPicPr>
        <xdr:cNvPr id="275094" name="621 Imagen" descr="laser icono.png">
          <a:extLst>
            <a:ext uri="{FF2B5EF4-FFF2-40B4-BE49-F238E27FC236}">
              <a16:creationId xmlns:a16="http://schemas.microsoft.com/office/drawing/2014/main" id="{2C98F66E-42E5-4C4D-8018-EE026F6EC0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2062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620</xdr:row>
      <xdr:rowOff>19050</xdr:rowOff>
    </xdr:from>
    <xdr:to>
      <xdr:col>24</xdr:col>
      <xdr:colOff>47625</xdr:colOff>
      <xdr:row>620</xdr:row>
      <xdr:rowOff>142875</xdr:rowOff>
    </xdr:to>
    <xdr:pic>
      <xdr:nvPicPr>
        <xdr:cNvPr id="275095" name="622 Imagen" descr="laser icono.png">
          <a:extLst>
            <a:ext uri="{FF2B5EF4-FFF2-40B4-BE49-F238E27FC236}">
              <a16:creationId xmlns:a16="http://schemas.microsoft.com/office/drawing/2014/main" id="{E9DCD936-D695-4ED6-8F91-2F5E6477B4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1910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619</xdr:row>
      <xdr:rowOff>19050</xdr:rowOff>
    </xdr:from>
    <xdr:to>
      <xdr:col>24</xdr:col>
      <xdr:colOff>47625</xdr:colOff>
      <xdr:row>619</xdr:row>
      <xdr:rowOff>142875</xdr:rowOff>
    </xdr:to>
    <xdr:pic>
      <xdr:nvPicPr>
        <xdr:cNvPr id="275101" name="628 Imagen" descr="laser icono.png">
          <a:extLst>
            <a:ext uri="{FF2B5EF4-FFF2-40B4-BE49-F238E27FC236}">
              <a16:creationId xmlns:a16="http://schemas.microsoft.com/office/drawing/2014/main" id="{DAB49FFA-C700-4011-9BE5-F0FCA133F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77125" y="47863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260</xdr:row>
      <xdr:rowOff>19050</xdr:rowOff>
    </xdr:from>
    <xdr:to>
      <xdr:col>24</xdr:col>
      <xdr:colOff>47625</xdr:colOff>
      <xdr:row>260</xdr:row>
      <xdr:rowOff>144555</xdr:rowOff>
    </xdr:to>
    <xdr:pic>
      <xdr:nvPicPr>
        <xdr:cNvPr id="275110" name="637 Imagen" descr="tampo icono.png">
          <a:extLst>
            <a:ext uri="{FF2B5EF4-FFF2-40B4-BE49-F238E27FC236}">
              <a16:creationId xmlns:a16="http://schemas.microsoft.com/office/drawing/2014/main" id="{FFEAE608-2502-480A-97A7-7D85B68E53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77125" y="457295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262</xdr:row>
      <xdr:rowOff>19050</xdr:rowOff>
    </xdr:from>
    <xdr:to>
      <xdr:col>26</xdr:col>
      <xdr:colOff>9524</xdr:colOff>
      <xdr:row>262</xdr:row>
      <xdr:rowOff>142875</xdr:rowOff>
    </xdr:to>
    <xdr:pic>
      <xdr:nvPicPr>
        <xdr:cNvPr id="275120" name="654 Imagen" descr="CON CALENDARIO ICONO.png">
          <a:extLst>
            <a:ext uri="{FF2B5EF4-FFF2-40B4-BE49-F238E27FC236}">
              <a16:creationId xmlns:a16="http://schemas.microsoft.com/office/drawing/2014/main" id="{D2F6B91D-C3BE-47B0-BD2F-D7C383BBD5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15325" y="461867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222</xdr:row>
      <xdr:rowOff>19050</xdr:rowOff>
    </xdr:from>
    <xdr:to>
      <xdr:col>24</xdr:col>
      <xdr:colOff>47625</xdr:colOff>
      <xdr:row>222</xdr:row>
      <xdr:rowOff>142875</xdr:rowOff>
    </xdr:to>
    <xdr:pic>
      <xdr:nvPicPr>
        <xdr:cNvPr id="275158" name="702 Imagen" descr="laser fibra icono.png">
          <a:extLst>
            <a:ext uri="{FF2B5EF4-FFF2-40B4-BE49-F238E27FC236}">
              <a16:creationId xmlns:a16="http://schemas.microsoft.com/office/drawing/2014/main" id="{A84E498A-D1D2-406F-9CCF-947161A9D7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2976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218</xdr:row>
      <xdr:rowOff>19050</xdr:rowOff>
    </xdr:from>
    <xdr:to>
      <xdr:col>24</xdr:col>
      <xdr:colOff>47625</xdr:colOff>
      <xdr:row>218</xdr:row>
      <xdr:rowOff>144555</xdr:rowOff>
    </xdr:to>
    <xdr:pic>
      <xdr:nvPicPr>
        <xdr:cNvPr id="275162" name="706 Imagen" descr="seri icono.png">
          <a:extLst>
            <a:ext uri="{FF2B5EF4-FFF2-40B4-BE49-F238E27FC236}">
              <a16:creationId xmlns:a16="http://schemas.microsoft.com/office/drawing/2014/main" id="{02C04E86-38B2-4D45-9CC7-86DA274F3A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17576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217</xdr:row>
      <xdr:rowOff>19050</xdr:rowOff>
    </xdr:from>
    <xdr:to>
      <xdr:col>24</xdr:col>
      <xdr:colOff>47625</xdr:colOff>
      <xdr:row>217</xdr:row>
      <xdr:rowOff>142875</xdr:rowOff>
    </xdr:to>
    <xdr:pic>
      <xdr:nvPicPr>
        <xdr:cNvPr id="275165" name="709 Imagen" descr="tampo icono.png">
          <a:extLst>
            <a:ext uri="{FF2B5EF4-FFF2-40B4-BE49-F238E27FC236}">
              <a16:creationId xmlns:a16="http://schemas.microsoft.com/office/drawing/2014/main" id="{337D71CC-0B92-418D-9CF3-B7ACB14E4A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1605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215</xdr:row>
      <xdr:rowOff>19050</xdr:rowOff>
    </xdr:from>
    <xdr:to>
      <xdr:col>24</xdr:col>
      <xdr:colOff>47625</xdr:colOff>
      <xdr:row>215</xdr:row>
      <xdr:rowOff>142875</xdr:rowOff>
    </xdr:to>
    <xdr:pic>
      <xdr:nvPicPr>
        <xdr:cNvPr id="275181" name="734 Imagen" descr="SERI UN LADO ICONO.png">
          <a:extLst>
            <a:ext uri="{FF2B5EF4-FFF2-40B4-BE49-F238E27FC236}">
              <a16:creationId xmlns:a16="http://schemas.microsoft.com/office/drawing/2014/main" id="{4AA2EF4B-6568-4D4F-8229-43FC94042A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1148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206</xdr:row>
      <xdr:rowOff>19050</xdr:rowOff>
    </xdr:from>
    <xdr:to>
      <xdr:col>24</xdr:col>
      <xdr:colOff>47625</xdr:colOff>
      <xdr:row>206</xdr:row>
      <xdr:rowOff>142875</xdr:rowOff>
    </xdr:to>
    <xdr:pic>
      <xdr:nvPicPr>
        <xdr:cNvPr id="275197" name="754 Imagen" descr="seri icono.png">
          <a:extLst>
            <a:ext uri="{FF2B5EF4-FFF2-40B4-BE49-F238E27FC236}">
              <a16:creationId xmlns:a16="http://schemas.microsoft.com/office/drawing/2014/main" id="{E7BD849F-C43A-4214-B60F-94F6C439AF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6566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207</xdr:row>
      <xdr:rowOff>19050</xdr:rowOff>
    </xdr:from>
    <xdr:to>
      <xdr:col>24</xdr:col>
      <xdr:colOff>47625</xdr:colOff>
      <xdr:row>207</xdr:row>
      <xdr:rowOff>142875</xdr:rowOff>
    </xdr:to>
    <xdr:pic>
      <xdr:nvPicPr>
        <xdr:cNvPr id="275198" name="755 Imagen" descr="seri icono.png">
          <a:extLst>
            <a:ext uri="{FF2B5EF4-FFF2-40B4-BE49-F238E27FC236}">
              <a16:creationId xmlns:a16="http://schemas.microsoft.com/office/drawing/2014/main" id="{6F01BA60-336D-4566-99D4-4BE1A3E524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67188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202</xdr:row>
      <xdr:rowOff>19050</xdr:rowOff>
    </xdr:from>
    <xdr:to>
      <xdr:col>24</xdr:col>
      <xdr:colOff>47625</xdr:colOff>
      <xdr:row>202</xdr:row>
      <xdr:rowOff>142875</xdr:rowOff>
    </xdr:to>
    <xdr:pic>
      <xdr:nvPicPr>
        <xdr:cNvPr id="275207" name="764 Imagen" descr="seri icono.png">
          <a:extLst>
            <a:ext uri="{FF2B5EF4-FFF2-40B4-BE49-F238E27FC236}">
              <a16:creationId xmlns:a16="http://schemas.microsoft.com/office/drawing/2014/main" id="{9F03D5B2-AEA3-42C2-9915-27D07A53F1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1661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201</xdr:row>
      <xdr:rowOff>19050</xdr:rowOff>
    </xdr:from>
    <xdr:to>
      <xdr:col>24</xdr:col>
      <xdr:colOff>47625</xdr:colOff>
      <xdr:row>201</xdr:row>
      <xdr:rowOff>142875</xdr:rowOff>
    </xdr:to>
    <xdr:pic>
      <xdr:nvPicPr>
        <xdr:cNvPr id="275208" name="765 Imagen" descr="seri icono.png">
          <a:extLst>
            <a:ext uri="{FF2B5EF4-FFF2-40B4-BE49-F238E27FC236}">
              <a16:creationId xmlns:a16="http://schemas.microsoft.com/office/drawing/2014/main" id="{8988DF02-C87F-4315-BE6C-E457735D2D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1508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189</xdr:row>
      <xdr:rowOff>19050</xdr:rowOff>
    </xdr:from>
    <xdr:to>
      <xdr:col>24</xdr:col>
      <xdr:colOff>47625</xdr:colOff>
      <xdr:row>189</xdr:row>
      <xdr:rowOff>142875</xdr:rowOff>
    </xdr:to>
    <xdr:pic>
      <xdr:nvPicPr>
        <xdr:cNvPr id="275216" name="773 Imagen" descr="seri icono.png">
          <a:extLst>
            <a:ext uri="{FF2B5EF4-FFF2-40B4-BE49-F238E27FC236}">
              <a16:creationId xmlns:a16="http://schemas.microsoft.com/office/drawing/2014/main" id="{351C1A97-3ACA-4F51-ADBF-DADEE5B259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33327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190</xdr:row>
      <xdr:rowOff>19050</xdr:rowOff>
    </xdr:from>
    <xdr:to>
      <xdr:col>24</xdr:col>
      <xdr:colOff>47625</xdr:colOff>
      <xdr:row>190</xdr:row>
      <xdr:rowOff>142875</xdr:rowOff>
    </xdr:to>
    <xdr:pic>
      <xdr:nvPicPr>
        <xdr:cNvPr id="275217" name="774 Imagen" descr="seri icono.png">
          <a:extLst>
            <a:ext uri="{FF2B5EF4-FFF2-40B4-BE49-F238E27FC236}">
              <a16:creationId xmlns:a16="http://schemas.microsoft.com/office/drawing/2014/main" id="{FDD30D56-705F-4DFD-A41F-F6FCCC5BF2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3489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191</xdr:row>
      <xdr:rowOff>19050</xdr:rowOff>
    </xdr:from>
    <xdr:to>
      <xdr:col>24</xdr:col>
      <xdr:colOff>47625</xdr:colOff>
      <xdr:row>191</xdr:row>
      <xdr:rowOff>142875</xdr:rowOff>
    </xdr:to>
    <xdr:pic>
      <xdr:nvPicPr>
        <xdr:cNvPr id="275218" name="775 Imagen" descr="seri icono.png">
          <a:extLst>
            <a:ext uri="{FF2B5EF4-FFF2-40B4-BE49-F238E27FC236}">
              <a16:creationId xmlns:a16="http://schemas.microsoft.com/office/drawing/2014/main" id="{6E2629A9-1BB3-43EB-BF8D-E9E1D9C719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3642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192</xdr:row>
      <xdr:rowOff>19050</xdr:rowOff>
    </xdr:from>
    <xdr:to>
      <xdr:col>24</xdr:col>
      <xdr:colOff>47625</xdr:colOff>
      <xdr:row>192</xdr:row>
      <xdr:rowOff>142875</xdr:rowOff>
    </xdr:to>
    <xdr:pic>
      <xdr:nvPicPr>
        <xdr:cNvPr id="275219" name="776 Imagen" descr="seri icono.png">
          <a:extLst>
            <a:ext uri="{FF2B5EF4-FFF2-40B4-BE49-F238E27FC236}">
              <a16:creationId xmlns:a16="http://schemas.microsoft.com/office/drawing/2014/main" id="{3E460A3E-6EEF-4DC9-817C-C8B27DC3EC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3794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193</xdr:row>
      <xdr:rowOff>19050</xdr:rowOff>
    </xdr:from>
    <xdr:to>
      <xdr:col>24</xdr:col>
      <xdr:colOff>47625</xdr:colOff>
      <xdr:row>193</xdr:row>
      <xdr:rowOff>142875</xdr:rowOff>
    </xdr:to>
    <xdr:pic>
      <xdr:nvPicPr>
        <xdr:cNvPr id="275220" name="777 Imagen" descr="seri icono.png">
          <a:extLst>
            <a:ext uri="{FF2B5EF4-FFF2-40B4-BE49-F238E27FC236}">
              <a16:creationId xmlns:a16="http://schemas.microsoft.com/office/drawing/2014/main" id="{703A9137-7094-4DD2-81A2-72E8BB08DD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3947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194</xdr:row>
      <xdr:rowOff>19050</xdr:rowOff>
    </xdr:from>
    <xdr:to>
      <xdr:col>24</xdr:col>
      <xdr:colOff>47625</xdr:colOff>
      <xdr:row>194</xdr:row>
      <xdr:rowOff>142875</xdr:rowOff>
    </xdr:to>
    <xdr:pic>
      <xdr:nvPicPr>
        <xdr:cNvPr id="275221" name="778 Imagen" descr="seri icono.png">
          <a:extLst>
            <a:ext uri="{FF2B5EF4-FFF2-40B4-BE49-F238E27FC236}">
              <a16:creationId xmlns:a16="http://schemas.microsoft.com/office/drawing/2014/main" id="{3A3D82BB-3E35-4387-9C35-FDE9C572E2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4099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177</xdr:row>
      <xdr:rowOff>19050</xdr:rowOff>
    </xdr:from>
    <xdr:to>
      <xdr:col>24</xdr:col>
      <xdr:colOff>47625</xdr:colOff>
      <xdr:row>177</xdr:row>
      <xdr:rowOff>142875</xdr:rowOff>
    </xdr:to>
    <xdr:pic>
      <xdr:nvPicPr>
        <xdr:cNvPr id="275227" name="785 Imagen" descr="laser icono.png">
          <a:extLst>
            <a:ext uri="{FF2B5EF4-FFF2-40B4-BE49-F238E27FC236}">
              <a16:creationId xmlns:a16="http://schemas.microsoft.com/office/drawing/2014/main" id="{5A1933A6-AD38-4DDD-AC59-E1FEB0641B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2880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177</xdr:row>
      <xdr:rowOff>19050</xdr:rowOff>
    </xdr:from>
    <xdr:to>
      <xdr:col>26</xdr:col>
      <xdr:colOff>9524</xdr:colOff>
      <xdr:row>177</xdr:row>
      <xdr:rowOff>142875</xdr:rowOff>
    </xdr:to>
    <xdr:pic>
      <xdr:nvPicPr>
        <xdr:cNvPr id="275228" name="786 Imagen" descr="hasta 16 icono.png">
          <a:extLst>
            <a:ext uri="{FF2B5EF4-FFF2-40B4-BE49-F238E27FC236}">
              <a16:creationId xmlns:a16="http://schemas.microsoft.com/office/drawing/2014/main" id="{C7DA5D71-6A9E-47E3-8039-AB1076C054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28155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170</xdr:row>
      <xdr:rowOff>19050</xdr:rowOff>
    </xdr:from>
    <xdr:to>
      <xdr:col>24</xdr:col>
      <xdr:colOff>47625</xdr:colOff>
      <xdr:row>170</xdr:row>
      <xdr:rowOff>142875</xdr:rowOff>
    </xdr:to>
    <xdr:pic>
      <xdr:nvPicPr>
        <xdr:cNvPr id="275237" name="797 Imagen" descr="tampo icono.png">
          <a:extLst>
            <a:ext uri="{FF2B5EF4-FFF2-40B4-BE49-F238E27FC236}">
              <a16:creationId xmlns:a16="http://schemas.microsoft.com/office/drawing/2014/main" id="{29EB3621-30D2-4756-8EDD-C176722614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1194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167</xdr:row>
      <xdr:rowOff>19050</xdr:rowOff>
    </xdr:from>
    <xdr:to>
      <xdr:col>24</xdr:col>
      <xdr:colOff>47625</xdr:colOff>
      <xdr:row>167</xdr:row>
      <xdr:rowOff>142875</xdr:rowOff>
    </xdr:to>
    <xdr:pic>
      <xdr:nvPicPr>
        <xdr:cNvPr id="275240" name="800 Imagen" descr="laser fibra icono.png">
          <a:extLst>
            <a:ext uri="{FF2B5EF4-FFF2-40B4-BE49-F238E27FC236}">
              <a16:creationId xmlns:a16="http://schemas.microsoft.com/office/drawing/2014/main" id="{0C26C14E-6138-4998-9C48-BA277F11FB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0737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161</xdr:row>
      <xdr:rowOff>19050</xdr:rowOff>
    </xdr:from>
    <xdr:to>
      <xdr:col>24</xdr:col>
      <xdr:colOff>47625</xdr:colOff>
      <xdr:row>161</xdr:row>
      <xdr:rowOff>142875</xdr:rowOff>
    </xdr:to>
    <xdr:pic>
      <xdr:nvPicPr>
        <xdr:cNvPr id="275247" name="807 Imagen" descr="laser fibra icono.png">
          <a:extLst>
            <a:ext uri="{FF2B5EF4-FFF2-40B4-BE49-F238E27FC236}">
              <a16:creationId xmlns:a16="http://schemas.microsoft.com/office/drawing/2014/main" id="{F302071C-F7CB-4969-BF84-3CE568E664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9822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148</xdr:row>
      <xdr:rowOff>19050</xdr:rowOff>
    </xdr:from>
    <xdr:to>
      <xdr:col>24</xdr:col>
      <xdr:colOff>47625</xdr:colOff>
      <xdr:row>148</xdr:row>
      <xdr:rowOff>142875</xdr:rowOff>
    </xdr:to>
    <xdr:pic>
      <xdr:nvPicPr>
        <xdr:cNvPr id="275248" name="811 Imagen" descr="laser color icono.png">
          <a:extLst>
            <a:ext uri="{FF2B5EF4-FFF2-40B4-BE49-F238E27FC236}">
              <a16:creationId xmlns:a16="http://schemas.microsoft.com/office/drawing/2014/main" id="{91DF9F17-F6A9-4DA7-B40B-3F128F1A07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8755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148</xdr:row>
      <xdr:rowOff>19050</xdr:rowOff>
    </xdr:from>
    <xdr:to>
      <xdr:col>26</xdr:col>
      <xdr:colOff>9524</xdr:colOff>
      <xdr:row>148</xdr:row>
      <xdr:rowOff>142875</xdr:rowOff>
    </xdr:to>
    <xdr:pic>
      <xdr:nvPicPr>
        <xdr:cNvPr id="275249" name="812 Imagen" descr="offset icono.png">
          <a:extLst>
            <a:ext uri="{FF2B5EF4-FFF2-40B4-BE49-F238E27FC236}">
              <a16:creationId xmlns:a16="http://schemas.microsoft.com/office/drawing/2014/main" id="{3950E88B-1F91-4A7D-AE59-F5FB81ED31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87559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149</xdr:row>
      <xdr:rowOff>19050</xdr:rowOff>
    </xdr:from>
    <xdr:to>
      <xdr:col>24</xdr:col>
      <xdr:colOff>47625</xdr:colOff>
      <xdr:row>149</xdr:row>
      <xdr:rowOff>142875</xdr:rowOff>
    </xdr:to>
    <xdr:pic>
      <xdr:nvPicPr>
        <xdr:cNvPr id="275250" name="813 Imagen" descr="laser color icono.png">
          <a:extLst>
            <a:ext uri="{FF2B5EF4-FFF2-40B4-BE49-F238E27FC236}">
              <a16:creationId xmlns:a16="http://schemas.microsoft.com/office/drawing/2014/main" id="{DD597B2D-222E-4DB3-9D0D-5208109BAD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8908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149</xdr:row>
      <xdr:rowOff>19050</xdr:rowOff>
    </xdr:from>
    <xdr:to>
      <xdr:col>26</xdr:col>
      <xdr:colOff>9524</xdr:colOff>
      <xdr:row>149</xdr:row>
      <xdr:rowOff>142875</xdr:rowOff>
    </xdr:to>
    <xdr:pic>
      <xdr:nvPicPr>
        <xdr:cNvPr id="275251" name="814 Imagen" descr="offset icono.png">
          <a:extLst>
            <a:ext uri="{FF2B5EF4-FFF2-40B4-BE49-F238E27FC236}">
              <a16:creationId xmlns:a16="http://schemas.microsoft.com/office/drawing/2014/main" id="{B262CDDA-ADBB-446F-A210-F842E748A7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89083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150</xdr:row>
      <xdr:rowOff>19050</xdr:rowOff>
    </xdr:from>
    <xdr:to>
      <xdr:col>24</xdr:col>
      <xdr:colOff>47625</xdr:colOff>
      <xdr:row>150</xdr:row>
      <xdr:rowOff>142875</xdr:rowOff>
    </xdr:to>
    <xdr:pic>
      <xdr:nvPicPr>
        <xdr:cNvPr id="275252" name="815 Imagen" descr="laser color icono.png">
          <a:extLst>
            <a:ext uri="{FF2B5EF4-FFF2-40B4-BE49-F238E27FC236}">
              <a16:creationId xmlns:a16="http://schemas.microsoft.com/office/drawing/2014/main" id="{2070BF63-C3DC-44E6-B4C8-5CEDFD87B0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9060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150</xdr:row>
      <xdr:rowOff>19050</xdr:rowOff>
    </xdr:from>
    <xdr:to>
      <xdr:col>26</xdr:col>
      <xdr:colOff>9524</xdr:colOff>
      <xdr:row>150</xdr:row>
      <xdr:rowOff>142875</xdr:rowOff>
    </xdr:to>
    <xdr:pic>
      <xdr:nvPicPr>
        <xdr:cNvPr id="275253" name="816 Imagen" descr="offset icono.png">
          <a:extLst>
            <a:ext uri="{FF2B5EF4-FFF2-40B4-BE49-F238E27FC236}">
              <a16:creationId xmlns:a16="http://schemas.microsoft.com/office/drawing/2014/main" id="{6EA362F0-8D64-435C-86AC-A60D37D114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90607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151</xdr:row>
      <xdr:rowOff>19050</xdr:rowOff>
    </xdr:from>
    <xdr:to>
      <xdr:col>24</xdr:col>
      <xdr:colOff>47625</xdr:colOff>
      <xdr:row>151</xdr:row>
      <xdr:rowOff>142875</xdr:rowOff>
    </xdr:to>
    <xdr:pic>
      <xdr:nvPicPr>
        <xdr:cNvPr id="275254" name="817 Imagen" descr="laser color icono.png">
          <a:extLst>
            <a:ext uri="{FF2B5EF4-FFF2-40B4-BE49-F238E27FC236}">
              <a16:creationId xmlns:a16="http://schemas.microsoft.com/office/drawing/2014/main" id="{D260EAF6-4625-484A-8F69-662E95355A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9213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151</xdr:row>
      <xdr:rowOff>19050</xdr:rowOff>
    </xdr:from>
    <xdr:to>
      <xdr:col>26</xdr:col>
      <xdr:colOff>9524</xdr:colOff>
      <xdr:row>151</xdr:row>
      <xdr:rowOff>142875</xdr:rowOff>
    </xdr:to>
    <xdr:pic>
      <xdr:nvPicPr>
        <xdr:cNvPr id="275255" name="818 Imagen" descr="offset icono.png">
          <a:extLst>
            <a:ext uri="{FF2B5EF4-FFF2-40B4-BE49-F238E27FC236}">
              <a16:creationId xmlns:a16="http://schemas.microsoft.com/office/drawing/2014/main" id="{56F2BB5F-B75D-44E7-92A0-1A155E109C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92131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152</xdr:row>
      <xdr:rowOff>19050</xdr:rowOff>
    </xdr:from>
    <xdr:to>
      <xdr:col>24</xdr:col>
      <xdr:colOff>47625</xdr:colOff>
      <xdr:row>152</xdr:row>
      <xdr:rowOff>142875</xdr:rowOff>
    </xdr:to>
    <xdr:pic>
      <xdr:nvPicPr>
        <xdr:cNvPr id="275256" name="819 Imagen" descr="laser color icono.png">
          <a:extLst>
            <a:ext uri="{FF2B5EF4-FFF2-40B4-BE49-F238E27FC236}">
              <a16:creationId xmlns:a16="http://schemas.microsoft.com/office/drawing/2014/main" id="{2E9A30EA-C9EE-410B-8DA9-5E372F33C6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9365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152</xdr:row>
      <xdr:rowOff>19050</xdr:rowOff>
    </xdr:from>
    <xdr:to>
      <xdr:col>26</xdr:col>
      <xdr:colOff>9524</xdr:colOff>
      <xdr:row>152</xdr:row>
      <xdr:rowOff>142875</xdr:rowOff>
    </xdr:to>
    <xdr:pic>
      <xdr:nvPicPr>
        <xdr:cNvPr id="275257" name="820 Imagen" descr="offset icono.png">
          <a:extLst>
            <a:ext uri="{FF2B5EF4-FFF2-40B4-BE49-F238E27FC236}">
              <a16:creationId xmlns:a16="http://schemas.microsoft.com/office/drawing/2014/main" id="{1AEFE974-9524-487F-943D-FFCE66F080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93655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149</xdr:row>
      <xdr:rowOff>19050</xdr:rowOff>
    </xdr:from>
    <xdr:to>
      <xdr:col>9</xdr:col>
      <xdr:colOff>9526</xdr:colOff>
      <xdr:row>149</xdr:row>
      <xdr:rowOff>142875</xdr:rowOff>
    </xdr:to>
    <xdr:pic>
      <xdr:nvPicPr>
        <xdr:cNvPr id="275262" name="825 Imagen" descr="CONSULTAR ICONO.png">
          <a:extLst>
            <a:ext uri="{FF2B5EF4-FFF2-40B4-BE49-F238E27FC236}">
              <a16:creationId xmlns:a16="http://schemas.microsoft.com/office/drawing/2014/main" id="{5543434B-8549-4E44-8AAB-AB2922A57B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23364825"/>
          <a:ext cx="809626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150</xdr:row>
      <xdr:rowOff>19050</xdr:rowOff>
    </xdr:from>
    <xdr:to>
      <xdr:col>9</xdr:col>
      <xdr:colOff>9526</xdr:colOff>
      <xdr:row>150</xdr:row>
      <xdr:rowOff>142875</xdr:rowOff>
    </xdr:to>
    <xdr:pic>
      <xdr:nvPicPr>
        <xdr:cNvPr id="275263" name="826 Imagen" descr="CONSULTAR ICONO.png">
          <a:extLst>
            <a:ext uri="{FF2B5EF4-FFF2-40B4-BE49-F238E27FC236}">
              <a16:creationId xmlns:a16="http://schemas.microsoft.com/office/drawing/2014/main" id="{83397A88-4E11-47C6-AFA3-D57797A019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23517225"/>
          <a:ext cx="809626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152</xdr:row>
      <xdr:rowOff>19050</xdr:rowOff>
    </xdr:from>
    <xdr:to>
      <xdr:col>9</xdr:col>
      <xdr:colOff>9526</xdr:colOff>
      <xdr:row>152</xdr:row>
      <xdr:rowOff>142875</xdr:rowOff>
    </xdr:to>
    <xdr:pic>
      <xdr:nvPicPr>
        <xdr:cNvPr id="275265" name="828 Imagen" descr="CONSULTAR ICONO.png">
          <a:extLst>
            <a:ext uri="{FF2B5EF4-FFF2-40B4-BE49-F238E27FC236}">
              <a16:creationId xmlns:a16="http://schemas.microsoft.com/office/drawing/2014/main" id="{7B8ECFAF-C2C7-436B-9BCE-51E420A1AD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23822025"/>
          <a:ext cx="809626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145</xdr:row>
      <xdr:rowOff>19050</xdr:rowOff>
    </xdr:from>
    <xdr:to>
      <xdr:col>24</xdr:col>
      <xdr:colOff>47625</xdr:colOff>
      <xdr:row>145</xdr:row>
      <xdr:rowOff>142875</xdr:rowOff>
    </xdr:to>
    <xdr:pic>
      <xdr:nvPicPr>
        <xdr:cNvPr id="275268" name="835 Imagen" descr="laser fibra icono.png">
          <a:extLst>
            <a:ext uri="{FF2B5EF4-FFF2-40B4-BE49-F238E27FC236}">
              <a16:creationId xmlns:a16="http://schemas.microsoft.com/office/drawing/2014/main" id="{D2AD4819-374C-4587-8991-34EFDF126D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7689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131</xdr:row>
      <xdr:rowOff>19050</xdr:rowOff>
    </xdr:from>
    <xdr:to>
      <xdr:col>24</xdr:col>
      <xdr:colOff>47625</xdr:colOff>
      <xdr:row>131</xdr:row>
      <xdr:rowOff>142875</xdr:rowOff>
    </xdr:to>
    <xdr:pic>
      <xdr:nvPicPr>
        <xdr:cNvPr id="275270" name="837 Imagen" descr="laser icono.png">
          <a:extLst>
            <a:ext uri="{FF2B5EF4-FFF2-40B4-BE49-F238E27FC236}">
              <a16:creationId xmlns:a16="http://schemas.microsoft.com/office/drawing/2014/main" id="{43C5F0CA-8A65-4418-BFC5-4107FA5EC3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5707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132</xdr:row>
      <xdr:rowOff>19050</xdr:rowOff>
    </xdr:from>
    <xdr:to>
      <xdr:col>24</xdr:col>
      <xdr:colOff>47625</xdr:colOff>
      <xdr:row>132</xdr:row>
      <xdr:rowOff>142875</xdr:rowOff>
    </xdr:to>
    <xdr:pic>
      <xdr:nvPicPr>
        <xdr:cNvPr id="275271" name="838 Imagen" descr="laser icono.png">
          <a:extLst>
            <a:ext uri="{FF2B5EF4-FFF2-40B4-BE49-F238E27FC236}">
              <a16:creationId xmlns:a16="http://schemas.microsoft.com/office/drawing/2014/main" id="{BF381C3A-6AE4-441C-A5F7-F958C60A53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5860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133</xdr:row>
      <xdr:rowOff>19050</xdr:rowOff>
    </xdr:from>
    <xdr:to>
      <xdr:col>24</xdr:col>
      <xdr:colOff>47625</xdr:colOff>
      <xdr:row>133</xdr:row>
      <xdr:rowOff>142875</xdr:rowOff>
    </xdr:to>
    <xdr:pic>
      <xdr:nvPicPr>
        <xdr:cNvPr id="275272" name="839 Imagen" descr="laser icono.png">
          <a:extLst>
            <a:ext uri="{FF2B5EF4-FFF2-40B4-BE49-F238E27FC236}">
              <a16:creationId xmlns:a16="http://schemas.microsoft.com/office/drawing/2014/main" id="{7244F48E-CCF5-45A7-8874-FEDE5C008A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6012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135</xdr:row>
      <xdr:rowOff>19050</xdr:rowOff>
    </xdr:from>
    <xdr:to>
      <xdr:col>24</xdr:col>
      <xdr:colOff>47625</xdr:colOff>
      <xdr:row>135</xdr:row>
      <xdr:rowOff>142875</xdr:rowOff>
    </xdr:to>
    <xdr:pic>
      <xdr:nvPicPr>
        <xdr:cNvPr id="275274" name="841 Imagen" descr="dome icono.png">
          <a:extLst>
            <a:ext uri="{FF2B5EF4-FFF2-40B4-BE49-F238E27FC236}">
              <a16:creationId xmlns:a16="http://schemas.microsoft.com/office/drawing/2014/main" id="{8B4A8EF8-E404-4AD5-8580-12C8E12F4F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6317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136</xdr:row>
      <xdr:rowOff>19050</xdr:rowOff>
    </xdr:from>
    <xdr:to>
      <xdr:col>24</xdr:col>
      <xdr:colOff>47625</xdr:colOff>
      <xdr:row>136</xdr:row>
      <xdr:rowOff>142875</xdr:rowOff>
    </xdr:to>
    <xdr:pic>
      <xdr:nvPicPr>
        <xdr:cNvPr id="275275" name="842 Imagen" descr="dome icono.png">
          <a:extLst>
            <a:ext uri="{FF2B5EF4-FFF2-40B4-BE49-F238E27FC236}">
              <a16:creationId xmlns:a16="http://schemas.microsoft.com/office/drawing/2014/main" id="{8E5DE0E7-FAC3-428E-A7AB-26AC353ED3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6469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137</xdr:row>
      <xdr:rowOff>19050</xdr:rowOff>
    </xdr:from>
    <xdr:to>
      <xdr:col>24</xdr:col>
      <xdr:colOff>47625</xdr:colOff>
      <xdr:row>137</xdr:row>
      <xdr:rowOff>142875</xdr:rowOff>
    </xdr:to>
    <xdr:pic>
      <xdr:nvPicPr>
        <xdr:cNvPr id="275276" name="844 Imagen" descr="SIN DOBLAR ICONO.png">
          <a:extLst>
            <a:ext uri="{FF2B5EF4-FFF2-40B4-BE49-F238E27FC236}">
              <a16:creationId xmlns:a16="http://schemas.microsoft.com/office/drawing/2014/main" id="{1FCA35C1-8F6B-4F0F-B530-C54D952386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6622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137</xdr:row>
      <xdr:rowOff>19050</xdr:rowOff>
    </xdr:from>
    <xdr:to>
      <xdr:col>26</xdr:col>
      <xdr:colOff>9524</xdr:colOff>
      <xdr:row>137</xdr:row>
      <xdr:rowOff>142875</xdr:rowOff>
    </xdr:to>
    <xdr:pic>
      <xdr:nvPicPr>
        <xdr:cNvPr id="275277" name="845 Imagen" descr="SIN CALENDARIO ICONO.png">
          <a:extLst>
            <a:ext uri="{FF2B5EF4-FFF2-40B4-BE49-F238E27FC236}">
              <a16:creationId xmlns:a16="http://schemas.microsoft.com/office/drawing/2014/main" id="{29144789-A92E-464E-963D-1C73AE0515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66223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9525</xdr:colOff>
      <xdr:row>137</xdr:row>
      <xdr:rowOff>19050</xdr:rowOff>
    </xdr:from>
    <xdr:to>
      <xdr:col>26</xdr:col>
      <xdr:colOff>447675</xdr:colOff>
      <xdr:row>137</xdr:row>
      <xdr:rowOff>142875</xdr:rowOff>
    </xdr:to>
    <xdr:pic>
      <xdr:nvPicPr>
        <xdr:cNvPr id="275278" name="846 Imagen" descr="sin logo icono.png">
          <a:extLst>
            <a:ext uri="{FF2B5EF4-FFF2-40B4-BE49-F238E27FC236}">
              <a16:creationId xmlns:a16="http://schemas.microsoft.com/office/drawing/2014/main" id="{DB82FAD3-16B9-483A-A54A-62F9447B2A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72550" y="2662237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138</xdr:row>
      <xdr:rowOff>19050</xdr:rowOff>
    </xdr:from>
    <xdr:to>
      <xdr:col>24</xdr:col>
      <xdr:colOff>47625</xdr:colOff>
      <xdr:row>138</xdr:row>
      <xdr:rowOff>142875</xdr:rowOff>
    </xdr:to>
    <xdr:pic>
      <xdr:nvPicPr>
        <xdr:cNvPr id="275279" name="847 Imagen" descr="SIN DOBLAR ICONO.png">
          <a:extLst>
            <a:ext uri="{FF2B5EF4-FFF2-40B4-BE49-F238E27FC236}">
              <a16:creationId xmlns:a16="http://schemas.microsoft.com/office/drawing/2014/main" id="{9D944AEC-677A-44BF-B312-4512BA838F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6774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9525</xdr:colOff>
      <xdr:row>138</xdr:row>
      <xdr:rowOff>19050</xdr:rowOff>
    </xdr:from>
    <xdr:to>
      <xdr:col>26</xdr:col>
      <xdr:colOff>447675</xdr:colOff>
      <xdr:row>138</xdr:row>
      <xdr:rowOff>142875</xdr:rowOff>
    </xdr:to>
    <xdr:pic>
      <xdr:nvPicPr>
        <xdr:cNvPr id="275280" name="848 Imagen" descr="sin logo icono.png">
          <a:extLst>
            <a:ext uri="{FF2B5EF4-FFF2-40B4-BE49-F238E27FC236}">
              <a16:creationId xmlns:a16="http://schemas.microsoft.com/office/drawing/2014/main" id="{E14DA748-939A-49E5-B86D-BCD10CDD21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72550" y="2677477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138</xdr:row>
      <xdr:rowOff>19050</xdr:rowOff>
    </xdr:from>
    <xdr:to>
      <xdr:col>26</xdr:col>
      <xdr:colOff>9524</xdr:colOff>
      <xdr:row>138</xdr:row>
      <xdr:rowOff>142875</xdr:rowOff>
    </xdr:to>
    <xdr:pic>
      <xdr:nvPicPr>
        <xdr:cNvPr id="275281" name="849 Imagen" descr="CON CALENDARIO ICONO.png">
          <a:extLst>
            <a:ext uri="{FF2B5EF4-FFF2-40B4-BE49-F238E27FC236}">
              <a16:creationId xmlns:a16="http://schemas.microsoft.com/office/drawing/2014/main" id="{EBE06ED2-05DD-44AC-A6E7-15E13352FA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67747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139</xdr:row>
      <xdr:rowOff>19050</xdr:rowOff>
    </xdr:from>
    <xdr:to>
      <xdr:col>24</xdr:col>
      <xdr:colOff>47625</xdr:colOff>
      <xdr:row>139</xdr:row>
      <xdr:rowOff>142875</xdr:rowOff>
    </xdr:to>
    <xdr:pic>
      <xdr:nvPicPr>
        <xdr:cNvPr id="275282" name="850 Imagen" descr="DOBLADA ICONO.png">
          <a:extLst>
            <a:ext uri="{FF2B5EF4-FFF2-40B4-BE49-F238E27FC236}">
              <a16:creationId xmlns:a16="http://schemas.microsoft.com/office/drawing/2014/main" id="{34571477-C502-4C78-9347-432F3991B6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6927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139</xdr:row>
      <xdr:rowOff>19050</xdr:rowOff>
    </xdr:from>
    <xdr:to>
      <xdr:col>26</xdr:col>
      <xdr:colOff>9524</xdr:colOff>
      <xdr:row>139</xdr:row>
      <xdr:rowOff>142875</xdr:rowOff>
    </xdr:to>
    <xdr:pic>
      <xdr:nvPicPr>
        <xdr:cNvPr id="275283" name="851 Imagen" descr="CON CALENDARIO ICONO.png">
          <a:extLst>
            <a:ext uri="{FF2B5EF4-FFF2-40B4-BE49-F238E27FC236}">
              <a16:creationId xmlns:a16="http://schemas.microsoft.com/office/drawing/2014/main" id="{1BF018DF-71FA-4B29-B068-AB51F56F0B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69271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9525</xdr:colOff>
      <xdr:row>139</xdr:row>
      <xdr:rowOff>19050</xdr:rowOff>
    </xdr:from>
    <xdr:to>
      <xdr:col>26</xdr:col>
      <xdr:colOff>447675</xdr:colOff>
      <xdr:row>139</xdr:row>
      <xdr:rowOff>142875</xdr:rowOff>
    </xdr:to>
    <xdr:pic>
      <xdr:nvPicPr>
        <xdr:cNvPr id="275284" name="852 Imagen" descr="CON LOGO ICONO.png">
          <a:extLst>
            <a:ext uri="{FF2B5EF4-FFF2-40B4-BE49-F238E27FC236}">
              <a16:creationId xmlns:a16="http://schemas.microsoft.com/office/drawing/2014/main" id="{98F0AFA9-2A39-401E-B7AE-D8D2E2A570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72550" y="2692717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142</xdr:row>
      <xdr:rowOff>19050</xdr:rowOff>
    </xdr:from>
    <xdr:to>
      <xdr:col>24</xdr:col>
      <xdr:colOff>47625</xdr:colOff>
      <xdr:row>142</xdr:row>
      <xdr:rowOff>142875</xdr:rowOff>
    </xdr:to>
    <xdr:pic>
      <xdr:nvPicPr>
        <xdr:cNvPr id="275285" name="853 Imagen" descr="SIN DOBLAR ICONO.png">
          <a:extLst>
            <a:ext uri="{FF2B5EF4-FFF2-40B4-BE49-F238E27FC236}">
              <a16:creationId xmlns:a16="http://schemas.microsoft.com/office/drawing/2014/main" id="{DA90AB68-45D6-470D-8354-B415E2E57F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7231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9525</xdr:colOff>
      <xdr:row>142</xdr:row>
      <xdr:rowOff>19050</xdr:rowOff>
    </xdr:from>
    <xdr:to>
      <xdr:col>26</xdr:col>
      <xdr:colOff>447675</xdr:colOff>
      <xdr:row>142</xdr:row>
      <xdr:rowOff>142875</xdr:rowOff>
    </xdr:to>
    <xdr:pic>
      <xdr:nvPicPr>
        <xdr:cNvPr id="275286" name="855 Imagen" descr="sin logo icono.png">
          <a:extLst>
            <a:ext uri="{FF2B5EF4-FFF2-40B4-BE49-F238E27FC236}">
              <a16:creationId xmlns:a16="http://schemas.microsoft.com/office/drawing/2014/main" id="{D4B0C480-D36F-44F1-A9B2-092835BDE8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72550" y="2723197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141</xdr:row>
      <xdr:rowOff>19050</xdr:rowOff>
    </xdr:from>
    <xdr:to>
      <xdr:col>24</xdr:col>
      <xdr:colOff>47625</xdr:colOff>
      <xdr:row>141</xdr:row>
      <xdr:rowOff>142875</xdr:rowOff>
    </xdr:to>
    <xdr:pic>
      <xdr:nvPicPr>
        <xdr:cNvPr id="275287" name="856 Imagen" descr="SIN DOBLAR ICONO.png">
          <a:extLst>
            <a:ext uri="{FF2B5EF4-FFF2-40B4-BE49-F238E27FC236}">
              <a16:creationId xmlns:a16="http://schemas.microsoft.com/office/drawing/2014/main" id="{A65DC5C5-C75C-4EE3-9146-9D7388D427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7079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141</xdr:row>
      <xdr:rowOff>19050</xdr:rowOff>
    </xdr:from>
    <xdr:to>
      <xdr:col>26</xdr:col>
      <xdr:colOff>9524</xdr:colOff>
      <xdr:row>141</xdr:row>
      <xdr:rowOff>142875</xdr:rowOff>
    </xdr:to>
    <xdr:pic>
      <xdr:nvPicPr>
        <xdr:cNvPr id="275288" name="857 Imagen" descr="SIN CALENDARIO ICONO.png">
          <a:extLst>
            <a:ext uri="{FF2B5EF4-FFF2-40B4-BE49-F238E27FC236}">
              <a16:creationId xmlns:a16="http://schemas.microsoft.com/office/drawing/2014/main" id="{8637FDB9-4B16-49B6-B490-3A46AFB21F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70795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9525</xdr:colOff>
      <xdr:row>141</xdr:row>
      <xdr:rowOff>19050</xdr:rowOff>
    </xdr:from>
    <xdr:to>
      <xdr:col>26</xdr:col>
      <xdr:colOff>447675</xdr:colOff>
      <xdr:row>141</xdr:row>
      <xdr:rowOff>142875</xdr:rowOff>
    </xdr:to>
    <xdr:pic>
      <xdr:nvPicPr>
        <xdr:cNvPr id="275289" name="858 Imagen" descr="sin logo icono.png">
          <a:extLst>
            <a:ext uri="{FF2B5EF4-FFF2-40B4-BE49-F238E27FC236}">
              <a16:creationId xmlns:a16="http://schemas.microsoft.com/office/drawing/2014/main" id="{E7176C45-EE5A-43C1-8680-CDB78CAE26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72550" y="2707957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142</xdr:row>
      <xdr:rowOff>19050</xdr:rowOff>
    </xdr:from>
    <xdr:to>
      <xdr:col>26</xdr:col>
      <xdr:colOff>9524</xdr:colOff>
      <xdr:row>142</xdr:row>
      <xdr:rowOff>142875</xdr:rowOff>
    </xdr:to>
    <xdr:pic>
      <xdr:nvPicPr>
        <xdr:cNvPr id="275290" name="860 Imagen" descr="CON CALENDARIO ICONO.png">
          <a:extLst>
            <a:ext uri="{FF2B5EF4-FFF2-40B4-BE49-F238E27FC236}">
              <a16:creationId xmlns:a16="http://schemas.microsoft.com/office/drawing/2014/main" id="{F25B512E-B419-48F9-8CA1-2B1B824D0C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72319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143</xdr:row>
      <xdr:rowOff>19050</xdr:rowOff>
    </xdr:from>
    <xdr:to>
      <xdr:col>24</xdr:col>
      <xdr:colOff>47625</xdr:colOff>
      <xdr:row>143</xdr:row>
      <xdr:rowOff>142875</xdr:rowOff>
    </xdr:to>
    <xdr:pic>
      <xdr:nvPicPr>
        <xdr:cNvPr id="275291" name="861 Imagen" descr="DOBLADA ICONO.png">
          <a:extLst>
            <a:ext uri="{FF2B5EF4-FFF2-40B4-BE49-F238E27FC236}">
              <a16:creationId xmlns:a16="http://schemas.microsoft.com/office/drawing/2014/main" id="{EC9004EB-5C04-4529-AD71-83142F78F3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7384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143</xdr:row>
      <xdr:rowOff>19050</xdr:rowOff>
    </xdr:from>
    <xdr:to>
      <xdr:col>26</xdr:col>
      <xdr:colOff>9524</xdr:colOff>
      <xdr:row>143</xdr:row>
      <xdr:rowOff>142875</xdr:rowOff>
    </xdr:to>
    <xdr:pic>
      <xdr:nvPicPr>
        <xdr:cNvPr id="275292" name="862 Imagen" descr="CON CALENDARIO ICONO.png">
          <a:extLst>
            <a:ext uri="{FF2B5EF4-FFF2-40B4-BE49-F238E27FC236}">
              <a16:creationId xmlns:a16="http://schemas.microsoft.com/office/drawing/2014/main" id="{971C153B-422B-453D-A1B1-D449386C58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73843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9525</xdr:colOff>
      <xdr:row>143</xdr:row>
      <xdr:rowOff>19050</xdr:rowOff>
    </xdr:from>
    <xdr:to>
      <xdr:col>26</xdr:col>
      <xdr:colOff>447675</xdr:colOff>
      <xdr:row>143</xdr:row>
      <xdr:rowOff>142875</xdr:rowOff>
    </xdr:to>
    <xdr:pic>
      <xdr:nvPicPr>
        <xdr:cNvPr id="275293" name="863 Imagen" descr="CON LOGO ICONO.png">
          <a:extLst>
            <a:ext uri="{FF2B5EF4-FFF2-40B4-BE49-F238E27FC236}">
              <a16:creationId xmlns:a16="http://schemas.microsoft.com/office/drawing/2014/main" id="{08C26FE2-DEDF-40BE-8371-62A3BF959F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72550" y="2738437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130</xdr:row>
      <xdr:rowOff>19050</xdr:rowOff>
    </xdr:from>
    <xdr:to>
      <xdr:col>24</xdr:col>
      <xdr:colOff>47625</xdr:colOff>
      <xdr:row>130</xdr:row>
      <xdr:rowOff>142875</xdr:rowOff>
    </xdr:to>
    <xdr:pic>
      <xdr:nvPicPr>
        <xdr:cNvPr id="275297" name="868 Imagen" descr="laser icono.png">
          <a:extLst>
            <a:ext uri="{FF2B5EF4-FFF2-40B4-BE49-F238E27FC236}">
              <a16:creationId xmlns:a16="http://schemas.microsoft.com/office/drawing/2014/main" id="{759FA6C0-BDF3-466E-9797-169BC3F5A5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5403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117</xdr:row>
      <xdr:rowOff>19050</xdr:rowOff>
    </xdr:from>
    <xdr:to>
      <xdr:col>24</xdr:col>
      <xdr:colOff>47625</xdr:colOff>
      <xdr:row>117</xdr:row>
      <xdr:rowOff>142875</xdr:rowOff>
    </xdr:to>
    <xdr:pic>
      <xdr:nvPicPr>
        <xdr:cNvPr id="275299" name="870 Imagen" descr="sublimacion icono.png">
          <a:extLst>
            <a:ext uri="{FF2B5EF4-FFF2-40B4-BE49-F238E27FC236}">
              <a16:creationId xmlns:a16="http://schemas.microsoft.com/office/drawing/2014/main" id="{183A7BD5-5CF2-4B38-A387-78A16A726C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3060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118</xdr:row>
      <xdr:rowOff>19050</xdr:rowOff>
    </xdr:from>
    <xdr:to>
      <xdr:col>24</xdr:col>
      <xdr:colOff>47625</xdr:colOff>
      <xdr:row>118</xdr:row>
      <xdr:rowOff>142875</xdr:rowOff>
    </xdr:to>
    <xdr:pic>
      <xdr:nvPicPr>
        <xdr:cNvPr id="275300" name="871 Imagen" descr="sublimacion icono.png">
          <a:extLst>
            <a:ext uri="{FF2B5EF4-FFF2-40B4-BE49-F238E27FC236}">
              <a16:creationId xmlns:a16="http://schemas.microsoft.com/office/drawing/2014/main" id="{E1CDFEDE-B413-4350-8ADB-8032CBDE15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3212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119</xdr:row>
      <xdr:rowOff>19050</xdr:rowOff>
    </xdr:from>
    <xdr:to>
      <xdr:col>24</xdr:col>
      <xdr:colOff>47625</xdr:colOff>
      <xdr:row>119</xdr:row>
      <xdr:rowOff>142875</xdr:rowOff>
    </xdr:to>
    <xdr:pic>
      <xdr:nvPicPr>
        <xdr:cNvPr id="275301" name="872 Imagen" descr="sublimacion icono.png">
          <a:extLst>
            <a:ext uri="{FF2B5EF4-FFF2-40B4-BE49-F238E27FC236}">
              <a16:creationId xmlns:a16="http://schemas.microsoft.com/office/drawing/2014/main" id="{1700A12B-4AB9-4FBB-B4E2-9EB014A27A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3364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108</xdr:row>
      <xdr:rowOff>19050</xdr:rowOff>
    </xdr:from>
    <xdr:to>
      <xdr:col>24</xdr:col>
      <xdr:colOff>47625</xdr:colOff>
      <xdr:row>108</xdr:row>
      <xdr:rowOff>142875</xdr:rowOff>
    </xdr:to>
    <xdr:pic>
      <xdr:nvPicPr>
        <xdr:cNvPr id="275306" name="891 Imagen" descr="INK ICONO.png">
          <a:extLst>
            <a:ext uri="{FF2B5EF4-FFF2-40B4-BE49-F238E27FC236}">
              <a16:creationId xmlns:a16="http://schemas.microsoft.com/office/drawing/2014/main" id="{D3D4DEB9-CD1B-40D1-8E59-543F9D1E06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96175" y="20469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109</xdr:row>
      <xdr:rowOff>19050</xdr:rowOff>
    </xdr:from>
    <xdr:to>
      <xdr:col>24</xdr:col>
      <xdr:colOff>47625</xdr:colOff>
      <xdr:row>109</xdr:row>
      <xdr:rowOff>142875</xdr:rowOff>
    </xdr:to>
    <xdr:pic>
      <xdr:nvPicPr>
        <xdr:cNvPr id="275309" name="896 Imagen" descr="INK ICONO.png">
          <a:extLst>
            <a:ext uri="{FF2B5EF4-FFF2-40B4-BE49-F238E27FC236}">
              <a16:creationId xmlns:a16="http://schemas.microsoft.com/office/drawing/2014/main" id="{C1C46ED4-67A1-41BA-8442-C1A2BB02BA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1536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104</xdr:row>
      <xdr:rowOff>19050</xdr:rowOff>
    </xdr:from>
    <xdr:to>
      <xdr:col>24</xdr:col>
      <xdr:colOff>47625</xdr:colOff>
      <xdr:row>104</xdr:row>
      <xdr:rowOff>142875</xdr:rowOff>
    </xdr:to>
    <xdr:pic>
      <xdr:nvPicPr>
        <xdr:cNvPr id="275310" name="897 Imagen" descr="sublimacion icono.png">
          <a:extLst>
            <a:ext uri="{FF2B5EF4-FFF2-40B4-BE49-F238E27FC236}">
              <a16:creationId xmlns:a16="http://schemas.microsoft.com/office/drawing/2014/main" id="{F2BDBCC1-1A6F-4B67-BC2D-C1E9B62357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0469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105</xdr:row>
      <xdr:rowOff>19050</xdr:rowOff>
    </xdr:from>
    <xdr:to>
      <xdr:col>24</xdr:col>
      <xdr:colOff>47625</xdr:colOff>
      <xdr:row>105</xdr:row>
      <xdr:rowOff>142875</xdr:rowOff>
    </xdr:to>
    <xdr:pic>
      <xdr:nvPicPr>
        <xdr:cNvPr id="275311" name="898 Imagen" descr="sublimacion icono.png">
          <a:extLst>
            <a:ext uri="{FF2B5EF4-FFF2-40B4-BE49-F238E27FC236}">
              <a16:creationId xmlns:a16="http://schemas.microsoft.com/office/drawing/2014/main" id="{C9EC3C44-9217-4BF4-897E-BC5E638D77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0621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106</xdr:row>
      <xdr:rowOff>19050</xdr:rowOff>
    </xdr:from>
    <xdr:to>
      <xdr:col>24</xdr:col>
      <xdr:colOff>47625</xdr:colOff>
      <xdr:row>106</xdr:row>
      <xdr:rowOff>142875</xdr:rowOff>
    </xdr:to>
    <xdr:pic>
      <xdr:nvPicPr>
        <xdr:cNvPr id="275312" name="899 Imagen" descr="sublimacion icono.png">
          <a:extLst>
            <a:ext uri="{FF2B5EF4-FFF2-40B4-BE49-F238E27FC236}">
              <a16:creationId xmlns:a16="http://schemas.microsoft.com/office/drawing/2014/main" id="{DF329583-7022-43C4-83E8-BEA0FE104B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0774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104</xdr:row>
      <xdr:rowOff>19050</xdr:rowOff>
    </xdr:from>
    <xdr:to>
      <xdr:col>25</xdr:col>
      <xdr:colOff>380999</xdr:colOff>
      <xdr:row>104</xdr:row>
      <xdr:rowOff>142875</xdr:rowOff>
    </xdr:to>
    <xdr:pic>
      <xdr:nvPicPr>
        <xdr:cNvPr id="275313" name="901 Imagen" descr="FULL PRINT ICONO.png">
          <a:extLst>
            <a:ext uri="{FF2B5EF4-FFF2-40B4-BE49-F238E27FC236}">
              <a16:creationId xmlns:a16="http://schemas.microsoft.com/office/drawing/2014/main" id="{5DA43212-97CB-4A8A-B0CC-EC710367B8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8183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107</xdr:row>
      <xdr:rowOff>19050</xdr:rowOff>
    </xdr:from>
    <xdr:to>
      <xdr:col>24</xdr:col>
      <xdr:colOff>47625</xdr:colOff>
      <xdr:row>107</xdr:row>
      <xdr:rowOff>142875</xdr:rowOff>
    </xdr:to>
    <xdr:pic>
      <xdr:nvPicPr>
        <xdr:cNvPr id="275314" name="902 Imagen" descr="sublimacion icono.png">
          <a:extLst>
            <a:ext uri="{FF2B5EF4-FFF2-40B4-BE49-F238E27FC236}">
              <a16:creationId xmlns:a16="http://schemas.microsoft.com/office/drawing/2014/main" id="{1D758E69-862A-4825-A3FB-6BB15F9729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8640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106</xdr:row>
      <xdr:rowOff>19050</xdr:rowOff>
    </xdr:from>
    <xdr:to>
      <xdr:col>25</xdr:col>
      <xdr:colOff>380999</xdr:colOff>
      <xdr:row>106</xdr:row>
      <xdr:rowOff>142875</xdr:rowOff>
    </xdr:to>
    <xdr:pic>
      <xdr:nvPicPr>
        <xdr:cNvPr id="275315" name="903 Imagen" descr="FULL PRINT ICONO.png">
          <a:extLst>
            <a:ext uri="{FF2B5EF4-FFF2-40B4-BE49-F238E27FC236}">
              <a16:creationId xmlns:a16="http://schemas.microsoft.com/office/drawing/2014/main" id="{98E801DF-0E4E-44F0-8E33-01E1ACC693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8488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112</xdr:row>
      <xdr:rowOff>19050</xdr:rowOff>
    </xdr:from>
    <xdr:to>
      <xdr:col>24</xdr:col>
      <xdr:colOff>47625</xdr:colOff>
      <xdr:row>112</xdr:row>
      <xdr:rowOff>142875</xdr:rowOff>
    </xdr:to>
    <xdr:pic>
      <xdr:nvPicPr>
        <xdr:cNvPr id="275316" name="904 Imagen" descr="sublimacion icono.png">
          <a:extLst>
            <a:ext uri="{FF2B5EF4-FFF2-40B4-BE49-F238E27FC236}">
              <a16:creationId xmlns:a16="http://schemas.microsoft.com/office/drawing/2014/main" id="{8ABBBC65-9BDC-479F-9D6A-9AE342C98C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2145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117</xdr:row>
      <xdr:rowOff>19050</xdr:rowOff>
    </xdr:from>
    <xdr:to>
      <xdr:col>26</xdr:col>
      <xdr:colOff>9524</xdr:colOff>
      <xdr:row>117</xdr:row>
      <xdr:rowOff>142875</xdr:rowOff>
    </xdr:to>
    <xdr:pic>
      <xdr:nvPicPr>
        <xdr:cNvPr id="275317" name="905 Imagen" descr="FULL PRINT ICONO.png">
          <a:extLst>
            <a:ext uri="{FF2B5EF4-FFF2-40B4-BE49-F238E27FC236}">
              <a16:creationId xmlns:a16="http://schemas.microsoft.com/office/drawing/2014/main" id="{DAF65142-F4C5-4C1D-9503-B37BC7F8DF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53400" y="21688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113</xdr:row>
      <xdr:rowOff>19050</xdr:rowOff>
    </xdr:from>
    <xdr:to>
      <xdr:col>24</xdr:col>
      <xdr:colOff>47625</xdr:colOff>
      <xdr:row>113</xdr:row>
      <xdr:rowOff>142875</xdr:rowOff>
    </xdr:to>
    <xdr:pic>
      <xdr:nvPicPr>
        <xdr:cNvPr id="275318" name="906 Imagen" descr="sublimacion icono.png">
          <a:extLst>
            <a:ext uri="{FF2B5EF4-FFF2-40B4-BE49-F238E27FC236}">
              <a16:creationId xmlns:a16="http://schemas.microsoft.com/office/drawing/2014/main" id="{C07C4828-91EA-468D-A735-1DCBD37F61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2298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118</xdr:row>
      <xdr:rowOff>19050</xdr:rowOff>
    </xdr:from>
    <xdr:to>
      <xdr:col>26</xdr:col>
      <xdr:colOff>9524</xdr:colOff>
      <xdr:row>118</xdr:row>
      <xdr:rowOff>142875</xdr:rowOff>
    </xdr:to>
    <xdr:pic>
      <xdr:nvPicPr>
        <xdr:cNvPr id="275319" name="907 Imagen" descr="FULL PRINT ICONO.png">
          <a:extLst>
            <a:ext uri="{FF2B5EF4-FFF2-40B4-BE49-F238E27FC236}">
              <a16:creationId xmlns:a16="http://schemas.microsoft.com/office/drawing/2014/main" id="{29F14C08-E688-4CBF-84B2-6DEED2D7AB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53400" y="21840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114</xdr:row>
      <xdr:rowOff>19050</xdr:rowOff>
    </xdr:from>
    <xdr:to>
      <xdr:col>24</xdr:col>
      <xdr:colOff>47625</xdr:colOff>
      <xdr:row>114</xdr:row>
      <xdr:rowOff>142875</xdr:rowOff>
    </xdr:to>
    <xdr:pic>
      <xdr:nvPicPr>
        <xdr:cNvPr id="275320" name="908 Imagen" descr="sublimacion icono.png">
          <a:extLst>
            <a:ext uri="{FF2B5EF4-FFF2-40B4-BE49-F238E27FC236}">
              <a16:creationId xmlns:a16="http://schemas.microsoft.com/office/drawing/2014/main" id="{581B4560-5234-4583-9549-4B5B1FCDC9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2450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119</xdr:row>
      <xdr:rowOff>19050</xdr:rowOff>
    </xdr:from>
    <xdr:to>
      <xdr:col>26</xdr:col>
      <xdr:colOff>9524</xdr:colOff>
      <xdr:row>119</xdr:row>
      <xdr:rowOff>142875</xdr:rowOff>
    </xdr:to>
    <xdr:pic>
      <xdr:nvPicPr>
        <xdr:cNvPr id="275321" name="909 Imagen" descr="FULL PRINT ICONO.png">
          <a:extLst>
            <a:ext uri="{FF2B5EF4-FFF2-40B4-BE49-F238E27FC236}">
              <a16:creationId xmlns:a16="http://schemas.microsoft.com/office/drawing/2014/main" id="{4FAFE7D2-32CF-451E-95AF-33288D67F6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53400" y="21993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64</xdr:row>
      <xdr:rowOff>19050</xdr:rowOff>
    </xdr:from>
    <xdr:to>
      <xdr:col>24</xdr:col>
      <xdr:colOff>47625</xdr:colOff>
      <xdr:row>64</xdr:row>
      <xdr:rowOff>142875</xdr:rowOff>
    </xdr:to>
    <xdr:pic>
      <xdr:nvPicPr>
        <xdr:cNvPr id="275332" name="920 Imagen" descr="seri icono.png">
          <a:extLst>
            <a:ext uri="{FF2B5EF4-FFF2-40B4-BE49-F238E27FC236}">
              <a16:creationId xmlns:a16="http://schemas.microsoft.com/office/drawing/2014/main" id="{FD0A2DBE-8D36-4866-A973-A1D769357D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3611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63</xdr:row>
      <xdr:rowOff>19050</xdr:rowOff>
    </xdr:from>
    <xdr:to>
      <xdr:col>24</xdr:col>
      <xdr:colOff>47625</xdr:colOff>
      <xdr:row>63</xdr:row>
      <xdr:rowOff>142875</xdr:rowOff>
    </xdr:to>
    <xdr:pic>
      <xdr:nvPicPr>
        <xdr:cNvPr id="275333" name="921 Imagen" descr="seri icono.png">
          <a:extLst>
            <a:ext uri="{FF2B5EF4-FFF2-40B4-BE49-F238E27FC236}">
              <a16:creationId xmlns:a16="http://schemas.microsoft.com/office/drawing/2014/main" id="{0904175C-5173-425F-8C3A-41799355AF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3458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58</xdr:row>
      <xdr:rowOff>19050</xdr:rowOff>
    </xdr:from>
    <xdr:to>
      <xdr:col>24</xdr:col>
      <xdr:colOff>47625</xdr:colOff>
      <xdr:row>58</xdr:row>
      <xdr:rowOff>142875</xdr:rowOff>
    </xdr:to>
    <xdr:pic>
      <xdr:nvPicPr>
        <xdr:cNvPr id="275335" name="923 Imagen" descr="seri icono.png">
          <a:extLst>
            <a:ext uri="{FF2B5EF4-FFF2-40B4-BE49-F238E27FC236}">
              <a16:creationId xmlns:a16="http://schemas.microsoft.com/office/drawing/2014/main" id="{C3A9516D-C078-4003-B87E-2EAA6E62EB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3154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58</xdr:row>
      <xdr:rowOff>19050</xdr:rowOff>
    </xdr:from>
    <xdr:to>
      <xdr:col>24</xdr:col>
      <xdr:colOff>47625</xdr:colOff>
      <xdr:row>58</xdr:row>
      <xdr:rowOff>142875</xdr:rowOff>
    </xdr:to>
    <xdr:pic>
      <xdr:nvPicPr>
        <xdr:cNvPr id="275336" name="924 Imagen" descr="seri icono.png">
          <a:extLst>
            <a:ext uri="{FF2B5EF4-FFF2-40B4-BE49-F238E27FC236}">
              <a16:creationId xmlns:a16="http://schemas.microsoft.com/office/drawing/2014/main" id="{D9C0E8C5-2563-4D54-94CE-0BAFABFDD8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3154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102</xdr:row>
      <xdr:rowOff>19050</xdr:rowOff>
    </xdr:from>
    <xdr:to>
      <xdr:col>24</xdr:col>
      <xdr:colOff>47625</xdr:colOff>
      <xdr:row>102</xdr:row>
      <xdr:rowOff>142875</xdr:rowOff>
    </xdr:to>
    <xdr:pic>
      <xdr:nvPicPr>
        <xdr:cNvPr id="275339" name="927 Imagen" descr="tampo icono.png">
          <a:extLst>
            <a:ext uri="{FF2B5EF4-FFF2-40B4-BE49-F238E27FC236}">
              <a16:creationId xmlns:a16="http://schemas.microsoft.com/office/drawing/2014/main" id="{AE26C6DF-A13B-485F-A560-F88F82C647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0164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101</xdr:row>
      <xdr:rowOff>19050</xdr:rowOff>
    </xdr:from>
    <xdr:to>
      <xdr:col>24</xdr:col>
      <xdr:colOff>47625</xdr:colOff>
      <xdr:row>101</xdr:row>
      <xdr:rowOff>142875</xdr:rowOff>
    </xdr:to>
    <xdr:pic>
      <xdr:nvPicPr>
        <xdr:cNvPr id="275346" name="935 Imagen" descr="tampo icono.png">
          <a:extLst>
            <a:ext uri="{FF2B5EF4-FFF2-40B4-BE49-F238E27FC236}">
              <a16:creationId xmlns:a16="http://schemas.microsoft.com/office/drawing/2014/main" id="{181954A4-0545-4633-8E1E-88423C6048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9250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101</xdr:row>
      <xdr:rowOff>19050</xdr:rowOff>
    </xdr:from>
    <xdr:to>
      <xdr:col>26</xdr:col>
      <xdr:colOff>9524</xdr:colOff>
      <xdr:row>101</xdr:row>
      <xdr:rowOff>142875</xdr:rowOff>
    </xdr:to>
    <xdr:pic>
      <xdr:nvPicPr>
        <xdr:cNvPr id="275348" name="937 Imagen" descr="SIN PILAS ICONO.png">
          <a:extLst>
            <a:ext uri="{FF2B5EF4-FFF2-40B4-BE49-F238E27FC236}">
              <a16:creationId xmlns:a16="http://schemas.microsoft.com/office/drawing/2014/main" id="{79F36769-107B-45C8-9FC3-89BA095DE9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1925002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96</xdr:row>
      <xdr:rowOff>19050</xdr:rowOff>
    </xdr:from>
    <xdr:to>
      <xdr:col>24</xdr:col>
      <xdr:colOff>47625</xdr:colOff>
      <xdr:row>96</xdr:row>
      <xdr:rowOff>142875</xdr:rowOff>
    </xdr:to>
    <xdr:pic>
      <xdr:nvPicPr>
        <xdr:cNvPr id="275355" name="944 Imagen" descr="tampo icono.png">
          <a:extLst>
            <a:ext uri="{FF2B5EF4-FFF2-40B4-BE49-F238E27FC236}">
              <a16:creationId xmlns:a16="http://schemas.microsoft.com/office/drawing/2014/main" id="{567425C7-F779-4534-B6D2-04994C2495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8183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89</xdr:row>
      <xdr:rowOff>19050</xdr:rowOff>
    </xdr:from>
    <xdr:to>
      <xdr:col>24</xdr:col>
      <xdr:colOff>47625</xdr:colOff>
      <xdr:row>89</xdr:row>
      <xdr:rowOff>142875</xdr:rowOff>
    </xdr:to>
    <xdr:pic>
      <xdr:nvPicPr>
        <xdr:cNvPr id="275358" name="947 Imagen" descr="HOT STAMPING ICONO.png">
          <a:extLst>
            <a:ext uri="{FF2B5EF4-FFF2-40B4-BE49-F238E27FC236}">
              <a16:creationId xmlns:a16="http://schemas.microsoft.com/office/drawing/2014/main" id="{004D813F-8651-4CB0-84B7-1393E7663C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7268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88</xdr:row>
      <xdr:rowOff>19050</xdr:rowOff>
    </xdr:from>
    <xdr:to>
      <xdr:col>24</xdr:col>
      <xdr:colOff>47625</xdr:colOff>
      <xdr:row>88</xdr:row>
      <xdr:rowOff>142875</xdr:rowOff>
    </xdr:to>
    <xdr:pic>
      <xdr:nvPicPr>
        <xdr:cNvPr id="275359" name="948 Imagen" descr="HOT STAMPING ICONO.png">
          <a:extLst>
            <a:ext uri="{FF2B5EF4-FFF2-40B4-BE49-F238E27FC236}">
              <a16:creationId xmlns:a16="http://schemas.microsoft.com/office/drawing/2014/main" id="{5E2E46DF-C64E-4ABF-A4FA-321D6FAE49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7116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83</xdr:row>
      <xdr:rowOff>19050</xdr:rowOff>
    </xdr:from>
    <xdr:to>
      <xdr:col>24</xdr:col>
      <xdr:colOff>47625</xdr:colOff>
      <xdr:row>83</xdr:row>
      <xdr:rowOff>142875</xdr:rowOff>
    </xdr:to>
    <xdr:pic>
      <xdr:nvPicPr>
        <xdr:cNvPr id="275361" name="950 Imagen" descr="HOT STAMPING ICONO.png">
          <a:extLst>
            <a:ext uri="{FF2B5EF4-FFF2-40B4-BE49-F238E27FC236}">
              <a16:creationId xmlns:a16="http://schemas.microsoft.com/office/drawing/2014/main" id="{0D79BB4D-55EA-44B3-9B27-F026996B19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6354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84</xdr:row>
      <xdr:rowOff>19050</xdr:rowOff>
    </xdr:from>
    <xdr:to>
      <xdr:col>24</xdr:col>
      <xdr:colOff>47625</xdr:colOff>
      <xdr:row>84</xdr:row>
      <xdr:rowOff>142875</xdr:rowOff>
    </xdr:to>
    <xdr:pic>
      <xdr:nvPicPr>
        <xdr:cNvPr id="275362" name="951 Imagen" descr="HOT STAMPING ICONO.png">
          <a:extLst>
            <a:ext uri="{FF2B5EF4-FFF2-40B4-BE49-F238E27FC236}">
              <a16:creationId xmlns:a16="http://schemas.microsoft.com/office/drawing/2014/main" id="{8C5D2F31-2715-4331-B4AD-B9D9A9CB25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6506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79</xdr:row>
      <xdr:rowOff>19050</xdr:rowOff>
    </xdr:from>
    <xdr:to>
      <xdr:col>24</xdr:col>
      <xdr:colOff>47625</xdr:colOff>
      <xdr:row>79</xdr:row>
      <xdr:rowOff>142875</xdr:rowOff>
    </xdr:to>
    <xdr:pic>
      <xdr:nvPicPr>
        <xdr:cNvPr id="275363" name="952 Imagen" descr="HOT STAMPING ICONO.png">
          <a:extLst>
            <a:ext uri="{FF2B5EF4-FFF2-40B4-BE49-F238E27FC236}">
              <a16:creationId xmlns:a16="http://schemas.microsoft.com/office/drawing/2014/main" id="{237F76AF-55D6-4024-97D1-C5380511A3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5744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80</xdr:row>
      <xdr:rowOff>19050</xdr:rowOff>
    </xdr:from>
    <xdr:to>
      <xdr:col>24</xdr:col>
      <xdr:colOff>47625</xdr:colOff>
      <xdr:row>80</xdr:row>
      <xdr:rowOff>142875</xdr:rowOff>
    </xdr:to>
    <xdr:pic>
      <xdr:nvPicPr>
        <xdr:cNvPr id="275364" name="953 Imagen" descr="HOT STAMPING ICONO.png">
          <a:extLst>
            <a:ext uri="{FF2B5EF4-FFF2-40B4-BE49-F238E27FC236}">
              <a16:creationId xmlns:a16="http://schemas.microsoft.com/office/drawing/2014/main" id="{24D7FB96-6F5B-40C0-8FCF-648055022E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5897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19050</xdr:colOff>
      <xdr:row>85</xdr:row>
      <xdr:rowOff>19050</xdr:rowOff>
    </xdr:from>
    <xdr:to>
      <xdr:col>25</xdr:col>
      <xdr:colOff>314324</xdr:colOff>
      <xdr:row>85</xdr:row>
      <xdr:rowOff>142875</xdr:rowOff>
    </xdr:to>
    <xdr:pic>
      <xdr:nvPicPr>
        <xdr:cNvPr id="275365" name="954 Imagen" descr="costura icono.png">
          <a:extLst>
            <a:ext uri="{FF2B5EF4-FFF2-40B4-BE49-F238E27FC236}">
              <a16:creationId xmlns:a16="http://schemas.microsoft.com/office/drawing/2014/main" id="{F5AB6C2E-F7D2-4E66-B61E-F2377BC240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16659225"/>
          <a:ext cx="1571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19050</xdr:colOff>
      <xdr:row>81</xdr:row>
      <xdr:rowOff>19050</xdr:rowOff>
    </xdr:from>
    <xdr:to>
      <xdr:col>25</xdr:col>
      <xdr:colOff>314324</xdr:colOff>
      <xdr:row>81</xdr:row>
      <xdr:rowOff>142875</xdr:rowOff>
    </xdr:to>
    <xdr:pic>
      <xdr:nvPicPr>
        <xdr:cNvPr id="275366" name="955 Imagen" descr="costura icono.png">
          <a:extLst>
            <a:ext uri="{FF2B5EF4-FFF2-40B4-BE49-F238E27FC236}">
              <a16:creationId xmlns:a16="http://schemas.microsoft.com/office/drawing/2014/main" id="{E378437A-ADE1-4067-A5FC-43CBEC913E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16049625"/>
          <a:ext cx="1571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19050</xdr:colOff>
      <xdr:row>82</xdr:row>
      <xdr:rowOff>19050</xdr:rowOff>
    </xdr:from>
    <xdr:to>
      <xdr:col>25</xdr:col>
      <xdr:colOff>314324</xdr:colOff>
      <xdr:row>82</xdr:row>
      <xdr:rowOff>142875</xdr:rowOff>
    </xdr:to>
    <xdr:pic>
      <xdr:nvPicPr>
        <xdr:cNvPr id="275367" name="956 Imagen" descr="costura icono.png">
          <a:extLst>
            <a:ext uri="{FF2B5EF4-FFF2-40B4-BE49-F238E27FC236}">
              <a16:creationId xmlns:a16="http://schemas.microsoft.com/office/drawing/2014/main" id="{F67E16FB-02D5-40E3-A57B-E83604C097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16202025"/>
          <a:ext cx="1571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19050</xdr:colOff>
      <xdr:row>86</xdr:row>
      <xdr:rowOff>19050</xdr:rowOff>
    </xdr:from>
    <xdr:to>
      <xdr:col>25</xdr:col>
      <xdr:colOff>314324</xdr:colOff>
      <xdr:row>86</xdr:row>
      <xdr:rowOff>142875</xdr:rowOff>
    </xdr:to>
    <xdr:pic>
      <xdr:nvPicPr>
        <xdr:cNvPr id="275368" name="957 Imagen" descr="MATRIZ ICONO.png">
          <a:extLst>
            <a:ext uri="{FF2B5EF4-FFF2-40B4-BE49-F238E27FC236}">
              <a16:creationId xmlns:a16="http://schemas.microsoft.com/office/drawing/2014/main" id="{0D1B5E88-9EC5-4776-9B38-1C5EA66CD9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16811625"/>
          <a:ext cx="1571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485775</xdr:colOff>
      <xdr:row>68</xdr:row>
      <xdr:rowOff>19050</xdr:rowOff>
    </xdr:from>
    <xdr:to>
      <xdr:col>25</xdr:col>
      <xdr:colOff>323849</xdr:colOff>
      <xdr:row>68</xdr:row>
      <xdr:rowOff>142875</xdr:rowOff>
    </xdr:to>
    <xdr:pic>
      <xdr:nvPicPr>
        <xdr:cNvPr id="275375" name="970 Imagen" descr="25x10 icono.png">
          <a:extLst>
            <a:ext uri="{FF2B5EF4-FFF2-40B4-BE49-F238E27FC236}">
              <a16:creationId xmlns:a16="http://schemas.microsoft.com/office/drawing/2014/main" id="{A10F28EB-5922-43E7-81B7-B75EC36806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82025" y="12849225"/>
          <a:ext cx="3333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485775</xdr:colOff>
      <xdr:row>69</xdr:row>
      <xdr:rowOff>19050</xdr:rowOff>
    </xdr:from>
    <xdr:to>
      <xdr:col>25</xdr:col>
      <xdr:colOff>323849</xdr:colOff>
      <xdr:row>69</xdr:row>
      <xdr:rowOff>142875</xdr:rowOff>
    </xdr:to>
    <xdr:pic>
      <xdr:nvPicPr>
        <xdr:cNvPr id="275376" name="973 Imagen" descr="20x15 icono.png">
          <a:extLst>
            <a:ext uri="{FF2B5EF4-FFF2-40B4-BE49-F238E27FC236}">
              <a16:creationId xmlns:a16="http://schemas.microsoft.com/office/drawing/2014/main" id="{C8126CB2-95FF-4EB0-9BF2-CAB2317CCF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82025" y="13001625"/>
          <a:ext cx="3333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609600</xdr:colOff>
      <xdr:row>69</xdr:row>
      <xdr:rowOff>19050</xdr:rowOff>
    </xdr:from>
    <xdr:to>
      <xdr:col>24</xdr:col>
      <xdr:colOff>114300</xdr:colOff>
      <xdr:row>69</xdr:row>
      <xdr:rowOff>142875</xdr:rowOff>
    </xdr:to>
    <xdr:pic>
      <xdr:nvPicPr>
        <xdr:cNvPr id="275378" name="976 Imagen" descr="25 diam icono.png">
          <a:extLst>
            <a:ext uri="{FF2B5EF4-FFF2-40B4-BE49-F238E27FC236}">
              <a16:creationId xmlns:a16="http://schemas.microsoft.com/office/drawing/2014/main" id="{9E131C1A-0EF3-4B29-BC05-EDCA2E39CC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0" y="13001625"/>
          <a:ext cx="2857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209550</xdr:colOff>
      <xdr:row>71</xdr:row>
      <xdr:rowOff>19050</xdr:rowOff>
    </xdr:from>
    <xdr:to>
      <xdr:col>5</xdr:col>
      <xdr:colOff>194</xdr:colOff>
      <xdr:row>71</xdr:row>
      <xdr:rowOff>142875</xdr:rowOff>
    </xdr:to>
    <xdr:pic>
      <xdr:nvPicPr>
        <xdr:cNvPr id="275379" name="978 Imagen" descr="DORADO ICONO.png">
          <a:extLst>
            <a:ext uri="{FF2B5EF4-FFF2-40B4-BE49-F238E27FC236}">
              <a16:creationId xmlns:a16="http://schemas.microsoft.com/office/drawing/2014/main" id="{3DE8A297-5A50-441E-80BA-1BEDF11284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14982825"/>
          <a:ext cx="6191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209550</xdr:colOff>
      <xdr:row>69</xdr:row>
      <xdr:rowOff>19050</xdr:rowOff>
    </xdr:from>
    <xdr:to>
      <xdr:col>5</xdr:col>
      <xdr:colOff>194</xdr:colOff>
      <xdr:row>69</xdr:row>
      <xdr:rowOff>142875</xdr:rowOff>
    </xdr:to>
    <xdr:pic>
      <xdr:nvPicPr>
        <xdr:cNvPr id="275380" name="979 Imagen" descr="niquelado icono.png">
          <a:extLst>
            <a:ext uri="{FF2B5EF4-FFF2-40B4-BE49-F238E27FC236}">
              <a16:creationId xmlns:a16="http://schemas.microsoft.com/office/drawing/2014/main" id="{6D0E65DD-D581-46C5-8303-8C6D7CFA4F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14678025"/>
          <a:ext cx="6191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53</xdr:row>
      <xdr:rowOff>19050</xdr:rowOff>
    </xdr:from>
    <xdr:to>
      <xdr:col>24</xdr:col>
      <xdr:colOff>47625</xdr:colOff>
      <xdr:row>53</xdr:row>
      <xdr:rowOff>142875</xdr:rowOff>
    </xdr:to>
    <xdr:pic>
      <xdr:nvPicPr>
        <xdr:cNvPr id="275382" name="991 Imagen" descr="seri icono.png">
          <a:extLst>
            <a:ext uri="{FF2B5EF4-FFF2-40B4-BE49-F238E27FC236}">
              <a16:creationId xmlns:a16="http://schemas.microsoft.com/office/drawing/2014/main" id="{BB169766-10C7-424B-B0F0-6B6F47BB75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0363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54</xdr:row>
      <xdr:rowOff>19050</xdr:rowOff>
    </xdr:from>
    <xdr:to>
      <xdr:col>24</xdr:col>
      <xdr:colOff>47625</xdr:colOff>
      <xdr:row>54</xdr:row>
      <xdr:rowOff>142875</xdr:rowOff>
    </xdr:to>
    <xdr:pic>
      <xdr:nvPicPr>
        <xdr:cNvPr id="275383" name="992 Imagen" descr="seri icono.png">
          <a:extLst>
            <a:ext uri="{FF2B5EF4-FFF2-40B4-BE49-F238E27FC236}">
              <a16:creationId xmlns:a16="http://schemas.microsoft.com/office/drawing/2014/main" id="{BEFADC53-0DD7-4A47-8877-F0AAF8672A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0515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55</xdr:row>
      <xdr:rowOff>19050</xdr:rowOff>
    </xdr:from>
    <xdr:to>
      <xdr:col>24</xdr:col>
      <xdr:colOff>47625</xdr:colOff>
      <xdr:row>55</xdr:row>
      <xdr:rowOff>142875</xdr:rowOff>
    </xdr:to>
    <xdr:pic>
      <xdr:nvPicPr>
        <xdr:cNvPr id="275384" name="993 Imagen" descr="seri icono.png">
          <a:extLst>
            <a:ext uri="{FF2B5EF4-FFF2-40B4-BE49-F238E27FC236}">
              <a16:creationId xmlns:a16="http://schemas.microsoft.com/office/drawing/2014/main" id="{54E78404-9ABA-4C2A-9C02-8286D22189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0668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51</xdr:row>
      <xdr:rowOff>19050</xdr:rowOff>
    </xdr:from>
    <xdr:to>
      <xdr:col>24</xdr:col>
      <xdr:colOff>47625</xdr:colOff>
      <xdr:row>51</xdr:row>
      <xdr:rowOff>142875</xdr:rowOff>
    </xdr:to>
    <xdr:pic>
      <xdr:nvPicPr>
        <xdr:cNvPr id="275399" name="1013 Imagen" descr="dome icono.png">
          <a:extLst>
            <a:ext uri="{FF2B5EF4-FFF2-40B4-BE49-F238E27FC236}">
              <a16:creationId xmlns:a16="http://schemas.microsoft.com/office/drawing/2014/main" id="{4B8DCCEF-7CD9-4FB3-A9EA-B1BCD35D75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753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50</xdr:row>
      <xdr:rowOff>19050</xdr:rowOff>
    </xdr:from>
    <xdr:to>
      <xdr:col>24</xdr:col>
      <xdr:colOff>47625</xdr:colOff>
      <xdr:row>50</xdr:row>
      <xdr:rowOff>142875</xdr:rowOff>
    </xdr:to>
    <xdr:pic>
      <xdr:nvPicPr>
        <xdr:cNvPr id="275401" name="1015 Imagen" descr="laser color icono.png">
          <a:extLst>
            <a:ext uri="{FF2B5EF4-FFF2-40B4-BE49-F238E27FC236}">
              <a16:creationId xmlns:a16="http://schemas.microsoft.com/office/drawing/2014/main" id="{7A986B69-6A6B-40E3-8FD6-FB324CF4DF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448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48</xdr:row>
      <xdr:rowOff>19050</xdr:rowOff>
    </xdr:from>
    <xdr:to>
      <xdr:col>24</xdr:col>
      <xdr:colOff>47625</xdr:colOff>
      <xdr:row>48</xdr:row>
      <xdr:rowOff>142875</xdr:rowOff>
    </xdr:to>
    <xdr:pic>
      <xdr:nvPicPr>
        <xdr:cNvPr id="275402" name="1016 Imagen" descr="HOT STAMPING ICONO.png">
          <a:extLst>
            <a:ext uri="{FF2B5EF4-FFF2-40B4-BE49-F238E27FC236}">
              <a16:creationId xmlns:a16="http://schemas.microsoft.com/office/drawing/2014/main" id="{66DD25AB-B790-498F-B6EB-327EF009D4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144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49</xdr:row>
      <xdr:rowOff>19050</xdr:rowOff>
    </xdr:from>
    <xdr:to>
      <xdr:col>24</xdr:col>
      <xdr:colOff>47625</xdr:colOff>
      <xdr:row>49</xdr:row>
      <xdr:rowOff>142875</xdr:rowOff>
    </xdr:to>
    <xdr:pic>
      <xdr:nvPicPr>
        <xdr:cNvPr id="275403" name="1017 Imagen" descr="HOT STAMPING ICONO.png">
          <a:extLst>
            <a:ext uri="{FF2B5EF4-FFF2-40B4-BE49-F238E27FC236}">
              <a16:creationId xmlns:a16="http://schemas.microsoft.com/office/drawing/2014/main" id="{02E63E9B-7E0E-4A4F-8F7F-BC15ADEFAB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296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33</xdr:row>
      <xdr:rowOff>19050</xdr:rowOff>
    </xdr:from>
    <xdr:to>
      <xdr:col>24</xdr:col>
      <xdr:colOff>419100</xdr:colOff>
      <xdr:row>33</xdr:row>
      <xdr:rowOff>142875</xdr:rowOff>
    </xdr:to>
    <xdr:pic>
      <xdr:nvPicPr>
        <xdr:cNvPr id="275404" name="1018 Imagen" descr="DOME UN LADO.png">
          <a:extLst>
            <a:ext uri="{FF2B5EF4-FFF2-40B4-BE49-F238E27FC236}">
              <a16:creationId xmlns:a16="http://schemas.microsoft.com/office/drawing/2014/main" id="{C9D6A842-718A-4FDB-94E6-62E8D94F0D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6200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34</xdr:row>
      <xdr:rowOff>19050</xdr:rowOff>
    </xdr:from>
    <xdr:to>
      <xdr:col>24</xdr:col>
      <xdr:colOff>419100</xdr:colOff>
      <xdr:row>34</xdr:row>
      <xdr:rowOff>142875</xdr:rowOff>
    </xdr:to>
    <xdr:pic>
      <xdr:nvPicPr>
        <xdr:cNvPr id="275405" name="1019 Imagen" descr="DOME UN LADO.png">
          <a:extLst>
            <a:ext uri="{FF2B5EF4-FFF2-40B4-BE49-F238E27FC236}">
              <a16:creationId xmlns:a16="http://schemas.microsoft.com/office/drawing/2014/main" id="{2B2A6C7D-CDFE-46D9-BC93-61EB76E6C0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7724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35</xdr:row>
      <xdr:rowOff>19050</xdr:rowOff>
    </xdr:from>
    <xdr:to>
      <xdr:col>24</xdr:col>
      <xdr:colOff>419100</xdr:colOff>
      <xdr:row>35</xdr:row>
      <xdr:rowOff>142875</xdr:rowOff>
    </xdr:to>
    <xdr:pic>
      <xdr:nvPicPr>
        <xdr:cNvPr id="275406" name="1020 Imagen" descr="DOME UN LADO.png">
          <a:extLst>
            <a:ext uri="{FF2B5EF4-FFF2-40B4-BE49-F238E27FC236}">
              <a16:creationId xmlns:a16="http://schemas.microsoft.com/office/drawing/2014/main" id="{20AFEC37-D3E9-4B30-9DD6-D555795C2F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9248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36</xdr:row>
      <xdr:rowOff>19050</xdr:rowOff>
    </xdr:from>
    <xdr:to>
      <xdr:col>24</xdr:col>
      <xdr:colOff>419100</xdr:colOff>
      <xdr:row>36</xdr:row>
      <xdr:rowOff>142875</xdr:rowOff>
    </xdr:to>
    <xdr:pic>
      <xdr:nvPicPr>
        <xdr:cNvPr id="275407" name="1021 Imagen" descr="DOME UN LADO.png">
          <a:extLst>
            <a:ext uri="{FF2B5EF4-FFF2-40B4-BE49-F238E27FC236}">
              <a16:creationId xmlns:a16="http://schemas.microsoft.com/office/drawing/2014/main" id="{27DD1985-1645-4E31-9636-F3314CDD3B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80772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39</xdr:row>
      <xdr:rowOff>19050</xdr:rowOff>
    </xdr:from>
    <xdr:to>
      <xdr:col>24</xdr:col>
      <xdr:colOff>419100</xdr:colOff>
      <xdr:row>39</xdr:row>
      <xdr:rowOff>142875</xdr:rowOff>
    </xdr:to>
    <xdr:pic>
      <xdr:nvPicPr>
        <xdr:cNvPr id="275408" name="1022 Imagen" descr="DOME UN LADO.png">
          <a:extLst>
            <a:ext uri="{FF2B5EF4-FFF2-40B4-BE49-F238E27FC236}">
              <a16:creationId xmlns:a16="http://schemas.microsoft.com/office/drawing/2014/main" id="{A58C9EC6-AE43-4980-A967-EC149773E3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82296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40</xdr:row>
      <xdr:rowOff>19050</xdr:rowOff>
    </xdr:from>
    <xdr:to>
      <xdr:col>24</xdr:col>
      <xdr:colOff>419100</xdr:colOff>
      <xdr:row>40</xdr:row>
      <xdr:rowOff>142875</xdr:rowOff>
    </xdr:to>
    <xdr:pic>
      <xdr:nvPicPr>
        <xdr:cNvPr id="275409" name="1023 Imagen" descr="DOME UN LADO.png">
          <a:extLst>
            <a:ext uri="{FF2B5EF4-FFF2-40B4-BE49-F238E27FC236}">
              <a16:creationId xmlns:a16="http://schemas.microsoft.com/office/drawing/2014/main" id="{58B92AC3-D4D3-4675-A1A1-F9F11F9E79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83820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41</xdr:row>
      <xdr:rowOff>19050</xdr:rowOff>
    </xdr:from>
    <xdr:to>
      <xdr:col>24</xdr:col>
      <xdr:colOff>419100</xdr:colOff>
      <xdr:row>41</xdr:row>
      <xdr:rowOff>142875</xdr:rowOff>
    </xdr:to>
    <xdr:pic>
      <xdr:nvPicPr>
        <xdr:cNvPr id="275410" name="1024 Imagen" descr="DOME UN LADO.png">
          <a:extLst>
            <a:ext uri="{FF2B5EF4-FFF2-40B4-BE49-F238E27FC236}">
              <a16:creationId xmlns:a16="http://schemas.microsoft.com/office/drawing/2014/main" id="{591EBB52-BFCD-4E58-8967-95D4AD947F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85344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45</xdr:row>
      <xdr:rowOff>19050</xdr:rowOff>
    </xdr:from>
    <xdr:to>
      <xdr:col>24</xdr:col>
      <xdr:colOff>419100</xdr:colOff>
      <xdr:row>45</xdr:row>
      <xdr:rowOff>142875</xdr:rowOff>
    </xdr:to>
    <xdr:pic>
      <xdr:nvPicPr>
        <xdr:cNvPr id="275411" name="1025 Imagen" descr="DOME UN LADO.png">
          <a:extLst>
            <a:ext uri="{FF2B5EF4-FFF2-40B4-BE49-F238E27FC236}">
              <a16:creationId xmlns:a16="http://schemas.microsoft.com/office/drawing/2014/main" id="{2876C892-47DD-4308-973E-917C31A2AE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86868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46</xdr:row>
      <xdr:rowOff>19050</xdr:rowOff>
    </xdr:from>
    <xdr:to>
      <xdr:col>24</xdr:col>
      <xdr:colOff>419100</xdr:colOff>
      <xdr:row>46</xdr:row>
      <xdr:rowOff>142875</xdr:rowOff>
    </xdr:to>
    <xdr:pic>
      <xdr:nvPicPr>
        <xdr:cNvPr id="275412" name="1026 Imagen" descr="DOME UN LADO.png">
          <a:extLst>
            <a:ext uri="{FF2B5EF4-FFF2-40B4-BE49-F238E27FC236}">
              <a16:creationId xmlns:a16="http://schemas.microsoft.com/office/drawing/2014/main" id="{60AC6610-1DF7-42C3-963C-EF8AEF2473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88392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47</xdr:row>
      <xdr:rowOff>19050</xdr:rowOff>
    </xdr:from>
    <xdr:to>
      <xdr:col>24</xdr:col>
      <xdr:colOff>419100</xdr:colOff>
      <xdr:row>47</xdr:row>
      <xdr:rowOff>142875</xdr:rowOff>
    </xdr:to>
    <xdr:pic>
      <xdr:nvPicPr>
        <xdr:cNvPr id="275413" name="1027 Imagen" descr="DOME UN LADO.png">
          <a:extLst>
            <a:ext uri="{FF2B5EF4-FFF2-40B4-BE49-F238E27FC236}">
              <a16:creationId xmlns:a16="http://schemas.microsoft.com/office/drawing/2014/main" id="{368C3A36-0B7D-4B72-89D0-EA4D9811D0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89916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28</xdr:row>
      <xdr:rowOff>19050</xdr:rowOff>
    </xdr:from>
    <xdr:to>
      <xdr:col>24</xdr:col>
      <xdr:colOff>409575</xdr:colOff>
      <xdr:row>28</xdr:row>
      <xdr:rowOff>142875</xdr:rowOff>
    </xdr:to>
    <xdr:pic>
      <xdr:nvPicPr>
        <xdr:cNvPr id="275414" name="1031 Imagen" descr="dome 2 lados.png">
          <a:extLst>
            <a:ext uri="{FF2B5EF4-FFF2-40B4-BE49-F238E27FC236}">
              <a16:creationId xmlns:a16="http://schemas.microsoft.com/office/drawing/2014/main" id="{795310C8-A955-4092-A3B1-A73EE960AE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6858000"/>
          <a:ext cx="11811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29</xdr:row>
      <xdr:rowOff>19050</xdr:rowOff>
    </xdr:from>
    <xdr:to>
      <xdr:col>24</xdr:col>
      <xdr:colOff>409575</xdr:colOff>
      <xdr:row>29</xdr:row>
      <xdr:rowOff>142875</xdr:rowOff>
    </xdr:to>
    <xdr:pic>
      <xdr:nvPicPr>
        <xdr:cNvPr id="275415" name="1032 Imagen" descr="dome 2 lados.png">
          <a:extLst>
            <a:ext uri="{FF2B5EF4-FFF2-40B4-BE49-F238E27FC236}">
              <a16:creationId xmlns:a16="http://schemas.microsoft.com/office/drawing/2014/main" id="{4505FEDB-9BAF-4F5A-8693-B444D4C0C6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010400"/>
          <a:ext cx="11811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30</xdr:row>
      <xdr:rowOff>19050</xdr:rowOff>
    </xdr:from>
    <xdr:to>
      <xdr:col>24</xdr:col>
      <xdr:colOff>409575</xdr:colOff>
      <xdr:row>30</xdr:row>
      <xdr:rowOff>142875</xdr:rowOff>
    </xdr:to>
    <xdr:pic>
      <xdr:nvPicPr>
        <xdr:cNvPr id="275416" name="1033 Imagen" descr="dome 2 lados.png">
          <a:extLst>
            <a:ext uri="{FF2B5EF4-FFF2-40B4-BE49-F238E27FC236}">
              <a16:creationId xmlns:a16="http://schemas.microsoft.com/office/drawing/2014/main" id="{76549EA8-46A9-48A8-9EA7-F4277EA27D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162800"/>
          <a:ext cx="11811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31</xdr:row>
      <xdr:rowOff>19050</xdr:rowOff>
    </xdr:from>
    <xdr:to>
      <xdr:col>24</xdr:col>
      <xdr:colOff>409575</xdr:colOff>
      <xdr:row>31</xdr:row>
      <xdr:rowOff>142875</xdr:rowOff>
    </xdr:to>
    <xdr:pic>
      <xdr:nvPicPr>
        <xdr:cNvPr id="275417" name="1034 Imagen" descr="dome 2 lados.png">
          <a:extLst>
            <a:ext uri="{FF2B5EF4-FFF2-40B4-BE49-F238E27FC236}">
              <a16:creationId xmlns:a16="http://schemas.microsoft.com/office/drawing/2014/main" id="{969D3D47-7024-42C2-AA99-9EC7F3A115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315200"/>
          <a:ext cx="11811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32</xdr:row>
      <xdr:rowOff>19050</xdr:rowOff>
    </xdr:from>
    <xdr:to>
      <xdr:col>24</xdr:col>
      <xdr:colOff>409575</xdr:colOff>
      <xdr:row>32</xdr:row>
      <xdr:rowOff>142875</xdr:rowOff>
    </xdr:to>
    <xdr:pic>
      <xdr:nvPicPr>
        <xdr:cNvPr id="275418" name="1035 Imagen" descr="dome 2 lados.png">
          <a:extLst>
            <a:ext uri="{FF2B5EF4-FFF2-40B4-BE49-F238E27FC236}">
              <a16:creationId xmlns:a16="http://schemas.microsoft.com/office/drawing/2014/main" id="{48183232-F0B1-449C-A798-8CE96FDA5B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467600"/>
          <a:ext cx="11811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25</xdr:row>
      <xdr:rowOff>19050</xdr:rowOff>
    </xdr:from>
    <xdr:to>
      <xdr:col>24</xdr:col>
      <xdr:colOff>47625</xdr:colOff>
      <xdr:row>25</xdr:row>
      <xdr:rowOff>142875</xdr:rowOff>
    </xdr:to>
    <xdr:pic>
      <xdr:nvPicPr>
        <xdr:cNvPr id="275419" name="1036 Imagen" descr="SERI ROT ICONO.png">
          <a:extLst>
            <a:ext uri="{FF2B5EF4-FFF2-40B4-BE49-F238E27FC236}">
              <a16:creationId xmlns:a16="http://schemas.microsoft.com/office/drawing/2014/main" id="{A977B7DE-D587-42AF-87F6-0EFF27E81D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6096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23</xdr:row>
      <xdr:rowOff>19050</xdr:rowOff>
    </xdr:from>
    <xdr:to>
      <xdr:col>24</xdr:col>
      <xdr:colOff>47625</xdr:colOff>
      <xdr:row>23</xdr:row>
      <xdr:rowOff>142875</xdr:rowOff>
    </xdr:to>
    <xdr:pic>
      <xdr:nvPicPr>
        <xdr:cNvPr id="275421" name="1039 Imagen" descr="laser un lado icono.png">
          <a:extLst>
            <a:ext uri="{FF2B5EF4-FFF2-40B4-BE49-F238E27FC236}">
              <a16:creationId xmlns:a16="http://schemas.microsoft.com/office/drawing/2014/main" id="{AA650483-6F63-4344-AAE8-0255EA0C21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5791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17</xdr:row>
      <xdr:rowOff>19050</xdr:rowOff>
    </xdr:from>
    <xdr:to>
      <xdr:col>24</xdr:col>
      <xdr:colOff>47625</xdr:colOff>
      <xdr:row>17</xdr:row>
      <xdr:rowOff>142875</xdr:rowOff>
    </xdr:to>
    <xdr:pic>
      <xdr:nvPicPr>
        <xdr:cNvPr id="275423" name="1043 Imagen" descr="laser un lado icono.png">
          <a:extLst>
            <a:ext uri="{FF2B5EF4-FFF2-40B4-BE49-F238E27FC236}">
              <a16:creationId xmlns:a16="http://schemas.microsoft.com/office/drawing/2014/main" id="{0508D9DB-36AF-46F0-BBE6-08EBC09F4D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4724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18</xdr:row>
      <xdr:rowOff>19050</xdr:rowOff>
    </xdr:from>
    <xdr:to>
      <xdr:col>24</xdr:col>
      <xdr:colOff>47625</xdr:colOff>
      <xdr:row>18</xdr:row>
      <xdr:rowOff>142875</xdr:rowOff>
    </xdr:to>
    <xdr:pic>
      <xdr:nvPicPr>
        <xdr:cNvPr id="275424" name="1044 Imagen" descr="laser un lado icono.png">
          <a:extLst>
            <a:ext uri="{FF2B5EF4-FFF2-40B4-BE49-F238E27FC236}">
              <a16:creationId xmlns:a16="http://schemas.microsoft.com/office/drawing/2014/main" id="{79A209BC-65C3-4E28-AF1A-289092CEB9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4876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16</xdr:row>
      <xdr:rowOff>19050</xdr:rowOff>
    </xdr:from>
    <xdr:to>
      <xdr:col>24</xdr:col>
      <xdr:colOff>47625</xdr:colOff>
      <xdr:row>16</xdr:row>
      <xdr:rowOff>142875</xdr:rowOff>
    </xdr:to>
    <xdr:pic>
      <xdr:nvPicPr>
        <xdr:cNvPr id="275426" name="1047 Imagen" descr="laser un lado icono.png">
          <a:extLst>
            <a:ext uri="{FF2B5EF4-FFF2-40B4-BE49-F238E27FC236}">
              <a16:creationId xmlns:a16="http://schemas.microsoft.com/office/drawing/2014/main" id="{63EEF21A-DA68-49C6-9F59-6CE9A040A8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4267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133350</xdr:colOff>
      <xdr:row>68</xdr:row>
      <xdr:rowOff>19049</xdr:rowOff>
    </xdr:from>
    <xdr:to>
      <xdr:col>24</xdr:col>
      <xdr:colOff>466725</xdr:colOff>
      <xdr:row>68</xdr:row>
      <xdr:rowOff>142874</xdr:rowOff>
    </xdr:to>
    <xdr:pic>
      <xdr:nvPicPr>
        <xdr:cNvPr id="275460" name="963 Imagen" descr="22x12 icono.png">
          <a:extLst>
            <a:ext uri="{FF2B5EF4-FFF2-40B4-BE49-F238E27FC236}">
              <a16:creationId xmlns:a16="http://schemas.microsoft.com/office/drawing/2014/main" id="{5F8471ED-4951-4B16-8DE4-4D3A7B9F63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29600" y="12849224"/>
          <a:ext cx="3333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209550</xdr:colOff>
      <xdr:row>72</xdr:row>
      <xdr:rowOff>19050</xdr:rowOff>
    </xdr:from>
    <xdr:to>
      <xdr:col>5</xdr:col>
      <xdr:colOff>194</xdr:colOff>
      <xdr:row>72</xdr:row>
      <xdr:rowOff>142875</xdr:rowOff>
    </xdr:to>
    <xdr:pic>
      <xdr:nvPicPr>
        <xdr:cNvPr id="275463" name="979 Imagen" descr="niquelado icono.png">
          <a:extLst>
            <a:ext uri="{FF2B5EF4-FFF2-40B4-BE49-F238E27FC236}">
              <a16:creationId xmlns:a16="http://schemas.microsoft.com/office/drawing/2014/main" id="{BD6439C3-F0D3-4E4B-9AF1-23169DEE6D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15135225"/>
          <a:ext cx="6191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209550</xdr:colOff>
      <xdr:row>73</xdr:row>
      <xdr:rowOff>19050</xdr:rowOff>
    </xdr:from>
    <xdr:to>
      <xdr:col>5</xdr:col>
      <xdr:colOff>194</xdr:colOff>
      <xdr:row>73</xdr:row>
      <xdr:rowOff>142875</xdr:rowOff>
    </xdr:to>
    <xdr:pic>
      <xdr:nvPicPr>
        <xdr:cNvPr id="275466" name="979 Imagen" descr="niquelado icono.png">
          <a:extLst>
            <a:ext uri="{FF2B5EF4-FFF2-40B4-BE49-F238E27FC236}">
              <a16:creationId xmlns:a16="http://schemas.microsoft.com/office/drawing/2014/main" id="{EA6E2E83-9FBE-423C-AF55-F9422AE0D5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15287625"/>
          <a:ext cx="6191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571500</xdr:colOff>
      <xdr:row>72</xdr:row>
      <xdr:rowOff>95250</xdr:rowOff>
    </xdr:from>
    <xdr:to>
      <xdr:col>24</xdr:col>
      <xdr:colOff>123825</xdr:colOff>
      <xdr:row>73</xdr:row>
      <xdr:rowOff>66675</xdr:rowOff>
    </xdr:to>
    <xdr:pic>
      <xdr:nvPicPr>
        <xdr:cNvPr id="275469" name="973 Imagen" descr="20x50.png">
          <a:extLst>
            <a:ext uri="{FF2B5EF4-FFF2-40B4-BE49-F238E27FC236}">
              <a16:creationId xmlns:a16="http://schemas.microsoft.com/office/drawing/2014/main" id="{32BE61D8-5A03-475A-9043-1E2E4DFAF6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7175" y="15211425"/>
          <a:ext cx="3333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142875</xdr:colOff>
      <xdr:row>72</xdr:row>
      <xdr:rowOff>95250</xdr:rowOff>
    </xdr:from>
    <xdr:to>
      <xdr:col>24</xdr:col>
      <xdr:colOff>466725</xdr:colOff>
      <xdr:row>73</xdr:row>
      <xdr:rowOff>66675</xdr:rowOff>
    </xdr:to>
    <xdr:pic>
      <xdr:nvPicPr>
        <xdr:cNvPr id="275470" name="974 Imagen" descr="20x55.png">
          <a:extLst>
            <a:ext uri="{FF2B5EF4-FFF2-40B4-BE49-F238E27FC236}">
              <a16:creationId xmlns:a16="http://schemas.microsoft.com/office/drawing/2014/main" id="{A45A455E-FEC7-4098-9A59-E5C4638072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29600" y="15211425"/>
          <a:ext cx="3238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485775</xdr:colOff>
      <xdr:row>72</xdr:row>
      <xdr:rowOff>95250</xdr:rowOff>
    </xdr:from>
    <xdr:to>
      <xdr:col>25</xdr:col>
      <xdr:colOff>333374</xdr:colOff>
      <xdr:row>73</xdr:row>
      <xdr:rowOff>66675</xdr:rowOff>
    </xdr:to>
    <xdr:pic>
      <xdr:nvPicPr>
        <xdr:cNvPr id="275471" name="975 Imagen" descr="20x60.png">
          <a:extLst>
            <a:ext uri="{FF2B5EF4-FFF2-40B4-BE49-F238E27FC236}">
              <a16:creationId xmlns:a16="http://schemas.microsoft.com/office/drawing/2014/main" id="{9E2E7157-458D-4662-8D6A-C25B457376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15211425"/>
          <a:ext cx="3429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72</xdr:row>
      <xdr:rowOff>95250</xdr:rowOff>
    </xdr:from>
    <xdr:to>
      <xdr:col>23</xdr:col>
      <xdr:colOff>542925</xdr:colOff>
      <xdr:row>73</xdr:row>
      <xdr:rowOff>66675</xdr:rowOff>
    </xdr:to>
    <xdr:pic>
      <xdr:nvPicPr>
        <xdr:cNvPr id="275472" name="978 Imagen" descr="MEDIDAS ICONO.png">
          <a:extLst>
            <a:ext uri="{FF2B5EF4-FFF2-40B4-BE49-F238E27FC236}">
              <a16:creationId xmlns:a16="http://schemas.microsoft.com/office/drawing/2014/main" id="{5BB8511E-29B6-4844-B19D-5509624385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5211425"/>
          <a:ext cx="5334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19050</xdr:colOff>
      <xdr:row>69</xdr:row>
      <xdr:rowOff>19050</xdr:rowOff>
    </xdr:from>
    <xdr:to>
      <xdr:col>23</xdr:col>
      <xdr:colOff>552450</xdr:colOff>
      <xdr:row>69</xdr:row>
      <xdr:rowOff>142875</xdr:rowOff>
    </xdr:to>
    <xdr:pic>
      <xdr:nvPicPr>
        <xdr:cNvPr id="275473" name="979 Imagen" descr="MEDIDAS ICONO.png">
          <a:extLst>
            <a:ext uri="{FF2B5EF4-FFF2-40B4-BE49-F238E27FC236}">
              <a16:creationId xmlns:a16="http://schemas.microsoft.com/office/drawing/2014/main" id="{5D4DDED2-345A-4B37-A289-018DAA9ED7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3001625"/>
          <a:ext cx="5334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71</xdr:row>
      <xdr:rowOff>19050</xdr:rowOff>
    </xdr:from>
    <xdr:to>
      <xdr:col>10</xdr:col>
      <xdr:colOff>930</xdr:colOff>
      <xdr:row>71</xdr:row>
      <xdr:rowOff>142875</xdr:rowOff>
    </xdr:to>
    <xdr:pic>
      <xdr:nvPicPr>
        <xdr:cNvPr id="275475" name="958 Imagen" descr="CONSULTAR ICONO.png">
          <a:extLst>
            <a:ext uri="{FF2B5EF4-FFF2-40B4-BE49-F238E27FC236}">
              <a16:creationId xmlns:a16="http://schemas.microsoft.com/office/drawing/2014/main" id="{29D468AD-F7E7-44B9-9EF6-C3162FD50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11430000"/>
          <a:ext cx="82007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209550</xdr:colOff>
      <xdr:row>70</xdr:row>
      <xdr:rowOff>19050</xdr:rowOff>
    </xdr:from>
    <xdr:to>
      <xdr:col>5</xdr:col>
      <xdr:colOff>194</xdr:colOff>
      <xdr:row>70</xdr:row>
      <xdr:rowOff>142875</xdr:rowOff>
    </xdr:to>
    <xdr:pic>
      <xdr:nvPicPr>
        <xdr:cNvPr id="275476" name="979 Imagen" descr="niquelado icono.png">
          <a:extLst>
            <a:ext uri="{FF2B5EF4-FFF2-40B4-BE49-F238E27FC236}">
              <a16:creationId xmlns:a16="http://schemas.microsoft.com/office/drawing/2014/main" id="{3CF58078-02E7-40CA-BDC8-94CFA00EF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14830425"/>
          <a:ext cx="6191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437</xdr:row>
      <xdr:rowOff>19050</xdr:rowOff>
    </xdr:from>
    <xdr:to>
      <xdr:col>24</xdr:col>
      <xdr:colOff>47625</xdr:colOff>
      <xdr:row>437</xdr:row>
      <xdr:rowOff>142875</xdr:rowOff>
    </xdr:to>
    <xdr:pic>
      <xdr:nvPicPr>
        <xdr:cNvPr id="275481" name="323 Imagen" descr="dome icono.png">
          <a:extLst>
            <a:ext uri="{FF2B5EF4-FFF2-40B4-BE49-F238E27FC236}">
              <a16:creationId xmlns:a16="http://schemas.microsoft.com/office/drawing/2014/main" id="{6BB64E0C-8321-4C31-B3CE-3FE83C37EB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8895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438</xdr:row>
      <xdr:rowOff>19050</xdr:rowOff>
    </xdr:from>
    <xdr:to>
      <xdr:col>24</xdr:col>
      <xdr:colOff>47625</xdr:colOff>
      <xdr:row>438</xdr:row>
      <xdr:rowOff>142875</xdr:rowOff>
    </xdr:to>
    <xdr:pic>
      <xdr:nvPicPr>
        <xdr:cNvPr id="275482" name="323 Imagen" descr="dome icono.png">
          <a:extLst>
            <a:ext uri="{FF2B5EF4-FFF2-40B4-BE49-F238E27FC236}">
              <a16:creationId xmlns:a16="http://schemas.microsoft.com/office/drawing/2014/main" id="{3FDEF6A8-69D9-4F09-9E05-96E5E47161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9047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65</xdr:row>
      <xdr:rowOff>19050</xdr:rowOff>
    </xdr:from>
    <xdr:to>
      <xdr:col>24</xdr:col>
      <xdr:colOff>47625</xdr:colOff>
      <xdr:row>65</xdr:row>
      <xdr:rowOff>142875</xdr:rowOff>
    </xdr:to>
    <xdr:pic>
      <xdr:nvPicPr>
        <xdr:cNvPr id="275484" name="919 Imagen" descr="seri icono.png">
          <a:extLst>
            <a:ext uri="{FF2B5EF4-FFF2-40B4-BE49-F238E27FC236}">
              <a16:creationId xmlns:a16="http://schemas.microsoft.com/office/drawing/2014/main" id="{92E36A5E-683C-4133-B6A1-C673B49D63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3916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66</xdr:row>
      <xdr:rowOff>19050</xdr:rowOff>
    </xdr:from>
    <xdr:to>
      <xdr:col>24</xdr:col>
      <xdr:colOff>47625</xdr:colOff>
      <xdr:row>66</xdr:row>
      <xdr:rowOff>142875</xdr:rowOff>
    </xdr:to>
    <xdr:pic>
      <xdr:nvPicPr>
        <xdr:cNvPr id="275486" name="919 Imagen" descr="seri icono.png">
          <a:extLst>
            <a:ext uri="{FF2B5EF4-FFF2-40B4-BE49-F238E27FC236}">
              <a16:creationId xmlns:a16="http://schemas.microsoft.com/office/drawing/2014/main" id="{CC3DD387-7689-4E66-AAA5-A460197B0B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4068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125</xdr:row>
      <xdr:rowOff>19050</xdr:rowOff>
    </xdr:from>
    <xdr:to>
      <xdr:col>24</xdr:col>
      <xdr:colOff>47625</xdr:colOff>
      <xdr:row>125</xdr:row>
      <xdr:rowOff>142875</xdr:rowOff>
    </xdr:to>
    <xdr:pic>
      <xdr:nvPicPr>
        <xdr:cNvPr id="275488" name="840 Imagen" descr="dome icono.png">
          <a:extLst>
            <a:ext uri="{FF2B5EF4-FFF2-40B4-BE49-F238E27FC236}">
              <a16:creationId xmlns:a16="http://schemas.microsoft.com/office/drawing/2014/main" id="{CBEFA250-9D4D-4CD2-9950-7DEE73C056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4945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51</xdr:row>
      <xdr:rowOff>28575</xdr:rowOff>
    </xdr:from>
    <xdr:to>
      <xdr:col>1</xdr:col>
      <xdr:colOff>0</xdr:colOff>
      <xdr:row>51</xdr:row>
      <xdr:rowOff>142875</xdr:rowOff>
    </xdr:to>
    <xdr:pic>
      <xdr:nvPicPr>
        <xdr:cNvPr id="275511" name="211 Imagen" descr="premium.jpg">
          <a:extLst>
            <a:ext uri="{FF2B5EF4-FFF2-40B4-BE49-F238E27FC236}">
              <a16:creationId xmlns:a16="http://schemas.microsoft.com/office/drawing/2014/main" id="{3D5DD0AF-8A8C-4E6E-9432-DECA97FF9A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63125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122</xdr:row>
      <xdr:rowOff>19050</xdr:rowOff>
    </xdr:from>
    <xdr:to>
      <xdr:col>24</xdr:col>
      <xdr:colOff>47625</xdr:colOff>
      <xdr:row>122</xdr:row>
      <xdr:rowOff>142875</xdr:rowOff>
    </xdr:to>
    <xdr:pic>
      <xdr:nvPicPr>
        <xdr:cNvPr id="275515" name="871 Imagen" descr="sublimacion icono.png">
          <a:extLst>
            <a:ext uri="{FF2B5EF4-FFF2-40B4-BE49-F238E27FC236}">
              <a16:creationId xmlns:a16="http://schemas.microsoft.com/office/drawing/2014/main" id="{423B55F7-FD28-42E5-A579-6F781CD8E8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4793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436</xdr:row>
      <xdr:rowOff>19050</xdr:rowOff>
    </xdr:from>
    <xdr:to>
      <xdr:col>24</xdr:col>
      <xdr:colOff>47625</xdr:colOff>
      <xdr:row>436</xdr:row>
      <xdr:rowOff>142875</xdr:rowOff>
    </xdr:to>
    <xdr:pic>
      <xdr:nvPicPr>
        <xdr:cNvPr id="275522" name="323 Imagen" descr="dome icono.png">
          <a:extLst>
            <a:ext uri="{FF2B5EF4-FFF2-40B4-BE49-F238E27FC236}">
              <a16:creationId xmlns:a16="http://schemas.microsoft.com/office/drawing/2014/main" id="{C8CE6A87-3930-44D3-A12F-DAA64911CB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8743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586</xdr:row>
      <xdr:rowOff>19050</xdr:rowOff>
    </xdr:from>
    <xdr:to>
      <xdr:col>24</xdr:col>
      <xdr:colOff>47625</xdr:colOff>
      <xdr:row>586</xdr:row>
      <xdr:rowOff>142875</xdr:rowOff>
    </xdr:to>
    <xdr:pic>
      <xdr:nvPicPr>
        <xdr:cNvPr id="957" name="429 Imagen" descr="sublimacion icono.png">
          <a:extLst>
            <a:ext uri="{FF2B5EF4-FFF2-40B4-BE49-F238E27FC236}">
              <a16:creationId xmlns:a16="http://schemas.microsoft.com/office/drawing/2014/main" id="{6CF316BA-1A7F-4150-9180-0700F4598B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882205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587</xdr:row>
      <xdr:rowOff>19050</xdr:rowOff>
    </xdr:from>
    <xdr:to>
      <xdr:col>24</xdr:col>
      <xdr:colOff>47625</xdr:colOff>
      <xdr:row>587</xdr:row>
      <xdr:rowOff>142875</xdr:rowOff>
    </xdr:to>
    <xdr:pic>
      <xdr:nvPicPr>
        <xdr:cNvPr id="960" name="429 Imagen" descr="sublimacion icono.png">
          <a:extLst>
            <a:ext uri="{FF2B5EF4-FFF2-40B4-BE49-F238E27FC236}">
              <a16:creationId xmlns:a16="http://schemas.microsoft.com/office/drawing/2014/main" id="{6CF316BA-1A7F-4150-9180-0700F4598B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89277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24</xdr:col>
      <xdr:colOff>57150</xdr:colOff>
      <xdr:row>301</xdr:row>
      <xdr:rowOff>19050</xdr:rowOff>
    </xdr:from>
    <xdr:ext cx="438150" cy="123825"/>
    <xdr:pic>
      <xdr:nvPicPr>
        <xdr:cNvPr id="989" name="571 Imagen" descr="UN LADO ICONO.png">
          <a:extLst>
            <a:ext uri="{FF2B5EF4-FFF2-40B4-BE49-F238E27FC236}">
              <a16:creationId xmlns:a16="http://schemas.microsoft.com/office/drawing/2014/main" id="{822A2817-1BEA-4713-B476-6570D88127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5371147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26</xdr:row>
      <xdr:rowOff>19050</xdr:rowOff>
    </xdr:from>
    <xdr:to>
      <xdr:col>24</xdr:col>
      <xdr:colOff>47625</xdr:colOff>
      <xdr:row>26</xdr:row>
      <xdr:rowOff>142875</xdr:rowOff>
    </xdr:to>
    <xdr:pic>
      <xdr:nvPicPr>
        <xdr:cNvPr id="987" name="1039 Imagen" descr="laser un lado icono.png">
          <a:extLst>
            <a:ext uri="{FF2B5EF4-FFF2-40B4-BE49-F238E27FC236}">
              <a16:creationId xmlns:a16="http://schemas.microsoft.com/office/drawing/2014/main" id="{D81B8030-98D5-4225-8049-FE45349487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81875" y="6553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134</xdr:row>
      <xdr:rowOff>19050</xdr:rowOff>
    </xdr:from>
    <xdr:to>
      <xdr:col>24</xdr:col>
      <xdr:colOff>47625</xdr:colOff>
      <xdr:row>134</xdr:row>
      <xdr:rowOff>142875</xdr:rowOff>
    </xdr:to>
    <xdr:pic>
      <xdr:nvPicPr>
        <xdr:cNvPr id="972" name="841 Imagen" descr="dome icono.png">
          <a:extLst>
            <a:ext uri="{FF2B5EF4-FFF2-40B4-BE49-F238E27FC236}">
              <a16:creationId xmlns:a16="http://schemas.microsoft.com/office/drawing/2014/main" id="{8B4A8EF8-E404-4AD5-8580-12C8E12F4F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81875" y="26012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209</xdr:row>
      <xdr:rowOff>19050</xdr:rowOff>
    </xdr:from>
    <xdr:to>
      <xdr:col>24</xdr:col>
      <xdr:colOff>47625</xdr:colOff>
      <xdr:row>209</xdr:row>
      <xdr:rowOff>142875</xdr:rowOff>
    </xdr:to>
    <xdr:pic>
      <xdr:nvPicPr>
        <xdr:cNvPr id="1014" name="755 Imagen" descr="seri icono.png">
          <a:extLst>
            <a:ext uri="{FF2B5EF4-FFF2-40B4-BE49-F238E27FC236}">
              <a16:creationId xmlns:a16="http://schemas.microsoft.com/office/drawing/2014/main" id="{6F01BA60-336D-4566-99D4-4BE1A3E524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8557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90</xdr:row>
      <xdr:rowOff>19050</xdr:rowOff>
    </xdr:from>
    <xdr:to>
      <xdr:col>24</xdr:col>
      <xdr:colOff>47625</xdr:colOff>
      <xdr:row>90</xdr:row>
      <xdr:rowOff>142875</xdr:rowOff>
    </xdr:to>
    <xdr:pic>
      <xdr:nvPicPr>
        <xdr:cNvPr id="1006" name="1048 Imagen" descr="laser un lado icono.png">
          <a:extLst>
            <a:ext uri="{FF2B5EF4-FFF2-40B4-BE49-F238E27FC236}">
              <a16:creationId xmlns:a16="http://schemas.microsoft.com/office/drawing/2014/main" id="{F7A43007-A731-4DCE-BE0A-3E6ADD4A32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4220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92</xdr:row>
      <xdr:rowOff>19050</xdr:rowOff>
    </xdr:from>
    <xdr:to>
      <xdr:col>24</xdr:col>
      <xdr:colOff>47625</xdr:colOff>
      <xdr:row>92</xdr:row>
      <xdr:rowOff>142875</xdr:rowOff>
    </xdr:to>
    <xdr:pic>
      <xdr:nvPicPr>
        <xdr:cNvPr id="1018" name="1048 Imagen" descr="laser un lado icono.png">
          <a:extLst>
            <a:ext uri="{FF2B5EF4-FFF2-40B4-BE49-F238E27FC236}">
              <a16:creationId xmlns:a16="http://schemas.microsoft.com/office/drawing/2014/main" id="{F7A43007-A731-4DCE-BE0A-3E6ADD4A32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7573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93</xdr:row>
      <xdr:rowOff>19050</xdr:rowOff>
    </xdr:from>
    <xdr:to>
      <xdr:col>24</xdr:col>
      <xdr:colOff>47625</xdr:colOff>
      <xdr:row>93</xdr:row>
      <xdr:rowOff>142875</xdr:rowOff>
    </xdr:to>
    <xdr:pic>
      <xdr:nvPicPr>
        <xdr:cNvPr id="1019" name="945 Imagen" descr="seri icono.png">
          <a:extLst>
            <a:ext uri="{FF2B5EF4-FFF2-40B4-BE49-F238E27FC236}">
              <a16:creationId xmlns:a16="http://schemas.microsoft.com/office/drawing/2014/main" id="{9DAB2EBE-6C25-45A4-BBE1-B318A43F85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7878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57</xdr:row>
      <xdr:rowOff>19050</xdr:rowOff>
    </xdr:from>
    <xdr:ext cx="819150" cy="123825"/>
    <xdr:pic>
      <xdr:nvPicPr>
        <xdr:cNvPr id="1023" name="923 Imagen" descr="seri icono.png">
          <a:extLst>
            <a:ext uri="{FF2B5EF4-FFF2-40B4-BE49-F238E27FC236}">
              <a16:creationId xmlns:a16="http://schemas.microsoft.com/office/drawing/2014/main" id="{C3A9516D-C078-4003-B87E-2EAA6E62EB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3306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57</xdr:row>
      <xdr:rowOff>19050</xdr:rowOff>
    </xdr:from>
    <xdr:ext cx="819150" cy="123825"/>
    <xdr:pic>
      <xdr:nvPicPr>
        <xdr:cNvPr id="1024" name="924 Imagen" descr="seri icono.png">
          <a:extLst>
            <a:ext uri="{FF2B5EF4-FFF2-40B4-BE49-F238E27FC236}">
              <a16:creationId xmlns:a16="http://schemas.microsoft.com/office/drawing/2014/main" id="{D9C0E8C5-2563-4D54-94CE-0BAFABFDD8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3306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626</xdr:row>
      <xdr:rowOff>19050</xdr:rowOff>
    </xdr:from>
    <xdr:ext cx="819150" cy="123825"/>
    <xdr:pic>
      <xdr:nvPicPr>
        <xdr:cNvPr id="1049" name="622 Imagen" descr="laser icono.png">
          <a:extLst>
            <a:ext uri="{FF2B5EF4-FFF2-40B4-BE49-F238E27FC236}">
              <a16:creationId xmlns:a16="http://schemas.microsoft.com/office/drawing/2014/main" id="{E9DCD936-D695-4ED6-8F91-2F5E6477B4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2824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415</xdr:row>
      <xdr:rowOff>19050</xdr:rowOff>
    </xdr:from>
    <xdr:to>
      <xdr:col>24</xdr:col>
      <xdr:colOff>47625</xdr:colOff>
      <xdr:row>415</xdr:row>
      <xdr:rowOff>142875</xdr:rowOff>
    </xdr:to>
    <xdr:pic>
      <xdr:nvPicPr>
        <xdr:cNvPr id="1063" name="293 Imagen" descr="dome icono.png">
          <a:extLst>
            <a:ext uri="{FF2B5EF4-FFF2-40B4-BE49-F238E27FC236}">
              <a16:creationId xmlns:a16="http://schemas.microsoft.com/office/drawing/2014/main" id="{B1101479-DA06-412D-95BB-FBE43670EC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78895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588</xdr:row>
      <xdr:rowOff>20292</xdr:rowOff>
    </xdr:from>
    <xdr:ext cx="819150" cy="123825"/>
    <xdr:pic>
      <xdr:nvPicPr>
        <xdr:cNvPr id="984" name="439 Imagen" descr="sublimacion icono.png">
          <a:extLst>
            <a:ext uri="{FF2B5EF4-FFF2-40B4-BE49-F238E27FC236}">
              <a16:creationId xmlns:a16="http://schemas.microsoft.com/office/drawing/2014/main" id="{0FA9E6BF-97F1-48FB-A837-659B6D7AA1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9938" y="8596064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589</xdr:row>
      <xdr:rowOff>20292</xdr:rowOff>
    </xdr:from>
    <xdr:ext cx="819150" cy="123825"/>
    <xdr:pic>
      <xdr:nvPicPr>
        <xdr:cNvPr id="1032" name="439 Imagen" descr="sublimacion icono.png">
          <a:extLst>
            <a:ext uri="{FF2B5EF4-FFF2-40B4-BE49-F238E27FC236}">
              <a16:creationId xmlns:a16="http://schemas.microsoft.com/office/drawing/2014/main" id="{0FA9E6BF-97F1-48FB-A837-659B6D7AA1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9938" y="86109727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198</xdr:row>
      <xdr:rowOff>19050</xdr:rowOff>
    </xdr:from>
    <xdr:to>
      <xdr:col>24</xdr:col>
      <xdr:colOff>47625</xdr:colOff>
      <xdr:row>198</xdr:row>
      <xdr:rowOff>142875</xdr:rowOff>
    </xdr:to>
    <xdr:pic>
      <xdr:nvPicPr>
        <xdr:cNvPr id="1081" name="771 Imagen" descr="seri icono.png">
          <a:extLst>
            <a:ext uri="{FF2B5EF4-FFF2-40B4-BE49-F238E27FC236}">
              <a16:creationId xmlns:a16="http://schemas.microsoft.com/office/drawing/2014/main" id="{DAD49756-2E19-4232-A8FB-B22DDDB6C9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0899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200</xdr:row>
      <xdr:rowOff>19050</xdr:rowOff>
    </xdr:from>
    <xdr:to>
      <xdr:col>24</xdr:col>
      <xdr:colOff>47625</xdr:colOff>
      <xdr:row>200</xdr:row>
      <xdr:rowOff>142875</xdr:rowOff>
    </xdr:to>
    <xdr:pic>
      <xdr:nvPicPr>
        <xdr:cNvPr id="1082" name="765 Imagen" descr="seri icono.png">
          <a:extLst>
            <a:ext uri="{FF2B5EF4-FFF2-40B4-BE49-F238E27FC236}">
              <a16:creationId xmlns:a16="http://schemas.microsoft.com/office/drawing/2014/main" id="{8988DF02-C87F-4315-BE6C-E457735D2D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1356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623</xdr:row>
      <xdr:rowOff>19050</xdr:rowOff>
    </xdr:from>
    <xdr:to>
      <xdr:col>24</xdr:col>
      <xdr:colOff>47625</xdr:colOff>
      <xdr:row>623</xdr:row>
      <xdr:rowOff>142875</xdr:rowOff>
    </xdr:to>
    <xdr:pic>
      <xdr:nvPicPr>
        <xdr:cNvPr id="1083" name="620 Imagen" descr="laser icono.png">
          <a:extLst>
            <a:ext uri="{FF2B5EF4-FFF2-40B4-BE49-F238E27FC236}">
              <a16:creationId xmlns:a16="http://schemas.microsoft.com/office/drawing/2014/main" id="{45FD4C15-BDDF-4841-9AB5-7CD787B13D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2367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12</xdr:row>
      <xdr:rowOff>19050</xdr:rowOff>
    </xdr:from>
    <xdr:to>
      <xdr:col>24</xdr:col>
      <xdr:colOff>47625</xdr:colOff>
      <xdr:row>12</xdr:row>
      <xdr:rowOff>142875</xdr:rowOff>
    </xdr:to>
    <xdr:pic>
      <xdr:nvPicPr>
        <xdr:cNvPr id="1085" name="1057 Imagen" descr="laser fibra icono.png">
          <a:extLst>
            <a:ext uri="{FF2B5EF4-FFF2-40B4-BE49-F238E27FC236}">
              <a16:creationId xmlns:a16="http://schemas.microsoft.com/office/drawing/2014/main" id="{5DC52DFE-C891-4C06-AADA-8EBEDF0308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2590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447</xdr:row>
      <xdr:rowOff>19050</xdr:rowOff>
    </xdr:from>
    <xdr:to>
      <xdr:col>24</xdr:col>
      <xdr:colOff>47625</xdr:colOff>
      <xdr:row>447</xdr:row>
      <xdr:rowOff>142875</xdr:rowOff>
    </xdr:to>
    <xdr:pic>
      <xdr:nvPicPr>
        <xdr:cNvPr id="1002" name="337 Imagen" descr="laser fibra icono.png">
          <a:extLst>
            <a:ext uri="{FF2B5EF4-FFF2-40B4-BE49-F238E27FC236}">
              <a16:creationId xmlns:a16="http://schemas.microsoft.com/office/drawing/2014/main" id="{8504D109-95E7-49E6-9F49-7E0269928A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4647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340</xdr:row>
      <xdr:rowOff>28575</xdr:rowOff>
    </xdr:from>
    <xdr:to>
      <xdr:col>1</xdr:col>
      <xdr:colOff>0</xdr:colOff>
      <xdr:row>340</xdr:row>
      <xdr:rowOff>133350</xdr:rowOff>
    </xdr:to>
    <xdr:pic>
      <xdr:nvPicPr>
        <xdr:cNvPr id="1088" name="222 Imagen" descr="oferta icono.png">
          <a:extLst>
            <a:ext uri="{FF2B5EF4-FFF2-40B4-BE49-F238E27FC236}">
              <a16:creationId xmlns:a16="http://schemas.microsoft.com/office/drawing/2014/main" id="{3E96CCA1-0FD5-4D0A-BD9D-85B022678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74655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450</xdr:row>
      <xdr:rowOff>19050</xdr:rowOff>
    </xdr:from>
    <xdr:ext cx="819150" cy="123825"/>
    <xdr:pic>
      <xdr:nvPicPr>
        <xdr:cNvPr id="1093" name="365 Imagen" descr="laser fibra icono.png">
          <a:extLst>
            <a:ext uri="{FF2B5EF4-FFF2-40B4-BE49-F238E27FC236}">
              <a16:creationId xmlns:a16="http://schemas.microsoft.com/office/drawing/2014/main" id="{6239FBFC-C360-4BB2-83CA-3710A8BAD1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5409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579</xdr:row>
      <xdr:rowOff>19050</xdr:rowOff>
    </xdr:from>
    <xdr:to>
      <xdr:col>24</xdr:col>
      <xdr:colOff>47625</xdr:colOff>
      <xdr:row>579</xdr:row>
      <xdr:rowOff>142875</xdr:rowOff>
    </xdr:to>
    <xdr:pic>
      <xdr:nvPicPr>
        <xdr:cNvPr id="874" name="415 Imagen" descr="sublimacion icono.png">
          <a:extLst>
            <a:ext uri="{FF2B5EF4-FFF2-40B4-BE49-F238E27FC236}">
              <a16:creationId xmlns:a16="http://schemas.microsoft.com/office/drawing/2014/main" id="{D459F3CF-05E6-44A1-9789-E68EB58CB8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868489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580</xdr:row>
      <xdr:rowOff>19050</xdr:rowOff>
    </xdr:from>
    <xdr:to>
      <xdr:col>24</xdr:col>
      <xdr:colOff>47625</xdr:colOff>
      <xdr:row>580</xdr:row>
      <xdr:rowOff>142875</xdr:rowOff>
    </xdr:to>
    <xdr:pic>
      <xdr:nvPicPr>
        <xdr:cNvPr id="875" name="415 Imagen" descr="sublimacion icono.png">
          <a:extLst>
            <a:ext uri="{FF2B5EF4-FFF2-40B4-BE49-F238E27FC236}">
              <a16:creationId xmlns:a16="http://schemas.microsoft.com/office/drawing/2014/main" id="{D459F3CF-05E6-44A1-9789-E68EB58CB8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870013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57</xdr:row>
      <xdr:rowOff>28575</xdr:rowOff>
    </xdr:from>
    <xdr:to>
      <xdr:col>1</xdr:col>
      <xdr:colOff>0</xdr:colOff>
      <xdr:row>57</xdr:row>
      <xdr:rowOff>133350</xdr:rowOff>
    </xdr:to>
    <xdr:pic>
      <xdr:nvPicPr>
        <xdr:cNvPr id="863" name="239 Imagen" descr="oferta icono.png">
          <a:extLst>
            <a:ext uri="{FF2B5EF4-FFF2-40B4-BE49-F238E27FC236}">
              <a16:creationId xmlns:a16="http://schemas.microsoft.com/office/drawing/2014/main" id="{4DA6D193-30DF-4923-82A3-D9413A14B5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4015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219</xdr:row>
      <xdr:rowOff>19050</xdr:rowOff>
    </xdr:from>
    <xdr:to>
      <xdr:col>24</xdr:col>
      <xdr:colOff>47625</xdr:colOff>
      <xdr:row>219</xdr:row>
      <xdr:rowOff>144555</xdr:rowOff>
    </xdr:to>
    <xdr:pic>
      <xdr:nvPicPr>
        <xdr:cNvPr id="942" name="706 Imagen" descr="seri icono.png">
          <a:extLst>
            <a:ext uri="{FF2B5EF4-FFF2-40B4-BE49-F238E27FC236}">
              <a16:creationId xmlns:a16="http://schemas.microsoft.com/office/drawing/2014/main" id="{02C04E86-38B2-4D45-9CC7-86DA274F3A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402717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219</xdr:row>
      <xdr:rowOff>19050</xdr:rowOff>
    </xdr:from>
    <xdr:to>
      <xdr:col>26</xdr:col>
      <xdr:colOff>9524</xdr:colOff>
      <xdr:row>219</xdr:row>
      <xdr:rowOff>142875</xdr:rowOff>
    </xdr:to>
    <xdr:pic>
      <xdr:nvPicPr>
        <xdr:cNvPr id="946" name="710 Imagen" descr="tampo icono.png">
          <a:extLst>
            <a:ext uri="{FF2B5EF4-FFF2-40B4-BE49-F238E27FC236}">
              <a16:creationId xmlns:a16="http://schemas.microsoft.com/office/drawing/2014/main" id="{16734E87-DB15-4DE6-8EE4-0EB6054D11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39052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296</xdr:row>
      <xdr:rowOff>19050</xdr:rowOff>
    </xdr:from>
    <xdr:to>
      <xdr:col>24</xdr:col>
      <xdr:colOff>47625</xdr:colOff>
      <xdr:row>296</xdr:row>
      <xdr:rowOff>142875</xdr:rowOff>
    </xdr:to>
    <xdr:pic>
      <xdr:nvPicPr>
        <xdr:cNvPr id="976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528256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297</xdr:row>
      <xdr:rowOff>19050</xdr:rowOff>
    </xdr:from>
    <xdr:ext cx="828675" cy="123825"/>
    <xdr:pic>
      <xdr:nvPicPr>
        <xdr:cNvPr id="1009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9587150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506</xdr:row>
      <xdr:rowOff>19050</xdr:rowOff>
    </xdr:from>
    <xdr:to>
      <xdr:col>24</xdr:col>
      <xdr:colOff>48389</xdr:colOff>
      <xdr:row>506</xdr:row>
      <xdr:rowOff>140970</xdr:rowOff>
    </xdr:to>
    <xdr:pic>
      <xdr:nvPicPr>
        <xdr:cNvPr id="923" name="Imagen 922"/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2638900"/>
          <a:ext cx="819914" cy="121920"/>
        </a:xfrm>
        <a:prstGeom prst="rect">
          <a:avLst/>
        </a:prstGeom>
      </xdr:spPr>
    </xdr:pic>
    <xdr:clientData/>
  </xdr:twoCellAnchor>
  <xdr:twoCellAnchor editAs="oneCell">
    <xdr:from>
      <xdr:col>23</xdr:col>
      <xdr:colOff>9525</xdr:colOff>
      <xdr:row>501</xdr:row>
      <xdr:rowOff>19050</xdr:rowOff>
    </xdr:from>
    <xdr:to>
      <xdr:col>24</xdr:col>
      <xdr:colOff>48389</xdr:colOff>
      <xdr:row>501</xdr:row>
      <xdr:rowOff>140970</xdr:rowOff>
    </xdr:to>
    <xdr:pic>
      <xdr:nvPicPr>
        <xdr:cNvPr id="926" name="Imagen 925"/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1876900"/>
          <a:ext cx="819914" cy="121920"/>
        </a:xfrm>
        <a:prstGeom prst="rect">
          <a:avLst/>
        </a:prstGeom>
      </xdr:spPr>
    </xdr:pic>
    <xdr:clientData/>
  </xdr:twoCellAnchor>
  <xdr:oneCellAnchor>
    <xdr:from>
      <xdr:col>23</xdr:col>
      <xdr:colOff>9525</xdr:colOff>
      <xdr:row>498</xdr:row>
      <xdr:rowOff>19050</xdr:rowOff>
    </xdr:from>
    <xdr:ext cx="819914" cy="121920"/>
    <xdr:pic>
      <xdr:nvPicPr>
        <xdr:cNvPr id="977" name="Imagen 976"/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2181700"/>
          <a:ext cx="819914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510</xdr:row>
      <xdr:rowOff>19050</xdr:rowOff>
    </xdr:from>
    <xdr:ext cx="819914" cy="121920"/>
    <xdr:pic>
      <xdr:nvPicPr>
        <xdr:cNvPr id="1041" name="Imagen 1040"/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3705700"/>
          <a:ext cx="819914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509</xdr:row>
      <xdr:rowOff>19050</xdr:rowOff>
    </xdr:from>
    <xdr:to>
      <xdr:col>24</xdr:col>
      <xdr:colOff>47625</xdr:colOff>
      <xdr:row>509</xdr:row>
      <xdr:rowOff>144555</xdr:rowOff>
    </xdr:to>
    <xdr:pic>
      <xdr:nvPicPr>
        <xdr:cNvPr id="1046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835533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282</xdr:row>
      <xdr:rowOff>19050</xdr:rowOff>
    </xdr:from>
    <xdr:ext cx="819150" cy="123825"/>
    <xdr:pic>
      <xdr:nvPicPr>
        <xdr:cNvPr id="849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6634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254</xdr:row>
      <xdr:rowOff>19050</xdr:rowOff>
    </xdr:from>
    <xdr:ext cx="819150" cy="123825"/>
    <xdr:pic>
      <xdr:nvPicPr>
        <xdr:cNvPr id="838" name="664 Imagen" descr="seri icono.png">
          <a:extLst>
            <a:ext uri="{FF2B5EF4-FFF2-40B4-BE49-F238E27FC236}">
              <a16:creationId xmlns:a16="http://schemas.microsoft.com/office/drawing/2014/main" id="{D4B2D144-6D90-4D88-9950-82413AFE7A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05675" y="41948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298</xdr:row>
      <xdr:rowOff>19050</xdr:rowOff>
    </xdr:from>
    <xdr:ext cx="828675" cy="123825"/>
    <xdr:pic>
      <xdr:nvPicPr>
        <xdr:cNvPr id="934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9739550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290</xdr:row>
      <xdr:rowOff>19050</xdr:rowOff>
    </xdr:from>
    <xdr:ext cx="828675" cy="123825"/>
    <xdr:pic>
      <xdr:nvPicPr>
        <xdr:cNvPr id="971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7396400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392</xdr:row>
      <xdr:rowOff>19050</xdr:rowOff>
    </xdr:from>
    <xdr:to>
      <xdr:col>24</xdr:col>
      <xdr:colOff>47625</xdr:colOff>
      <xdr:row>392</xdr:row>
      <xdr:rowOff>142875</xdr:rowOff>
    </xdr:to>
    <xdr:pic>
      <xdr:nvPicPr>
        <xdr:cNvPr id="1055" name="306 Imagen" descr="laser icono.png">
          <a:extLst>
            <a:ext uri="{FF2B5EF4-FFF2-40B4-BE49-F238E27FC236}">
              <a16:creationId xmlns:a16="http://schemas.microsoft.com/office/drawing/2014/main" id="{154362FE-74D2-4FE9-BCA8-1BFDFA4EB7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8399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590</xdr:row>
      <xdr:rowOff>20292</xdr:rowOff>
    </xdr:from>
    <xdr:ext cx="819150" cy="123825"/>
    <xdr:pic>
      <xdr:nvPicPr>
        <xdr:cNvPr id="860" name="439 Imagen" descr="sublimacion icono.png">
          <a:extLst>
            <a:ext uri="{FF2B5EF4-FFF2-40B4-BE49-F238E27FC236}">
              <a16:creationId xmlns:a16="http://schemas.microsoft.com/office/drawing/2014/main" id="{0FA9E6BF-97F1-48FB-A837-659B6D7AA1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9938" y="86258814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10</xdr:col>
      <xdr:colOff>9525</xdr:colOff>
      <xdr:row>51</xdr:row>
      <xdr:rowOff>19050</xdr:rowOff>
    </xdr:from>
    <xdr:to>
      <xdr:col>13</xdr:col>
      <xdr:colOff>9524</xdr:colOff>
      <xdr:row>51</xdr:row>
      <xdr:rowOff>142875</xdr:rowOff>
    </xdr:to>
    <xdr:pic>
      <xdr:nvPicPr>
        <xdr:cNvPr id="1054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14850" y="8534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134</xdr:row>
      <xdr:rowOff>19050</xdr:rowOff>
    </xdr:from>
    <xdr:to>
      <xdr:col>10</xdr:col>
      <xdr:colOff>1</xdr:colOff>
      <xdr:row>134</xdr:row>
      <xdr:rowOff>142875</xdr:rowOff>
    </xdr:to>
    <xdr:pic>
      <xdr:nvPicPr>
        <xdr:cNvPr id="1071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20621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135</xdr:row>
      <xdr:rowOff>19050</xdr:rowOff>
    </xdr:from>
    <xdr:to>
      <xdr:col>10</xdr:col>
      <xdr:colOff>1</xdr:colOff>
      <xdr:row>135</xdr:row>
      <xdr:rowOff>142875</xdr:rowOff>
    </xdr:to>
    <xdr:pic>
      <xdr:nvPicPr>
        <xdr:cNvPr id="1072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20774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136</xdr:row>
      <xdr:rowOff>19050</xdr:rowOff>
    </xdr:from>
    <xdr:to>
      <xdr:col>10</xdr:col>
      <xdr:colOff>1</xdr:colOff>
      <xdr:row>136</xdr:row>
      <xdr:rowOff>142875</xdr:rowOff>
    </xdr:to>
    <xdr:pic>
      <xdr:nvPicPr>
        <xdr:cNvPr id="1073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2077402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591</xdr:row>
      <xdr:rowOff>19050</xdr:rowOff>
    </xdr:from>
    <xdr:to>
      <xdr:col>10</xdr:col>
      <xdr:colOff>1</xdr:colOff>
      <xdr:row>591</xdr:row>
      <xdr:rowOff>142875</xdr:rowOff>
    </xdr:to>
    <xdr:pic>
      <xdr:nvPicPr>
        <xdr:cNvPr id="1098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7410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592</xdr:row>
      <xdr:rowOff>19050</xdr:rowOff>
    </xdr:from>
    <xdr:to>
      <xdr:col>10</xdr:col>
      <xdr:colOff>1</xdr:colOff>
      <xdr:row>592</xdr:row>
      <xdr:rowOff>142875</xdr:rowOff>
    </xdr:to>
    <xdr:pic>
      <xdr:nvPicPr>
        <xdr:cNvPr id="1099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75633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593</xdr:row>
      <xdr:rowOff>19050</xdr:rowOff>
    </xdr:from>
    <xdr:to>
      <xdr:col>10</xdr:col>
      <xdr:colOff>1</xdr:colOff>
      <xdr:row>593</xdr:row>
      <xdr:rowOff>142875</xdr:rowOff>
    </xdr:to>
    <xdr:pic>
      <xdr:nvPicPr>
        <xdr:cNvPr id="1100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77157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594</xdr:row>
      <xdr:rowOff>19050</xdr:rowOff>
    </xdr:from>
    <xdr:to>
      <xdr:col>10</xdr:col>
      <xdr:colOff>1</xdr:colOff>
      <xdr:row>594</xdr:row>
      <xdr:rowOff>142875</xdr:rowOff>
    </xdr:to>
    <xdr:pic>
      <xdr:nvPicPr>
        <xdr:cNvPr id="1101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7868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595</xdr:row>
      <xdr:rowOff>19050</xdr:rowOff>
    </xdr:from>
    <xdr:to>
      <xdr:col>10</xdr:col>
      <xdr:colOff>1</xdr:colOff>
      <xdr:row>595</xdr:row>
      <xdr:rowOff>142875</xdr:rowOff>
    </xdr:to>
    <xdr:pic>
      <xdr:nvPicPr>
        <xdr:cNvPr id="1102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8020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596</xdr:row>
      <xdr:rowOff>19050</xdr:rowOff>
    </xdr:from>
    <xdr:to>
      <xdr:col>10</xdr:col>
      <xdr:colOff>1</xdr:colOff>
      <xdr:row>596</xdr:row>
      <xdr:rowOff>142875</xdr:rowOff>
    </xdr:to>
    <xdr:pic>
      <xdr:nvPicPr>
        <xdr:cNvPr id="1103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8172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615</xdr:row>
      <xdr:rowOff>19050</xdr:rowOff>
    </xdr:from>
    <xdr:to>
      <xdr:col>10</xdr:col>
      <xdr:colOff>1</xdr:colOff>
      <xdr:row>615</xdr:row>
      <xdr:rowOff>142875</xdr:rowOff>
    </xdr:to>
    <xdr:pic>
      <xdr:nvPicPr>
        <xdr:cNvPr id="1104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459277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616</xdr:row>
      <xdr:rowOff>19050</xdr:rowOff>
    </xdr:from>
    <xdr:to>
      <xdr:col>10</xdr:col>
      <xdr:colOff>1</xdr:colOff>
      <xdr:row>616</xdr:row>
      <xdr:rowOff>142875</xdr:rowOff>
    </xdr:to>
    <xdr:pic>
      <xdr:nvPicPr>
        <xdr:cNvPr id="1105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1544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617</xdr:row>
      <xdr:rowOff>19050</xdr:rowOff>
    </xdr:from>
    <xdr:to>
      <xdr:col>10</xdr:col>
      <xdr:colOff>1</xdr:colOff>
      <xdr:row>617</xdr:row>
      <xdr:rowOff>142875</xdr:rowOff>
    </xdr:to>
    <xdr:pic>
      <xdr:nvPicPr>
        <xdr:cNvPr id="1106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1697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610</xdr:row>
      <xdr:rowOff>19050</xdr:rowOff>
    </xdr:from>
    <xdr:to>
      <xdr:col>10</xdr:col>
      <xdr:colOff>1</xdr:colOff>
      <xdr:row>610</xdr:row>
      <xdr:rowOff>142875</xdr:rowOff>
    </xdr:to>
    <xdr:pic>
      <xdr:nvPicPr>
        <xdr:cNvPr id="1107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91497150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581</xdr:row>
      <xdr:rowOff>19050</xdr:rowOff>
    </xdr:from>
    <xdr:to>
      <xdr:col>24</xdr:col>
      <xdr:colOff>47625</xdr:colOff>
      <xdr:row>581</xdr:row>
      <xdr:rowOff>142875</xdr:rowOff>
    </xdr:to>
    <xdr:pic>
      <xdr:nvPicPr>
        <xdr:cNvPr id="857" name="427 Imagen" descr="sublimacion icono.png">
          <a:extLst>
            <a:ext uri="{FF2B5EF4-FFF2-40B4-BE49-F238E27FC236}">
              <a16:creationId xmlns:a16="http://schemas.microsoft.com/office/drawing/2014/main" id="{34C797C0-B7B1-49CC-AB46-6EB7EE1345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876109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37</xdr:row>
      <xdr:rowOff>19050</xdr:rowOff>
    </xdr:from>
    <xdr:ext cx="1190625" cy="123825"/>
    <xdr:pic>
      <xdr:nvPicPr>
        <xdr:cNvPr id="1027" name="1019 Imagen" descr="DOME UN LADO.png">
          <a:extLst>
            <a:ext uri="{FF2B5EF4-FFF2-40B4-BE49-F238E27FC236}">
              <a16:creationId xmlns:a16="http://schemas.microsoft.com/office/drawing/2014/main" id="{2B2A6C7D-CDFE-46D9-BC93-61EB76E6C0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62484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38</xdr:row>
      <xdr:rowOff>19050</xdr:rowOff>
    </xdr:from>
    <xdr:ext cx="1190625" cy="123825"/>
    <xdr:pic>
      <xdr:nvPicPr>
        <xdr:cNvPr id="1029" name="1019 Imagen" descr="DOME UN LADO.png">
          <a:extLst>
            <a:ext uri="{FF2B5EF4-FFF2-40B4-BE49-F238E27FC236}">
              <a16:creationId xmlns:a16="http://schemas.microsoft.com/office/drawing/2014/main" id="{2B2A6C7D-CDFE-46D9-BC93-61EB76E6C0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67056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493</xdr:row>
      <xdr:rowOff>19050</xdr:rowOff>
    </xdr:from>
    <xdr:ext cx="819914" cy="121920"/>
    <xdr:pic>
      <xdr:nvPicPr>
        <xdr:cNvPr id="1096" name="Imagen 1095"/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4725" y="82153125"/>
          <a:ext cx="819914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91</xdr:row>
      <xdr:rowOff>19050</xdr:rowOff>
    </xdr:from>
    <xdr:to>
      <xdr:col>24</xdr:col>
      <xdr:colOff>47625</xdr:colOff>
      <xdr:row>91</xdr:row>
      <xdr:rowOff>142875</xdr:rowOff>
    </xdr:to>
    <xdr:pic>
      <xdr:nvPicPr>
        <xdr:cNvPr id="1122" name="1048 Imagen" descr="laser un lado icono.png">
          <a:extLst>
            <a:ext uri="{FF2B5EF4-FFF2-40B4-BE49-F238E27FC236}">
              <a16:creationId xmlns:a16="http://schemas.microsoft.com/office/drawing/2014/main" id="{F7A43007-A731-4DCE-BE0A-3E6ADD4A32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4373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93</xdr:row>
      <xdr:rowOff>19050</xdr:rowOff>
    </xdr:from>
    <xdr:to>
      <xdr:col>1</xdr:col>
      <xdr:colOff>0</xdr:colOff>
      <xdr:row>93</xdr:row>
      <xdr:rowOff>123825</xdr:rowOff>
    </xdr:to>
    <xdr:pic>
      <xdr:nvPicPr>
        <xdr:cNvPr id="1123" name="240 Imagen" descr="oferta icono.png">
          <a:extLst>
            <a:ext uri="{FF2B5EF4-FFF2-40B4-BE49-F238E27FC236}">
              <a16:creationId xmlns:a16="http://schemas.microsoft.com/office/drawing/2014/main" id="{8651C8C1-883D-49E3-AEF7-6E97CDEF18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2020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597</xdr:row>
      <xdr:rowOff>19050</xdr:rowOff>
    </xdr:from>
    <xdr:to>
      <xdr:col>10</xdr:col>
      <xdr:colOff>1</xdr:colOff>
      <xdr:row>597</xdr:row>
      <xdr:rowOff>142875</xdr:rowOff>
    </xdr:to>
    <xdr:pic>
      <xdr:nvPicPr>
        <xdr:cNvPr id="844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83253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598</xdr:row>
      <xdr:rowOff>19050</xdr:rowOff>
    </xdr:from>
    <xdr:to>
      <xdr:col>10</xdr:col>
      <xdr:colOff>1</xdr:colOff>
      <xdr:row>598</xdr:row>
      <xdr:rowOff>142875</xdr:rowOff>
    </xdr:to>
    <xdr:pic>
      <xdr:nvPicPr>
        <xdr:cNvPr id="889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84777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599</xdr:row>
      <xdr:rowOff>19050</xdr:rowOff>
    </xdr:from>
    <xdr:to>
      <xdr:col>10</xdr:col>
      <xdr:colOff>1</xdr:colOff>
      <xdr:row>599</xdr:row>
      <xdr:rowOff>142875</xdr:rowOff>
    </xdr:to>
    <xdr:pic>
      <xdr:nvPicPr>
        <xdr:cNvPr id="917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8630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600</xdr:row>
      <xdr:rowOff>19050</xdr:rowOff>
    </xdr:from>
    <xdr:to>
      <xdr:col>10</xdr:col>
      <xdr:colOff>1</xdr:colOff>
      <xdr:row>600</xdr:row>
      <xdr:rowOff>142875</xdr:rowOff>
    </xdr:to>
    <xdr:pic>
      <xdr:nvPicPr>
        <xdr:cNvPr id="940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8782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601</xdr:row>
      <xdr:rowOff>19050</xdr:rowOff>
    </xdr:from>
    <xdr:to>
      <xdr:col>10</xdr:col>
      <xdr:colOff>1</xdr:colOff>
      <xdr:row>601</xdr:row>
      <xdr:rowOff>142875</xdr:rowOff>
    </xdr:to>
    <xdr:pic>
      <xdr:nvPicPr>
        <xdr:cNvPr id="959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8934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602</xdr:row>
      <xdr:rowOff>19050</xdr:rowOff>
    </xdr:from>
    <xdr:to>
      <xdr:col>10</xdr:col>
      <xdr:colOff>1</xdr:colOff>
      <xdr:row>602</xdr:row>
      <xdr:rowOff>142875</xdr:rowOff>
    </xdr:to>
    <xdr:pic>
      <xdr:nvPicPr>
        <xdr:cNvPr id="994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90873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603</xdr:row>
      <xdr:rowOff>19050</xdr:rowOff>
    </xdr:from>
    <xdr:to>
      <xdr:col>10</xdr:col>
      <xdr:colOff>1</xdr:colOff>
      <xdr:row>603</xdr:row>
      <xdr:rowOff>142875</xdr:rowOff>
    </xdr:to>
    <xdr:pic>
      <xdr:nvPicPr>
        <xdr:cNvPr id="998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92397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648</xdr:row>
      <xdr:rowOff>19050</xdr:rowOff>
    </xdr:from>
    <xdr:to>
      <xdr:col>10</xdr:col>
      <xdr:colOff>1</xdr:colOff>
      <xdr:row>648</xdr:row>
      <xdr:rowOff>142875</xdr:rowOff>
    </xdr:to>
    <xdr:pic>
      <xdr:nvPicPr>
        <xdr:cNvPr id="1010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4135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279</xdr:row>
      <xdr:rowOff>19050</xdr:rowOff>
    </xdr:from>
    <xdr:ext cx="819150" cy="123825"/>
    <xdr:pic>
      <xdr:nvPicPr>
        <xdr:cNvPr id="900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5567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133350</xdr:colOff>
      <xdr:row>69</xdr:row>
      <xdr:rowOff>19050</xdr:rowOff>
    </xdr:from>
    <xdr:ext cx="333375" cy="123825"/>
    <xdr:pic>
      <xdr:nvPicPr>
        <xdr:cNvPr id="905" name="967 Imagen" descr="20x20 icono.png">
          <a:extLst>
            <a:ext uri="{FF2B5EF4-FFF2-40B4-BE49-F238E27FC236}">
              <a16:creationId xmlns:a16="http://schemas.microsoft.com/office/drawing/2014/main" id="{3EDA40D1-6AC7-426A-87BA-83BEDEBAF0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29600" y="13001625"/>
          <a:ext cx="3333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609600</xdr:colOff>
      <xdr:row>68</xdr:row>
      <xdr:rowOff>19050</xdr:rowOff>
    </xdr:from>
    <xdr:ext cx="285750" cy="123825"/>
    <xdr:pic>
      <xdr:nvPicPr>
        <xdr:cNvPr id="911" name="975 Imagen" descr="20 diam icono.png">
          <a:extLst>
            <a:ext uri="{FF2B5EF4-FFF2-40B4-BE49-F238E27FC236}">
              <a16:creationId xmlns:a16="http://schemas.microsoft.com/office/drawing/2014/main" id="{58E50558-5CD2-4100-8EA4-61D086F516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0" y="12849225"/>
          <a:ext cx="2857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209550</xdr:colOff>
      <xdr:row>68</xdr:row>
      <xdr:rowOff>19050</xdr:rowOff>
    </xdr:from>
    <xdr:ext cx="619319" cy="123825"/>
    <xdr:pic>
      <xdr:nvPicPr>
        <xdr:cNvPr id="922" name="979 Imagen" descr="niquelado icono.png">
          <a:extLst>
            <a:ext uri="{FF2B5EF4-FFF2-40B4-BE49-F238E27FC236}">
              <a16:creationId xmlns:a16="http://schemas.microsoft.com/office/drawing/2014/main" id="{6D0E65DD-D581-46C5-8303-8C6D7CFA4F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13001625"/>
          <a:ext cx="61931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25</xdr:col>
      <xdr:colOff>342900</xdr:colOff>
      <xdr:row>68</xdr:row>
      <xdr:rowOff>19050</xdr:rowOff>
    </xdr:from>
    <xdr:ext cx="323850" cy="123825"/>
    <xdr:pic>
      <xdr:nvPicPr>
        <xdr:cNvPr id="947" name="964 Imagen" descr="17x17 icono.png">
          <a:extLst>
            <a:ext uri="{FF2B5EF4-FFF2-40B4-BE49-F238E27FC236}">
              <a16:creationId xmlns:a16="http://schemas.microsoft.com/office/drawing/2014/main" id="{08A8A50C-4620-4A6C-9791-0C7F647284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34450" y="12849225"/>
          <a:ext cx="3238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19050</xdr:colOff>
      <xdr:row>68</xdr:row>
      <xdr:rowOff>19050</xdr:rowOff>
    </xdr:from>
    <xdr:ext cx="533400" cy="123825"/>
    <xdr:pic>
      <xdr:nvPicPr>
        <xdr:cNvPr id="949" name="979 Imagen" descr="MEDIDAS ICONO.png">
          <a:extLst>
            <a:ext uri="{FF2B5EF4-FFF2-40B4-BE49-F238E27FC236}">
              <a16:creationId xmlns:a16="http://schemas.microsoft.com/office/drawing/2014/main" id="{5D4DDED2-345A-4B37-A289-018DAA9ED7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2849225"/>
          <a:ext cx="5334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24</xdr:col>
      <xdr:colOff>485775</xdr:colOff>
      <xdr:row>70</xdr:row>
      <xdr:rowOff>19050</xdr:rowOff>
    </xdr:from>
    <xdr:to>
      <xdr:col>25</xdr:col>
      <xdr:colOff>323849</xdr:colOff>
      <xdr:row>70</xdr:row>
      <xdr:rowOff>142875</xdr:rowOff>
    </xdr:to>
    <xdr:pic>
      <xdr:nvPicPr>
        <xdr:cNvPr id="966" name="973 Imagen" descr="20x15 icono.png">
          <a:extLst>
            <a:ext uri="{FF2B5EF4-FFF2-40B4-BE49-F238E27FC236}">
              <a16:creationId xmlns:a16="http://schemas.microsoft.com/office/drawing/2014/main" id="{C8126CB2-95FF-4EB0-9BF2-CAB2317CCF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82025" y="13154025"/>
          <a:ext cx="3333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609600</xdr:colOff>
      <xdr:row>70</xdr:row>
      <xdr:rowOff>19050</xdr:rowOff>
    </xdr:from>
    <xdr:to>
      <xdr:col>24</xdr:col>
      <xdr:colOff>114300</xdr:colOff>
      <xdr:row>70</xdr:row>
      <xdr:rowOff>142875</xdr:rowOff>
    </xdr:to>
    <xdr:pic>
      <xdr:nvPicPr>
        <xdr:cNvPr id="969" name="976 Imagen" descr="25 diam icono.png">
          <a:extLst>
            <a:ext uri="{FF2B5EF4-FFF2-40B4-BE49-F238E27FC236}">
              <a16:creationId xmlns:a16="http://schemas.microsoft.com/office/drawing/2014/main" id="{9E131C1A-0EF3-4B29-BC05-EDCA2E39CC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0" y="13154025"/>
          <a:ext cx="2857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19050</xdr:colOff>
      <xdr:row>70</xdr:row>
      <xdr:rowOff>19050</xdr:rowOff>
    </xdr:from>
    <xdr:to>
      <xdr:col>23</xdr:col>
      <xdr:colOff>552450</xdr:colOff>
      <xdr:row>70</xdr:row>
      <xdr:rowOff>142875</xdr:rowOff>
    </xdr:to>
    <xdr:pic>
      <xdr:nvPicPr>
        <xdr:cNvPr id="985" name="979 Imagen" descr="MEDIDAS ICONO.png">
          <a:extLst>
            <a:ext uri="{FF2B5EF4-FFF2-40B4-BE49-F238E27FC236}">
              <a16:creationId xmlns:a16="http://schemas.microsoft.com/office/drawing/2014/main" id="{5D4DDED2-345A-4B37-A289-018DAA9ED7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3154025"/>
          <a:ext cx="5334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24</xdr:col>
      <xdr:colOff>133350</xdr:colOff>
      <xdr:row>70</xdr:row>
      <xdr:rowOff>19050</xdr:rowOff>
    </xdr:from>
    <xdr:ext cx="333375" cy="123825"/>
    <xdr:pic>
      <xdr:nvPicPr>
        <xdr:cNvPr id="997" name="967 Imagen" descr="20x20 icono.png">
          <a:extLst>
            <a:ext uri="{FF2B5EF4-FFF2-40B4-BE49-F238E27FC236}">
              <a16:creationId xmlns:a16="http://schemas.microsoft.com/office/drawing/2014/main" id="{3EDA40D1-6AC7-426A-87BA-83BEDEBAF0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29600" y="13154025"/>
          <a:ext cx="3333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206</xdr:row>
      <xdr:rowOff>28575</xdr:rowOff>
    </xdr:from>
    <xdr:to>
      <xdr:col>1</xdr:col>
      <xdr:colOff>0</xdr:colOff>
      <xdr:row>206</xdr:row>
      <xdr:rowOff>133350</xdr:rowOff>
    </xdr:to>
    <xdr:pic>
      <xdr:nvPicPr>
        <xdr:cNvPr id="914" name="235 Imagen" descr="oferta icono.png">
          <a:extLst>
            <a:ext uri="{FF2B5EF4-FFF2-40B4-BE49-F238E27FC236}">
              <a16:creationId xmlns:a16="http://schemas.microsoft.com/office/drawing/2014/main" id="{9E3CA306-CFC8-4AA4-8FCC-5F7C665FB7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2804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205</xdr:row>
      <xdr:rowOff>19050</xdr:rowOff>
    </xdr:from>
    <xdr:to>
      <xdr:col>10</xdr:col>
      <xdr:colOff>1</xdr:colOff>
      <xdr:row>205</xdr:row>
      <xdr:rowOff>142875</xdr:rowOff>
    </xdr:to>
    <xdr:pic>
      <xdr:nvPicPr>
        <xdr:cNvPr id="832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8075" y="3165157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203</xdr:row>
      <xdr:rowOff>19050</xdr:rowOff>
    </xdr:from>
    <xdr:ext cx="819150" cy="123825"/>
    <xdr:pic>
      <xdr:nvPicPr>
        <xdr:cNvPr id="878" name="764 Imagen" descr="seri icono.png">
          <a:extLst>
            <a:ext uri="{FF2B5EF4-FFF2-40B4-BE49-F238E27FC236}">
              <a16:creationId xmlns:a16="http://schemas.microsoft.com/office/drawing/2014/main" id="{9F03D5B2-AEA3-42C2-9915-27D07A53F1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1813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261</xdr:row>
      <xdr:rowOff>19050</xdr:rowOff>
    </xdr:from>
    <xdr:to>
      <xdr:col>24</xdr:col>
      <xdr:colOff>47625</xdr:colOff>
      <xdr:row>261</xdr:row>
      <xdr:rowOff>142875</xdr:rowOff>
    </xdr:to>
    <xdr:pic>
      <xdr:nvPicPr>
        <xdr:cNvPr id="908" name="644 Imagen" descr="seri icono.png">
          <a:extLst>
            <a:ext uri="{FF2B5EF4-FFF2-40B4-BE49-F238E27FC236}">
              <a16:creationId xmlns:a16="http://schemas.microsoft.com/office/drawing/2014/main" id="{40E98DEB-CF6F-461C-8332-16587C866D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72350" y="43157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129</xdr:row>
      <xdr:rowOff>19050</xdr:rowOff>
    </xdr:from>
    <xdr:ext cx="819150" cy="123825"/>
    <xdr:pic>
      <xdr:nvPicPr>
        <xdr:cNvPr id="1001" name="867 Imagen" descr="laser fibra icono.png">
          <a:extLst>
            <a:ext uri="{FF2B5EF4-FFF2-40B4-BE49-F238E27FC236}">
              <a16:creationId xmlns:a16="http://schemas.microsoft.com/office/drawing/2014/main" id="{80DC8A16-3910-4D8D-BEF2-8DFB2210FC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2145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414</xdr:row>
      <xdr:rowOff>19050</xdr:rowOff>
    </xdr:from>
    <xdr:ext cx="819150" cy="123825"/>
    <xdr:pic>
      <xdr:nvPicPr>
        <xdr:cNvPr id="1031" name="932 Imagen" descr="tampo icono.png">
          <a:extLst>
            <a:ext uri="{FF2B5EF4-FFF2-40B4-BE49-F238E27FC236}">
              <a16:creationId xmlns:a16="http://schemas.microsoft.com/office/drawing/2014/main" id="{BFCD1E29-A275-4935-A4E4-4755BF583F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16659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427</xdr:row>
      <xdr:rowOff>19050</xdr:rowOff>
    </xdr:from>
    <xdr:ext cx="819150" cy="123825"/>
    <xdr:pic>
      <xdr:nvPicPr>
        <xdr:cNvPr id="1062" name="365 Imagen" descr="laser fibra icono.png">
          <a:extLst>
            <a:ext uri="{FF2B5EF4-FFF2-40B4-BE49-F238E27FC236}">
              <a16:creationId xmlns:a16="http://schemas.microsoft.com/office/drawing/2014/main" id="{6239FBFC-C360-4BB2-83CA-3710A8BAD1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72399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6</xdr:col>
      <xdr:colOff>9525</xdr:colOff>
      <xdr:row>609</xdr:row>
      <xdr:rowOff>19050</xdr:rowOff>
    </xdr:from>
    <xdr:to>
      <xdr:col>10</xdr:col>
      <xdr:colOff>1</xdr:colOff>
      <xdr:row>609</xdr:row>
      <xdr:rowOff>142875</xdr:rowOff>
    </xdr:to>
    <xdr:pic>
      <xdr:nvPicPr>
        <xdr:cNvPr id="801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0935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208</xdr:row>
      <xdr:rowOff>19050</xdr:rowOff>
    </xdr:from>
    <xdr:ext cx="819150" cy="123825"/>
    <xdr:pic>
      <xdr:nvPicPr>
        <xdr:cNvPr id="853" name="771 Imagen" descr="seri icono.png">
          <a:extLst>
            <a:ext uri="{FF2B5EF4-FFF2-40B4-BE49-F238E27FC236}">
              <a16:creationId xmlns:a16="http://schemas.microsoft.com/office/drawing/2014/main" id="{DAD49756-2E19-4232-A8FB-B22DDDB6C9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32575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508</xdr:row>
      <xdr:rowOff>19050</xdr:rowOff>
    </xdr:from>
    <xdr:ext cx="819914" cy="121920"/>
    <xdr:pic>
      <xdr:nvPicPr>
        <xdr:cNvPr id="1117" name="Imagen 1116"/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62825" y="79857600"/>
          <a:ext cx="819914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62</xdr:row>
      <xdr:rowOff>19050</xdr:rowOff>
    </xdr:from>
    <xdr:to>
      <xdr:col>24</xdr:col>
      <xdr:colOff>47624</xdr:colOff>
      <xdr:row>62</xdr:row>
      <xdr:rowOff>142875</xdr:rowOff>
    </xdr:to>
    <xdr:pic>
      <xdr:nvPicPr>
        <xdr:cNvPr id="91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00584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67</xdr:row>
      <xdr:rowOff>19050</xdr:rowOff>
    </xdr:from>
    <xdr:to>
      <xdr:col>24</xdr:col>
      <xdr:colOff>47624</xdr:colOff>
      <xdr:row>67</xdr:row>
      <xdr:rowOff>142875</xdr:rowOff>
    </xdr:to>
    <xdr:pic>
      <xdr:nvPicPr>
        <xdr:cNvPr id="101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06680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188</xdr:row>
      <xdr:rowOff>19050</xdr:rowOff>
    </xdr:from>
    <xdr:to>
      <xdr:col>24</xdr:col>
      <xdr:colOff>47625</xdr:colOff>
      <xdr:row>188</xdr:row>
      <xdr:rowOff>142875</xdr:rowOff>
    </xdr:to>
    <xdr:pic>
      <xdr:nvPicPr>
        <xdr:cNvPr id="106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29679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103</xdr:row>
      <xdr:rowOff>19050</xdr:rowOff>
    </xdr:from>
    <xdr:to>
      <xdr:col>24</xdr:col>
      <xdr:colOff>47625</xdr:colOff>
      <xdr:row>103</xdr:row>
      <xdr:rowOff>142875</xdr:rowOff>
    </xdr:to>
    <xdr:pic>
      <xdr:nvPicPr>
        <xdr:cNvPr id="111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16811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204</xdr:row>
      <xdr:rowOff>19050</xdr:rowOff>
    </xdr:from>
    <xdr:to>
      <xdr:col>24</xdr:col>
      <xdr:colOff>47625</xdr:colOff>
      <xdr:row>204</xdr:row>
      <xdr:rowOff>142875</xdr:rowOff>
    </xdr:to>
    <xdr:pic>
      <xdr:nvPicPr>
        <xdr:cNvPr id="112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1965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212</xdr:row>
      <xdr:rowOff>19050</xdr:rowOff>
    </xdr:from>
    <xdr:to>
      <xdr:col>24</xdr:col>
      <xdr:colOff>47624</xdr:colOff>
      <xdr:row>212</xdr:row>
      <xdr:rowOff>142875</xdr:rowOff>
    </xdr:to>
    <xdr:pic>
      <xdr:nvPicPr>
        <xdr:cNvPr id="113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22611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76200</xdr:colOff>
      <xdr:row>279</xdr:row>
      <xdr:rowOff>19050</xdr:rowOff>
    </xdr:from>
    <xdr:to>
      <xdr:col>25</xdr:col>
      <xdr:colOff>83819</xdr:colOff>
      <xdr:row>279</xdr:row>
      <xdr:rowOff>140970</xdr:rowOff>
    </xdr:to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55676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280</xdr:row>
      <xdr:rowOff>19050</xdr:rowOff>
    </xdr:from>
    <xdr:to>
      <xdr:col>25</xdr:col>
      <xdr:colOff>83819</xdr:colOff>
      <xdr:row>280</xdr:row>
      <xdr:rowOff>140970</xdr:rowOff>
    </xdr:to>
    <xdr:pic>
      <xdr:nvPicPr>
        <xdr:cNvPr id="1138" name="Imagen 1137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63296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281</xdr:row>
      <xdr:rowOff>19050</xdr:rowOff>
    </xdr:from>
    <xdr:to>
      <xdr:col>25</xdr:col>
      <xdr:colOff>83819</xdr:colOff>
      <xdr:row>281</xdr:row>
      <xdr:rowOff>140970</xdr:rowOff>
    </xdr:to>
    <xdr:pic>
      <xdr:nvPicPr>
        <xdr:cNvPr id="1139" name="Imagen 1138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64820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282</xdr:row>
      <xdr:rowOff>19050</xdr:rowOff>
    </xdr:from>
    <xdr:to>
      <xdr:col>25</xdr:col>
      <xdr:colOff>83819</xdr:colOff>
      <xdr:row>282</xdr:row>
      <xdr:rowOff>140970</xdr:rowOff>
    </xdr:to>
    <xdr:pic>
      <xdr:nvPicPr>
        <xdr:cNvPr id="1143" name="Imagen 1142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66344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283</xdr:row>
      <xdr:rowOff>19050</xdr:rowOff>
    </xdr:from>
    <xdr:to>
      <xdr:col>25</xdr:col>
      <xdr:colOff>83819</xdr:colOff>
      <xdr:row>283</xdr:row>
      <xdr:rowOff>140970</xdr:rowOff>
    </xdr:to>
    <xdr:pic>
      <xdr:nvPicPr>
        <xdr:cNvPr id="1144" name="Imagen 1143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67868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284</xdr:row>
      <xdr:rowOff>19050</xdr:rowOff>
    </xdr:from>
    <xdr:to>
      <xdr:col>25</xdr:col>
      <xdr:colOff>83819</xdr:colOff>
      <xdr:row>284</xdr:row>
      <xdr:rowOff>140970</xdr:rowOff>
    </xdr:to>
    <xdr:pic>
      <xdr:nvPicPr>
        <xdr:cNvPr id="1145" name="Imagen 1144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69392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290</xdr:row>
      <xdr:rowOff>19050</xdr:rowOff>
    </xdr:from>
    <xdr:to>
      <xdr:col>25</xdr:col>
      <xdr:colOff>83819</xdr:colOff>
      <xdr:row>290</xdr:row>
      <xdr:rowOff>140970</xdr:rowOff>
    </xdr:to>
    <xdr:pic>
      <xdr:nvPicPr>
        <xdr:cNvPr id="1151" name="Imagen 1150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73964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294</xdr:row>
      <xdr:rowOff>19050</xdr:rowOff>
    </xdr:from>
    <xdr:to>
      <xdr:col>25</xdr:col>
      <xdr:colOff>83819</xdr:colOff>
      <xdr:row>294</xdr:row>
      <xdr:rowOff>140970</xdr:rowOff>
    </xdr:to>
    <xdr:pic>
      <xdr:nvPicPr>
        <xdr:cNvPr id="1156" name="Imagen 1155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81584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296</xdr:row>
      <xdr:rowOff>19050</xdr:rowOff>
    </xdr:from>
    <xdr:to>
      <xdr:col>25</xdr:col>
      <xdr:colOff>83819</xdr:colOff>
      <xdr:row>296</xdr:row>
      <xdr:rowOff>140970</xdr:rowOff>
    </xdr:to>
    <xdr:pic>
      <xdr:nvPicPr>
        <xdr:cNvPr id="1160" name="Imagen 1159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943475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297</xdr:row>
      <xdr:rowOff>19050</xdr:rowOff>
    </xdr:from>
    <xdr:to>
      <xdr:col>25</xdr:col>
      <xdr:colOff>83819</xdr:colOff>
      <xdr:row>297</xdr:row>
      <xdr:rowOff>140970</xdr:rowOff>
    </xdr:to>
    <xdr:pic>
      <xdr:nvPicPr>
        <xdr:cNvPr id="1161" name="Imagen 1160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958715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298</xdr:row>
      <xdr:rowOff>19050</xdr:rowOff>
    </xdr:from>
    <xdr:to>
      <xdr:col>25</xdr:col>
      <xdr:colOff>83819</xdr:colOff>
      <xdr:row>298</xdr:row>
      <xdr:rowOff>140970</xdr:rowOff>
    </xdr:to>
    <xdr:pic>
      <xdr:nvPicPr>
        <xdr:cNvPr id="1162" name="Imagen 1161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9739550"/>
          <a:ext cx="502920" cy="121920"/>
        </a:xfrm>
        <a:prstGeom prst="rect">
          <a:avLst/>
        </a:prstGeom>
      </xdr:spPr>
    </xdr:pic>
    <xdr:clientData/>
  </xdr:twoCellAnchor>
  <xdr:oneCellAnchor>
    <xdr:from>
      <xdr:col>23</xdr:col>
      <xdr:colOff>9525</xdr:colOff>
      <xdr:row>642</xdr:row>
      <xdr:rowOff>19050</xdr:rowOff>
    </xdr:from>
    <xdr:ext cx="819150" cy="123825"/>
    <xdr:pic>
      <xdr:nvPicPr>
        <xdr:cNvPr id="1165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5262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643</xdr:row>
      <xdr:rowOff>19050</xdr:rowOff>
    </xdr:from>
    <xdr:ext cx="819150" cy="123825"/>
    <xdr:pic>
      <xdr:nvPicPr>
        <xdr:cNvPr id="1166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5415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249</xdr:row>
      <xdr:rowOff>19050</xdr:rowOff>
    </xdr:from>
    <xdr:to>
      <xdr:col>24</xdr:col>
      <xdr:colOff>47624</xdr:colOff>
      <xdr:row>249</xdr:row>
      <xdr:rowOff>142875</xdr:rowOff>
    </xdr:to>
    <xdr:pic>
      <xdr:nvPicPr>
        <xdr:cNvPr id="117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76332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255</xdr:row>
      <xdr:rowOff>19050</xdr:rowOff>
    </xdr:from>
    <xdr:to>
      <xdr:col>24</xdr:col>
      <xdr:colOff>47625</xdr:colOff>
      <xdr:row>255</xdr:row>
      <xdr:rowOff>142875</xdr:rowOff>
    </xdr:to>
    <xdr:pic>
      <xdr:nvPicPr>
        <xdr:cNvPr id="118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9624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254</xdr:row>
      <xdr:rowOff>19050</xdr:rowOff>
    </xdr:from>
    <xdr:to>
      <xdr:col>26</xdr:col>
      <xdr:colOff>9524</xdr:colOff>
      <xdr:row>254</xdr:row>
      <xdr:rowOff>142875</xdr:rowOff>
    </xdr:to>
    <xdr:pic>
      <xdr:nvPicPr>
        <xdr:cNvPr id="118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39471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261</xdr:row>
      <xdr:rowOff>19050</xdr:rowOff>
    </xdr:from>
    <xdr:to>
      <xdr:col>26</xdr:col>
      <xdr:colOff>9524</xdr:colOff>
      <xdr:row>261</xdr:row>
      <xdr:rowOff>142875</xdr:rowOff>
    </xdr:to>
    <xdr:pic>
      <xdr:nvPicPr>
        <xdr:cNvPr id="119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40995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387</xdr:row>
      <xdr:rowOff>19050</xdr:rowOff>
    </xdr:from>
    <xdr:to>
      <xdr:col>24</xdr:col>
      <xdr:colOff>47625</xdr:colOff>
      <xdr:row>387</xdr:row>
      <xdr:rowOff>144555</xdr:rowOff>
    </xdr:to>
    <xdr:pic>
      <xdr:nvPicPr>
        <xdr:cNvPr id="948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350317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400</xdr:row>
      <xdr:rowOff>19050</xdr:rowOff>
    </xdr:from>
    <xdr:to>
      <xdr:col>24</xdr:col>
      <xdr:colOff>47625</xdr:colOff>
      <xdr:row>400</xdr:row>
      <xdr:rowOff>144555</xdr:rowOff>
    </xdr:to>
    <xdr:pic>
      <xdr:nvPicPr>
        <xdr:cNvPr id="962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441757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401</xdr:row>
      <xdr:rowOff>19050</xdr:rowOff>
    </xdr:from>
    <xdr:to>
      <xdr:col>24</xdr:col>
      <xdr:colOff>47625</xdr:colOff>
      <xdr:row>401</xdr:row>
      <xdr:rowOff>144555</xdr:rowOff>
    </xdr:to>
    <xdr:pic>
      <xdr:nvPicPr>
        <xdr:cNvPr id="970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456997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6</xdr:col>
      <xdr:colOff>9525</xdr:colOff>
      <xdr:row>151</xdr:row>
      <xdr:rowOff>19050</xdr:rowOff>
    </xdr:from>
    <xdr:ext cx="809626" cy="123825"/>
    <xdr:pic>
      <xdr:nvPicPr>
        <xdr:cNvPr id="866" name="825 Imagen" descr="CONSULTAR ICONO.png">
          <a:extLst>
            <a:ext uri="{FF2B5EF4-FFF2-40B4-BE49-F238E27FC236}">
              <a16:creationId xmlns:a16="http://schemas.microsoft.com/office/drawing/2014/main" id="{5543434B-8549-4E44-8AAB-AB2922A57B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23669625"/>
          <a:ext cx="809626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6</xdr:col>
      <xdr:colOff>9525</xdr:colOff>
      <xdr:row>148</xdr:row>
      <xdr:rowOff>19050</xdr:rowOff>
    </xdr:from>
    <xdr:to>
      <xdr:col>9</xdr:col>
      <xdr:colOff>9526</xdr:colOff>
      <xdr:row>148</xdr:row>
      <xdr:rowOff>142875</xdr:rowOff>
    </xdr:to>
    <xdr:pic>
      <xdr:nvPicPr>
        <xdr:cNvPr id="897" name="825 Imagen" descr="CONSULTAR ICONO.png">
          <a:extLst>
            <a:ext uri="{FF2B5EF4-FFF2-40B4-BE49-F238E27FC236}">
              <a16:creationId xmlns:a16="http://schemas.microsoft.com/office/drawing/2014/main" id="{5543434B-8549-4E44-8AAB-AB2922A57B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23060025"/>
          <a:ext cx="809626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379</xdr:row>
      <xdr:rowOff>19050</xdr:rowOff>
    </xdr:from>
    <xdr:to>
      <xdr:col>24</xdr:col>
      <xdr:colOff>47625</xdr:colOff>
      <xdr:row>379</xdr:row>
      <xdr:rowOff>142875</xdr:rowOff>
    </xdr:to>
    <xdr:pic>
      <xdr:nvPicPr>
        <xdr:cNvPr id="119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9169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375</xdr:row>
      <xdr:rowOff>19050</xdr:rowOff>
    </xdr:from>
    <xdr:to>
      <xdr:col>24</xdr:col>
      <xdr:colOff>47625</xdr:colOff>
      <xdr:row>375</xdr:row>
      <xdr:rowOff>142875</xdr:rowOff>
    </xdr:to>
    <xdr:pic>
      <xdr:nvPicPr>
        <xdr:cNvPr id="119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8712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325</xdr:row>
      <xdr:rowOff>19050</xdr:rowOff>
    </xdr:from>
    <xdr:to>
      <xdr:col>26</xdr:col>
      <xdr:colOff>9524</xdr:colOff>
      <xdr:row>325</xdr:row>
      <xdr:rowOff>142875</xdr:rowOff>
    </xdr:to>
    <xdr:pic>
      <xdr:nvPicPr>
        <xdr:cNvPr id="121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54606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344</xdr:row>
      <xdr:rowOff>19050</xdr:rowOff>
    </xdr:from>
    <xdr:to>
      <xdr:col>26</xdr:col>
      <xdr:colOff>9524</xdr:colOff>
      <xdr:row>344</xdr:row>
      <xdr:rowOff>142875</xdr:rowOff>
    </xdr:to>
    <xdr:pic>
      <xdr:nvPicPr>
        <xdr:cNvPr id="121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56588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266</xdr:row>
      <xdr:rowOff>19050</xdr:rowOff>
    </xdr:from>
    <xdr:to>
      <xdr:col>26</xdr:col>
      <xdr:colOff>9524</xdr:colOff>
      <xdr:row>266</xdr:row>
      <xdr:rowOff>142875</xdr:rowOff>
    </xdr:to>
    <xdr:pic>
      <xdr:nvPicPr>
        <xdr:cNvPr id="124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43891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54</xdr:row>
      <xdr:rowOff>19050</xdr:rowOff>
    </xdr:from>
    <xdr:to>
      <xdr:col>26</xdr:col>
      <xdr:colOff>9524</xdr:colOff>
      <xdr:row>54</xdr:row>
      <xdr:rowOff>142875</xdr:rowOff>
    </xdr:to>
    <xdr:pic>
      <xdr:nvPicPr>
        <xdr:cNvPr id="125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8991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53</xdr:row>
      <xdr:rowOff>19050</xdr:rowOff>
    </xdr:from>
    <xdr:to>
      <xdr:col>26</xdr:col>
      <xdr:colOff>9524</xdr:colOff>
      <xdr:row>53</xdr:row>
      <xdr:rowOff>142875</xdr:rowOff>
    </xdr:to>
    <xdr:pic>
      <xdr:nvPicPr>
        <xdr:cNvPr id="125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8839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55</xdr:row>
      <xdr:rowOff>19050</xdr:rowOff>
    </xdr:from>
    <xdr:to>
      <xdr:col>26</xdr:col>
      <xdr:colOff>9524</xdr:colOff>
      <xdr:row>55</xdr:row>
      <xdr:rowOff>142875</xdr:rowOff>
    </xdr:to>
    <xdr:pic>
      <xdr:nvPicPr>
        <xdr:cNvPr id="125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9144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97</xdr:row>
      <xdr:rowOff>19050</xdr:rowOff>
    </xdr:from>
    <xdr:to>
      <xdr:col>24</xdr:col>
      <xdr:colOff>47625</xdr:colOff>
      <xdr:row>97</xdr:row>
      <xdr:rowOff>142875</xdr:rowOff>
    </xdr:to>
    <xdr:pic>
      <xdr:nvPicPr>
        <xdr:cNvPr id="111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16659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99</xdr:row>
      <xdr:rowOff>19050</xdr:rowOff>
    </xdr:from>
    <xdr:to>
      <xdr:col>24</xdr:col>
      <xdr:colOff>47625</xdr:colOff>
      <xdr:row>99</xdr:row>
      <xdr:rowOff>142875</xdr:rowOff>
    </xdr:to>
    <xdr:pic>
      <xdr:nvPicPr>
        <xdr:cNvPr id="122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16811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100</xdr:row>
      <xdr:rowOff>19050</xdr:rowOff>
    </xdr:from>
    <xdr:to>
      <xdr:col>24</xdr:col>
      <xdr:colOff>47625</xdr:colOff>
      <xdr:row>100</xdr:row>
      <xdr:rowOff>142875</xdr:rowOff>
    </xdr:to>
    <xdr:pic>
      <xdr:nvPicPr>
        <xdr:cNvPr id="122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16964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87</xdr:row>
      <xdr:rowOff>19050</xdr:rowOff>
    </xdr:from>
    <xdr:to>
      <xdr:col>24</xdr:col>
      <xdr:colOff>47625</xdr:colOff>
      <xdr:row>87</xdr:row>
      <xdr:rowOff>142875</xdr:rowOff>
    </xdr:to>
    <xdr:pic>
      <xdr:nvPicPr>
        <xdr:cNvPr id="1232" name="868 Imagen" descr="laser icono.png">
          <a:extLst>
            <a:ext uri="{FF2B5EF4-FFF2-40B4-BE49-F238E27FC236}">
              <a16:creationId xmlns:a16="http://schemas.microsoft.com/office/drawing/2014/main" id="{759FA6C0-BDF3-466E-9797-169BC3F5A5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14830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227</xdr:row>
      <xdr:rowOff>19050</xdr:rowOff>
    </xdr:from>
    <xdr:ext cx="819150" cy="123825"/>
    <xdr:pic>
      <xdr:nvPicPr>
        <xdr:cNvPr id="1246" name="659 Imagen" descr="seri icono.png">
          <a:extLst>
            <a:ext uri="{FF2B5EF4-FFF2-40B4-BE49-F238E27FC236}">
              <a16:creationId xmlns:a16="http://schemas.microsoft.com/office/drawing/2014/main" id="{CFC55181-40DC-4BCF-8415-11762553D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71760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227</xdr:row>
      <xdr:rowOff>19050</xdr:rowOff>
    </xdr:from>
    <xdr:ext cx="819150" cy="123825"/>
    <xdr:pic>
      <xdr:nvPicPr>
        <xdr:cNvPr id="126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35004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6</xdr:col>
      <xdr:colOff>9525</xdr:colOff>
      <xdr:row>16</xdr:row>
      <xdr:rowOff>19050</xdr:rowOff>
    </xdr:from>
    <xdr:to>
      <xdr:col>9</xdr:col>
      <xdr:colOff>12838</xdr:colOff>
      <xdr:row>16</xdr:row>
      <xdr:rowOff>142875</xdr:rowOff>
    </xdr:to>
    <xdr:pic>
      <xdr:nvPicPr>
        <xdr:cNvPr id="906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3048000"/>
          <a:ext cx="812938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140</xdr:row>
      <xdr:rowOff>19050</xdr:rowOff>
    </xdr:from>
    <xdr:to>
      <xdr:col>24</xdr:col>
      <xdr:colOff>47625</xdr:colOff>
      <xdr:row>140</xdr:row>
      <xdr:rowOff>142875</xdr:rowOff>
    </xdr:to>
    <xdr:pic>
      <xdr:nvPicPr>
        <xdr:cNvPr id="127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22755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144</xdr:row>
      <xdr:rowOff>19050</xdr:rowOff>
    </xdr:from>
    <xdr:to>
      <xdr:col>24</xdr:col>
      <xdr:colOff>47625</xdr:colOff>
      <xdr:row>144</xdr:row>
      <xdr:rowOff>142875</xdr:rowOff>
    </xdr:to>
    <xdr:pic>
      <xdr:nvPicPr>
        <xdr:cNvPr id="127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23364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140</xdr:row>
      <xdr:rowOff>19050</xdr:rowOff>
    </xdr:from>
    <xdr:to>
      <xdr:col>26</xdr:col>
      <xdr:colOff>9524</xdr:colOff>
      <xdr:row>140</xdr:row>
      <xdr:rowOff>142875</xdr:rowOff>
    </xdr:to>
    <xdr:pic>
      <xdr:nvPicPr>
        <xdr:cNvPr id="1277" name="851 Imagen" descr="CON CALENDARIO ICONO.png">
          <a:extLst>
            <a:ext uri="{FF2B5EF4-FFF2-40B4-BE49-F238E27FC236}">
              <a16:creationId xmlns:a16="http://schemas.microsoft.com/office/drawing/2014/main" id="{1BF018DF-71FA-4B29-B068-AB51F56F0B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2275522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9525</xdr:colOff>
      <xdr:row>140</xdr:row>
      <xdr:rowOff>19050</xdr:rowOff>
    </xdr:from>
    <xdr:to>
      <xdr:col>26</xdr:col>
      <xdr:colOff>447675</xdr:colOff>
      <xdr:row>140</xdr:row>
      <xdr:rowOff>142875</xdr:rowOff>
    </xdr:to>
    <xdr:pic>
      <xdr:nvPicPr>
        <xdr:cNvPr id="1278" name="852 Imagen" descr="CON LOGO ICONO.png">
          <a:extLst>
            <a:ext uri="{FF2B5EF4-FFF2-40B4-BE49-F238E27FC236}">
              <a16:creationId xmlns:a16="http://schemas.microsoft.com/office/drawing/2014/main" id="{98F0AFA9-2A39-401E-B7AE-D8D2E2A570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91600" y="2275522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144</xdr:row>
      <xdr:rowOff>19050</xdr:rowOff>
    </xdr:from>
    <xdr:to>
      <xdr:col>26</xdr:col>
      <xdr:colOff>9524</xdr:colOff>
      <xdr:row>144</xdr:row>
      <xdr:rowOff>142875</xdr:rowOff>
    </xdr:to>
    <xdr:pic>
      <xdr:nvPicPr>
        <xdr:cNvPr id="1279" name="851 Imagen" descr="CON CALENDARIO ICONO.png">
          <a:extLst>
            <a:ext uri="{FF2B5EF4-FFF2-40B4-BE49-F238E27FC236}">
              <a16:creationId xmlns:a16="http://schemas.microsoft.com/office/drawing/2014/main" id="{1BF018DF-71FA-4B29-B068-AB51F56F0B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2336482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9525</xdr:colOff>
      <xdr:row>144</xdr:row>
      <xdr:rowOff>19050</xdr:rowOff>
    </xdr:from>
    <xdr:to>
      <xdr:col>26</xdr:col>
      <xdr:colOff>447675</xdr:colOff>
      <xdr:row>144</xdr:row>
      <xdr:rowOff>142875</xdr:rowOff>
    </xdr:to>
    <xdr:pic>
      <xdr:nvPicPr>
        <xdr:cNvPr id="1280" name="852 Imagen" descr="CON LOGO ICONO.png">
          <a:extLst>
            <a:ext uri="{FF2B5EF4-FFF2-40B4-BE49-F238E27FC236}">
              <a16:creationId xmlns:a16="http://schemas.microsoft.com/office/drawing/2014/main" id="{98F0AFA9-2A39-401E-B7AE-D8D2E2A570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91600" y="2336482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585</xdr:row>
      <xdr:rowOff>19050</xdr:rowOff>
    </xdr:from>
    <xdr:ext cx="819150" cy="123825"/>
    <xdr:pic>
      <xdr:nvPicPr>
        <xdr:cNvPr id="1271" name="429 Imagen" descr="sublimacion icono.png">
          <a:extLst>
            <a:ext uri="{FF2B5EF4-FFF2-40B4-BE49-F238E27FC236}">
              <a16:creationId xmlns:a16="http://schemas.microsoft.com/office/drawing/2014/main" id="{6CF316BA-1A7F-4150-9180-0700F4598B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9809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224</xdr:row>
      <xdr:rowOff>19050</xdr:rowOff>
    </xdr:from>
    <xdr:ext cx="819150" cy="123825"/>
    <xdr:pic>
      <xdr:nvPicPr>
        <xdr:cNvPr id="109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4699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223</xdr:row>
      <xdr:rowOff>19050</xdr:rowOff>
    </xdr:from>
    <xdr:ext cx="819150" cy="123825"/>
    <xdr:pic>
      <xdr:nvPicPr>
        <xdr:cNvPr id="114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4547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380</xdr:row>
      <xdr:rowOff>19050</xdr:rowOff>
    </xdr:from>
    <xdr:to>
      <xdr:col>24</xdr:col>
      <xdr:colOff>47625</xdr:colOff>
      <xdr:row>380</xdr:row>
      <xdr:rowOff>142875</xdr:rowOff>
    </xdr:to>
    <xdr:pic>
      <xdr:nvPicPr>
        <xdr:cNvPr id="106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9321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56</xdr:row>
      <xdr:rowOff>19050</xdr:rowOff>
    </xdr:from>
    <xdr:ext cx="819150" cy="123825"/>
    <xdr:pic>
      <xdr:nvPicPr>
        <xdr:cNvPr id="100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9296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422</xdr:row>
      <xdr:rowOff>19050</xdr:rowOff>
    </xdr:from>
    <xdr:ext cx="819150" cy="123825"/>
    <xdr:pic>
      <xdr:nvPicPr>
        <xdr:cNvPr id="129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6074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173</xdr:row>
      <xdr:rowOff>19050</xdr:rowOff>
    </xdr:from>
    <xdr:to>
      <xdr:col>24</xdr:col>
      <xdr:colOff>47625</xdr:colOff>
      <xdr:row>173</xdr:row>
      <xdr:rowOff>142875</xdr:rowOff>
    </xdr:to>
    <xdr:pic>
      <xdr:nvPicPr>
        <xdr:cNvPr id="130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298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174</xdr:row>
      <xdr:rowOff>19050</xdr:rowOff>
    </xdr:from>
    <xdr:to>
      <xdr:col>24</xdr:col>
      <xdr:colOff>47625</xdr:colOff>
      <xdr:row>174</xdr:row>
      <xdr:rowOff>142875</xdr:rowOff>
    </xdr:to>
    <xdr:pic>
      <xdr:nvPicPr>
        <xdr:cNvPr id="130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451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175</xdr:row>
      <xdr:rowOff>19050</xdr:rowOff>
    </xdr:from>
    <xdr:to>
      <xdr:col>24</xdr:col>
      <xdr:colOff>47625</xdr:colOff>
      <xdr:row>175</xdr:row>
      <xdr:rowOff>142875</xdr:rowOff>
    </xdr:to>
    <xdr:pic>
      <xdr:nvPicPr>
        <xdr:cNvPr id="130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603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176</xdr:row>
      <xdr:rowOff>19050</xdr:rowOff>
    </xdr:from>
    <xdr:to>
      <xdr:col>24</xdr:col>
      <xdr:colOff>47625</xdr:colOff>
      <xdr:row>176</xdr:row>
      <xdr:rowOff>142875</xdr:rowOff>
    </xdr:to>
    <xdr:pic>
      <xdr:nvPicPr>
        <xdr:cNvPr id="130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755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419</xdr:row>
      <xdr:rowOff>19050</xdr:rowOff>
    </xdr:from>
    <xdr:ext cx="819150" cy="123825"/>
    <xdr:pic>
      <xdr:nvPicPr>
        <xdr:cNvPr id="963" name="291 Imagen" descr="dome icono.png">
          <a:extLst>
            <a:ext uri="{FF2B5EF4-FFF2-40B4-BE49-F238E27FC236}">
              <a16:creationId xmlns:a16="http://schemas.microsoft.com/office/drawing/2014/main" id="{ABB8E52F-69F5-4349-9895-85ADD78009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65770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420</xdr:row>
      <xdr:rowOff>19050</xdr:rowOff>
    </xdr:from>
    <xdr:ext cx="819150" cy="123825"/>
    <xdr:pic>
      <xdr:nvPicPr>
        <xdr:cNvPr id="1163" name="291 Imagen" descr="dome icono.png">
          <a:extLst>
            <a:ext uri="{FF2B5EF4-FFF2-40B4-BE49-F238E27FC236}">
              <a16:creationId xmlns:a16="http://schemas.microsoft.com/office/drawing/2014/main" id="{ABB8E52F-69F5-4349-9895-85ADD78009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65922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214</xdr:row>
      <xdr:rowOff>28575</xdr:rowOff>
    </xdr:from>
    <xdr:to>
      <xdr:col>1</xdr:col>
      <xdr:colOff>0</xdr:colOff>
      <xdr:row>214</xdr:row>
      <xdr:rowOff>133350</xdr:rowOff>
    </xdr:to>
    <xdr:pic>
      <xdr:nvPicPr>
        <xdr:cNvPr id="1210" name="235 Imagen" descr="oferta icono.png">
          <a:extLst>
            <a:ext uri="{FF2B5EF4-FFF2-40B4-BE49-F238E27FC236}">
              <a16:creationId xmlns:a16="http://schemas.microsoft.com/office/drawing/2014/main" id="{9E3CA306-CFC8-4AA4-8FCC-5F7C665FB7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2519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65</xdr:row>
      <xdr:rowOff>19050</xdr:rowOff>
    </xdr:from>
    <xdr:to>
      <xdr:col>10</xdr:col>
      <xdr:colOff>930</xdr:colOff>
      <xdr:row>65</xdr:row>
      <xdr:rowOff>142875</xdr:rowOff>
    </xdr:to>
    <xdr:pic>
      <xdr:nvPicPr>
        <xdr:cNvPr id="1320" name="958 Imagen" descr="CONSULTAR ICONO.png">
          <a:extLst>
            <a:ext uri="{FF2B5EF4-FFF2-40B4-BE49-F238E27FC236}">
              <a16:creationId xmlns:a16="http://schemas.microsoft.com/office/drawing/2014/main" id="{29D468AD-F7E7-44B9-9EF6-C3162FD50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10515600"/>
          <a:ext cx="82007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66</xdr:row>
      <xdr:rowOff>19050</xdr:rowOff>
    </xdr:from>
    <xdr:to>
      <xdr:col>10</xdr:col>
      <xdr:colOff>930</xdr:colOff>
      <xdr:row>66</xdr:row>
      <xdr:rowOff>142875</xdr:rowOff>
    </xdr:to>
    <xdr:pic>
      <xdr:nvPicPr>
        <xdr:cNvPr id="1321" name="958 Imagen" descr="CONSULTAR ICONO.png">
          <a:extLst>
            <a:ext uri="{FF2B5EF4-FFF2-40B4-BE49-F238E27FC236}">
              <a16:creationId xmlns:a16="http://schemas.microsoft.com/office/drawing/2014/main" id="{29D468AD-F7E7-44B9-9EF6-C3162FD50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10668000"/>
          <a:ext cx="82007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376</xdr:row>
      <xdr:rowOff>19050</xdr:rowOff>
    </xdr:from>
    <xdr:to>
      <xdr:col>24</xdr:col>
      <xdr:colOff>47625</xdr:colOff>
      <xdr:row>376</xdr:row>
      <xdr:rowOff>142875</xdr:rowOff>
    </xdr:to>
    <xdr:pic>
      <xdr:nvPicPr>
        <xdr:cNvPr id="133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8864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627</xdr:row>
      <xdr:rowOff>19050</xdr:rowOff>
    </xdr:from>
    <xdr:to>
      <xdr:col>10</xdr:col>
      <xdr:colOff>1</xdr:colOff>
      <xdr:row>627</xdr:row>
      <xdr:rowOff>142875</xdr:rowOff>
    </xdr:to>
    <xdr:pic>
      <xdr:nvPicPr>
        <xdr:cNvPr id="961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06812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628</xdr:row>
      <xdr:rowOff>19050</xdr:rowOff>
    </xdr:from>
    <xdr:to>
      <xdr:col>10</xdr:col>
      <xdr:colOff>1</xdr:colOff>
      <xdr:row>628</xdr:row>
      <xdr:rowOff>142875</xdr:rowOff>
    </xdr:to>
    <xdr:pic>
      <xdr:nvPicPr>
        <xdr:cNvPr id="967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08336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629</xdr:row>
      <xdr:rowOff>19050</xdr:rowOff>
    </xdr:from>
    <xdr:to>
      <xdr:col>10</xdr:col>
      <xdr:colOff>1</xdr:colOff>
      <xdr:row>629</xdr:row>
      <xdr:rowOff>142875</xdr:rowOff>
    </xdr:to>
    <xdr:pic>
      <xdr:nvPicPr>
        <xdr:cNvPr id="980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09860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630</xdr:row>
      <xdr:rowOff>19050</xdr:rowOff>
    </xdr:from>
    <xdr:to>
      <xdr:col>10</xdr:col>
      <xdr:colOff>1</xdr:colOff>
      <xdr:row>630</xdr:row>
      <xdr:rowOff>142875</xdr:rowOff>
    </xdr:to>
    <xdr:pic>
      <xdr:nvPicPr>
        <xdr:cNvPr id="986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1138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631</xdr:row>
      <xdr:rowOff>19050</xdr:rowOff>
    </xdr:from>
    <xdr:to>
      <xdr:col>10</xdr:col>
      <xdr:colOff>1</xdr:colOff>
      <xdr:row>631</xdr:row>
      <xdr:rowOff>142875</xdr:rowOff>
    </xdr:to>
    <xdr:pic>
      <xdr:nvPicPr>
        <xdr:cNvPr id="993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12908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632</xdr:row>
      <xdr:rowOff>19050</xdr:rowOff>
    </xdr:from>
    <xdr:to>
      <xdr:col>10</xdr:col>
      <xdr:colOff>1</xdr:colOff>
      <xdr:row>632</xdr:row>
      <xdr:rowOff>142875</xdr:rowOff>
    </xdr:to>
    <xdr:pic>
      <xdr:nvPicPr>
        <xdr:cNvPr id="1012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8075" y="4174807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303</xdr:row>
      <xdr:rowOff>19050</xdr:rowOff>
    </xdr:from>
    <xdr:to>
      <xdr:col>24</xdr:col>
      <xdr:colOff>47625</xdr:colOff>
      <xdr:row>303</xdr:row>
      <xdr:rowOff>142875</xdr:rowOff>
    </xdr:to>
    <xdr:pic>
      <xdr:nvPicPr>
        <xdr:cNvPr id="101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48158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126</xdr:row>
      <xdr:rowOff>19050</xdr:rowOff>
    </xdr:from>
    <xdr:ext cx="819150" cy="123825"/>
    <xdr:pic>
      <xdr:nvPicPr>
        <xdr:cNvPr id="1141" name="840 Imagen" descr="dome icono.png">
          <a:extLst>
            <a:ext uri="{FF2B5EF4-FFF2-40B4-BE49-F238E27FC236}">
              <a16:creationId xmlns:a16="http://schemas.microsoft.com/office/drawing/2014/main" id="{CBEFA250-9D4D-4CD2-9950-7DEE73C056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19250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42</xdr:row>
      <xdr:rowOff>19050</xdr:rowOff>
    </xdr:from>
    <xdr:ext cx="1190625" cy="123825"/>
    <xdr:pic>
      <xdr:nvPicPr>
        <xdr:cNvPr id="1173" name="1022 Imagen" descr="DOME UN LADO.png">
          <a:extLst>
            <a:ext uri="{FF2B5EF4-FFF2-40B4-BE49-F238E27FC236}">
              <a16:creationId xmlns:a16="http://schemas.microsoft.com/office/drawing/2014/main" id="{A58C9EC6-AE43-4980-A967-EC149773E3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68580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43</xdr:row>
      <xdr:rowOff>19050</xdr:rowOff>
    </xdr:from>
    <xdr:ext cx="1190625" cy="123825"/>
    <xdr:pic>
      <xdr:nvPicPr>
        <xdr:cNvPr id="1189" name="1022 Imagen" descr="DOME UN LADO.png">
          <a:extLst>
            <a:ext uri="{FF2B5EF4-FFF2-40B4-BE49-F238E27FC236}">
              <a16:creationId xmlns:a16="http://schemas.microsoft.com/office/drawing/2014/main" id="{A58C9EC6-AE43-4980-A967-EC149773E3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73152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44</xdr:row>
      <xdr:rowOff>19050</xdr:rowOff>
    </xdr:from>
    <xdr:ext cx="1190625" cy="123825"/>
    <xdr:pic>
      <xdr:nvPicPr>
        <xdr:cNvPr id="1230" name="1022 Imagen" descr="DOME UN LADO.png">
          <a:extLst>
            <a:ext uri="{FF2B5EF4-FFF2-40B4-BE49-F238E27FC236}">
              <a16:creationId xmlns:a16="http://schemas.microsoft.com/office/drawing/2014/main" id="{A58C9EC6-AE43-4980-A967-EC149773E3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74676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14</xdr:row>
      <xdr:rowOff>19050</xdr:rowOff>
    </xdr:from>
    <xdr:to>
      <xdr:col>24</xdr:col>
      <xdr:colOff>47625</xdr:colOff>
      <xdr:row>14</xdr:row>
      <xdr:rowOff>142875</xdr:rowOff>
    </xdr:to>
    <xdr:pic>
      <xdr:nvPicPr>
        <xdr:cNvPr id="1266" name="1047 Imagen" descr="laser un lado icono.png">
          <a:extLst>
            <a:ext uri="{FF2B5EF4-FFF2-40B4-BE49-F238E27FC236}">
              <a16:creationId xmlns:a16="http://schemas.microsoft.com/office/drawing/2014/main" id="{63EEF21A-DA68-49C6-9F59-6CE9A040A8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743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15</xdr:row>
      <xdr:rowOff>19050</xdr:rowOff>
    </xdr:from>
    <xdr:to>
      <xdr:col>24</xdr:col>
      <xdr:colOff>47625</xdr:colOff>
      <xdr:row>15</xdr:row>
      <xdr:rowOff>142875</xdr:rowOff>
    </xdr:to>
    <xdr:pic>
      <xdr:nvPicPr>
        <xdr:cNvPr id="1302" name="1047 Imagen" descr="laser un lado icono.png">
          <a:extLst>
            <a:ext uri="{FF2B5EF4-FFF2-40B4-BE49-F238E27FC236}">
              <a16:creationId xmlns:a16="http://schemas.microsoft.com/office/drawing/2014/main" id="{63EEF21A-DA68-49C6-9F59-6CE9A040A8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895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287</xdr:row>
      <xdr:rowOff>19050</xdr:rowOff>
    </xdr:from>
    <xdr:ext cx="828675" cy="123825"/>
    <xdr:pic>
      <xdr:nvPicPr>
        <xdr:cNvPr id="1341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5110400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24</xdr:col>
      <xdr:colOff>76200</xdr:colOff>
      <xdr:row>287</xdr:row>
      <xdr:rowOff>19050</xdr:rowOff>
    </xdr:from>
    <xdr:to>
      <xdr:col>25</xdr:col>
      <xdr:colOff>83819</xdr:colOff>
      <xdr:row>287</xdr:row>
      <xdr:rowOff>140970</xdr:rowOff>
    </xdr:to>
    <xdr:pic>
      <xdr:nvPicPr>
        <xdr:cNvPr id="1342" name="Imagen 1341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5110400"/>
          <a:ext cx="502920" cy="121920"/>
        </a:xfrm>
        <a:prstGeom prst="rect">
          <a:avLst/>
        </a:prstGeom>
      </xdr:spPr>
    </xdr:pic>
    <xdr:clientData/>
  </xdr:twoCellAnchor>
  <xdr:oneCellAnchor>
    <xdr:from>
      <xdr:col>23</xdr:col>
      <xdr:colOff>9525</xdr:colOff>
      <xdr:row>286</xdr:row>
      <xdr:rowOff>19050</xdr:rowOff>
    </xdr:from>
    <xdr:ext cx="828675" cy="123825"/>
    <xdr:pic>
      <xdr:nvPicPr>
        <xdr:cNvPr id="1344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5262800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286</xdr:row>
      <xdr:rowOff>19050</xdr:rowOff>
    </xdr:from>
    <xdr:ext cx="502920" cy="121920"/>
    <xdr:pic>
      <xdr:nvPicPr>
        <xdr:cNvPr id="1345" name="Imagen 1344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5262800"/>
          <a:ext cx="502920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288</xdr:row>
      <xdr:rowOff>19050</xdr:rowOff>
    </xdr:from>
    <xdr:ext cx="828675" cy="123825"/>
    <xdr:pic>
      <xdr:nvPicPr>
        <xdr:cNvPr id="1347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5262800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288</xdr:row>
      <xdr:rowOff>19050</xdr:rowOff>
    </xdr:from>
    <xdr:ext cx="502920" cy="121920"/>
    <xdr:pic>
      <xdr:nvPicPr>
        <xdr:cNvPr id="1348" name="Imagen 1347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5262800"/>
          <a:ext cx="502920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299</xdr:row>
      <xdr:rowOff>19050</xdr:rowOff>
    </xdr:from>
    <xdr:to>
      <xdr:col>24</xdr:col>
      <xdr:colOff>47625</xdr:colOff>
      <xdr:row>299</xdr:row>
      <xdr:rowOff>142875</xdr:rowOff>
    </xdr:to>
    <xdr:pic>
      <xdr:nvPicPr>
        <xdr:cNvPr id="1349" name="594 Imagen" descr="laser fibra icono.png">
          <a:extLst>
            <a:ext uri="{FF2B5EF4-FFF2-40B4-BE49-F238E27FC236}">
              <a16:creationId xmlns:a16="http://schemas.microsoft.com/office/drawing/2014/main" id="{94254448-E95B-4D55-94D6-FFC50B0E8B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7396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299</xdr:row>
      <xdr:rowOff>19050</xdr:rowOff>
    </xdr:from>
    <xdr:to>
      <xdr:col>25</xdr:col>
      <xdr:colOff>74294</xdr:colOff>
      <xdr:row>299</xdr:row>
      <xdr:rowOff>140970</xdr:rowOff>
    </xdr:to>
    <xdr:pic>
      <xdr:nvPicPr>
        <xdr:cNvPr id="1350" name="Imagen 1349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2450" y="473964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276</xdr:row>
      <xdr:rowOff>19050</xdr:rowOff>
    </xdr:from>
    <xdr:to>
      <xdr:col>25</xdr:col>
      <xdr:colOff>83819</xdr:colOff>
      <xdr:row>276</xdr:row>
      <xdr:rowOff>140970</xdr:rowOff>
    </xdr:to>
    <xdr:pic>
      <xdr:nvPicPr>
        <xdr:cNvPr id="1353" name="Imagen 1352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3129200"/>
          <a:ext cx="502920" cy="121920"/>
        </a:xfrm>
        <a:prstGeom prst="rect">
          <a:avLst/>
        </a:prstGeom>
      </xdr:spPr>
    </xdr:pic>
    <xdr:clientData/>
  </xdr:twoCellAnchor>
  <xdr:oneCellAnchor>
    <xdr:from>
      <xdr:col>23</xdr:col>
      <xdr:colOff>9525</xdr:colOff>
      <xdr:row>382</xdr:row>
      <xdr:rowOff>19050</xdr:rowOff>
    </xdr:from>
    <xdr:ext cx="819150" cy="123825"/>
    <xdr:pic>
      <xdr:nvPicPr>
        <xdr:cNvPr id="130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9626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277</xdr:row>
      <xdr:rowOff>19050</xdr:rowOff>
    </xdr:from>
    <xdr:ext cx="502920" cy="121920"/>
    <xdr:pic>
      <xdr:nvPicPr>
        <xdr:cNvPr id="1187" name="Imagen 1186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91500" y="43129200"/>
          <a:ext cx="502920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527</xdr:row>
      <xdr:rowOff>19050</xdr:rowOff>
    </xdr:from>
    <xdr:to>
      <xdr:col>24</xdr:col>
      <xdr:colOff>75821</xdr:colOff>
      <xdr:row>527</xdr:row>
      <xdr:rowOff>140970</xdr:rowOff>
    </xdr:to>
    <xdr:pic>
      <xdr:nvPicPr>
        <xdr:cNvPr id="1379" name="Imagen 1378"/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7971650"/>
          <a:ext cx="847346" cy="121920"/>
        </a:xfrm>
        <a:prstGeom prst="rect">
          <a:avLst/>
        </a:prstGeom>
      </xdr:spPr>
    </xdr:pic>
    <xdr:clientData/>
  </xdr:twoCellAnchor>
  <xdr:oneCellAnchor>
    <xdr:from>
      <xdr:col>23</xdr:col>
      <xdr:colOff>9525</xdr:colOff>
      <xdr:row>535</xdr:row>
      <xdr:rowOff>19050</xdr:rowOff>
    </xdr:from>
    <xdr:ext cx="847346" cy="121920"/>
    <xdr:pic>
      <xdr:nvPicPr>
        <xdr:cNvPr id="1383" name="Imagen 1382"/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81240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531</xdr:row>
      <xdr:rowOff>19050</xdr:rowOff>
    </xdr:from>
    <xdr:ext cx="847346" cy="121920"/>
    <xdr:pic>
      <xdr:nvPicPr>
        <xdr:cNvPr id="1386" name="Imagen 1385"/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82764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536</xdr:row>
      <xdr:rowOff>19050</xdr:rowOff>
    </xdr:from>
    <xdr:ext cx="847346" cy="121920"/>
    <xdr:pic>
      <xdr:nvPicPr>
        <xdr:cNvPr id="1037" name="Imagen 1036"/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90384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542</xdr:row>
      <xdr:rowOff>19050</xdr:rowOff>
    </xdr:from>
    <xdr:ext cx="847346" cy="121920"/>
    <xdr:pic>
      <xdr:nvPicPr>
        <xdr:cNvPr id="1120" name="Imagen 1119"/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96480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543</xdr:row>
      <xdr:rowOff>19050</xdr:rowOff>
    </xdr:from>
    <xdr:ext cx="847346" cy="121920"/>
    <xdr:pic>
      <xdr:nvPicPr>
        <xdr:cNvPr id="1206" name="Imagen 1205"/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98004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550</xdr:row>
      <xdr:rowOff>19050</xdr:rowOff>
    </xdr:from>
    <xdr:ext cx="847346" cy="121920"/>
    <xdr:pic>
      <xdr:nvPicPr>
        <xdr:cNvPr id="1248" name="Imagen 1247"/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01052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551</xdr:row>
      <xdr:rowOff>19050</xdr:rowOff>
    </xdr:from>
    <xdr:ext cx="847346" cy="121920"/>
    <xdr:pic>
      <xdr:nvPicPr>
        <xdr:cNvPr id="1249" name="Imagen 1248"/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02576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544</xdr:row>
      <xdr:rowOff>19050</xdr:rowOff>
    </xdr:from>
    <xdr:ext cx="847346" cy="121920"/>
    <xdr:pic>
      <xdr:nvPicPr>
        <xdr:cNvPr id="1338" name="Imagen 1337"/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99528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562</xdr:row>
      <xdr:rowOff>19050</xdr:rowOff>
    </xdr:from>
    <xdr:ext cx="847346" cy="121920"/>
    <xdr:pic>
      <xdr:nvPicPr>
        <xdr:cNvPr id="1360" name="Imagen 1359"/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08672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553</xdr:row>
      <xdr:rowOff>19050</xdr:rowOff>
    </xdr:from>
    <xdr:ext cx="847346" cy="121920"/>
    <xdr:pic>
      <xdr:nvPicPr>
        <xdr:cNvPr id="1361" name="Imagen 1360"/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10196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563</xdr:row>
      <xdr:rowOff>19050</xdr:rowOff>
    </xdr:from>
    <xdr:ext cx="847346" cy="121920"/>
    <xdr:pic>
      <xdr:nvPicPr>
        <xdr:cNvPr id="1362" name="Imagen 1361"/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11720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555</xdr:row>
      <xdr:rowOff>19050</xdr:rowOff>
    </xdr:from>
    <xdr:ext cx="847346" cy="121920"/>
    <xdr:pic>
      <xdr:nvPicPr>
        <xdr:cNvPr id="1363" name="Imagen 1362"/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1476850"/>
          <a:ext cx="847346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462</xdr:row>
      <xdr:rowOff>19050</xdr:rowOff>
    </xdr:from>
    <xdr:to>
      <xdr:col>24</xdr:col>
      <xdr:colOff>75821</xdr:colOff>
      <xdr:row>462</xdr:row>
      <xdr:rowOff>140970</xdr:rowOff>
    </xdr:to>
    <xdr:pic>
      <xdr:nvPicPr>
        <xdr:cNvPr id="1356" name="Imagen 1355"/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0351650"/>
          <a:ext cx="847346" cy="121920"/>
        </a:xfrm>
        <a:prstGeom prst="rect">
          <a:avLst/>
        </a:prstGeom>
      </xdr:spPr>
    </xdr:pic>
    <xdr:clientData/>
  </xdr:twoCellAnchor>
  <xdr:oneCellAnchor>
    <xdr:from>
      <xdr:col>23</xdr:col>
      <xdr:colOff>9525</xdr:colOff>
      <xdr:row>241</xdr:row>
      <xdr:rowOff>19050</xdr:rowOff>
    </xdr:from>
    <xdr:ext cx="819150" cy="123825"/>
    <xdr:pic>
      <xdr:nvPicPr>
        <xdr:cNvPr id="1364" name="659 Imagen" descr="seri icono.png">
          <a:extLst>
            <a:ext uri="{FF2B5EF4-FFF2-40B4-BE49-F238E27FC236}">
              <a16:creationId xmlns:a16="http://schemas.microsoft.com/office/drawing/2014/main" id="{CFC55181-40DC-4BCF-8415-11762553D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34709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241</xdr:row>
      <xdr:rowOff>19050</xdr:rowOff>
    </xdr:from>
    <xdr:ext cx="819150" cy="123825"/>
    <xdr:pic>
      <xdr:nvPicPr>
        <xdr:cNvPr id="136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34709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472</xdr:row>
      <xdr:rowOff>19050</xdr:rowOff>
    </xdr:from>
    <xdr:ext cx="847346" cy="121920"/>
    <xdr:pic>
      <xdr:nvPicPr>
        <xdr:cNvPr id="1376" name="Imagen 1375"/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24852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463</xdr:row>
      <xdr:rowOff>19050</xdr:rowOff>
    </xdr:from>
    <xdr:ext cx="847346" cy="121920"/>
    <xdr:pic>
      <xdr:nvPicPr>
        <xdr:cNvPr id="1377" name="Imagen 1376"/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06564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464</xdr:row>
      <xdr:rowOff>19050</xdr:rowOff>
    </xdr:from>
    <xdr:ext cx="847346" cy="121920"/>
    <xdr:pic>
      <xdr:nvPicPr>
        <xdr:cNvPr id="1378" name="Imagen 1377"/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08088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465</xdr:row>
      <xdr:rowOff>19050</xdr:rowOff>
    </xdr:from>
    <xdr:ext cx="847346" cy="121920"/>
    <xdr:pic>
      <xdr:nvPicPr>
        <xdr:cNvPr id="1388" name="Imagen 1387"/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09612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460</xdr:row>
      <xdr:rowOff>19050</xdr:rowOff>
    </xdr:from>
    <xdr:ext cx="847346" cy="121920"/>
    <xdr:pic>
      <xdr:nvPicPr>
        <xdr:cNvPr id="1389" name="Imagen 1388"/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698944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461</xdr:row>
      <xdr:rowOff>19050</xdr:rowOff>
    </xdr:from>
    <xdr:ext cx="847346" cy="121920"/>
    <xdr:pic>
      <xdr:nvPicPr>
        <xdr:cNvPr id="1390" name="Imagen 1389"/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00468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489</xdr:row>
      <xdr:rowOff>19050</xdr:rowOff>
    </xdr:from>
    <xdr:ext cx="819914" cy="121920"/>
    <xdr:pic>
      <xdr:nvPicPr>
        <xdr:cNvPr id="1146" name="Imagen 1145"/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3218675"/>
          <a:ext cx="819914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466</xdr:row>
      <xdr:rowOff>19050</xdr:rowOff>
    </xdr:from>
    <xdr:ext cx="847346" cy="121920"/>
    <xdr:pic>
      <xdr:nvPicPr>
        <xdr:cNvPr id="1309" name="Imagen 1308"/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11136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467</xdr:row>
      <xdr:rowOff>19050</xdr:rowOff>
    </xdr:from>
    <xdr:ext cx="847346" cy="121920"/>
    <xdr:pic>
      <xdr:nvPicPr>
        <xdr:cNvPr id="1310" name="Imagen 1309"/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12660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468</xdr:row>
      <xdr:rowOff>19050</xdr:rowOff>
    </xdr:from>
    <xdr:ext cx="847346" cy="121920"/>
    <xdr:pic>
      <xdr:nvPicPr>
        <xdr:cNvPr id="1311" name="Imagen 1310"/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15708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469</xdr:row>
      <xdr:rowOff>19050</xdr:rowOff>
    </xdr:from>
    <xdr:ext cx="847346" cy="121920"/>
    <xdr:pic>
      <xdr:nvPicPr>
        <xdr:cNvPr id="1330" name="Imagen 1329"/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17232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453</xdr:row>
      <xdr:rowOff>19050</xdr:rowOff>
    </xdr:from>
    <xdr:ext cx="847346" cy="121920"/>
    <xdr:pic>
      <xdr:nvPicPr>
        <xdr:cNvPr id="1372" name="Imagen 1371"/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688276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454</xdr:row>
      <xdr:rowOff>19050</xdr:rowOff>
    </xdr:from>
    <xdr:ext cx="847346" cy="121920"/>
    <xdr:pic>
      <xdr:nvPicPr>
        <xdr:cNvPr id="1373" name="Imagen 1372"/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689800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455</xdr:row>
      <xdr:rowOff>19050</xdr:rowOff>
    </xdr:from>
    <xdr:ext cx="847346" cy="121920"/>
    <xdr:pic>
      <xdr:nvPicPr>
        <xdr:cNvPr id="1384" name="Imagen 1383"/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691324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456</xdr:row>
      <xdr:rowOff>19050</xdr:rowOff>
    </xdr:from>
    <xdr:ext cx="847346" cy="121920"/>
    <xdr:pic>
      <xdr:nvPicPr>
        <xdr:cNvPr id="1385" name="Imagen 1384"/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692848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458</xdr:row>
      <xdr:rowOff>19050</xdr:rowOff>
    </xdr:from>
    <xdr:ext cx="847346" cy="121920"/>
    <xdr:pic>
      <xdr:nvPicPr>
        <xdr:cNvPr id="1420" name="Imagen 1419"/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694372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459</xdr:row>
      <xdr:rowOff>19050</xdr:rowOff>
    </xdr:from>
    <xdr:ext cx="847346" cy="121920"/>
    <xdr:pic>
      <xdr:nvPicPr>
        <xdr:cNvPr id="1422" name="Imagen 1421"/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695896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549</xdr:row>
      <xdr:rowOff>19050</xdr:rowOff>
    </xdr:from>
    <xdr:ext cx="847346" cy="121920"/>
    <xdr:pic>
      <xdr:nvPicPr>
        <xdr:cNvPr id="1421" name="Imagen 1420"/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056245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178</xdr:row>
      <xdr:rowOff>28575</xdr:rowOff>
    </xdr:from>
    <xdr:ext cx="342900" cy="104775"/>
    <xdr:pic>
      <xdr:nvPicPr>
        <xdr:cNvPr id="1426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3178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178</xdr:row>
      <xdr:rowOff>19050</xdr:rowOff>
    </xdr:from>
    <xdr:to>
      <xdr:col>24</xdr:col>
      <xdr:colOff>47625</xdr:colOff>
      <xdr:row>178</xdr:row>
      <xdr:rowOff>142875</xdr:rowOff>
    </xdr:to>
    <xdr:pic>
      <xdr:nvPicPr>
        <xdr:cNvPr id="142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308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179</xdr:row>
      <xdr:rowOff>28575</xdr:rowOff>
    </xdr:from>
    <xdr:ext cx="342900" cy="104775"/>
    <xdr:pic>
      <xdr:nvPicPr>
        <xdr:cNvPr id="1428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3178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179</xdr:row>
      <xdr:rowOff>19050</xdr:rowOff>
    </xdr:from>
    <xdr:ext cx="819150" cy="123825"/>
    <xdr:pic>
      <xdr:nvPicPr>
        <xdr:cNvPr id="142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308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180</xdr:row>
      <xdr:rowOff>28575</xdr:rowOff>
    </xdr:from>
    <xdr:ext cx="342900" cy="104775"/>
    <xdr:pic>
      <xdr:nvPicPr>
        <xdr:cNvPr id="1430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4702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180</xdr:row>
      <xdr:rowOff>19050</xdr:rowOff>
    </xdr:from>
    <xdr:ext cx="819150" cy="123825"/>
    <xdr:pic>
      <xdr:nvPicPr>
        <xdr:cNvPr id="143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460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183</xdr:row>
      <xdr:rowOff>28575</xdr:rowOff>
    </xdr:from>
    <xdr:ext cx="342900" cy="104775"/>
    <xdr:pic>
      <xdr:nvPicPr>
        <xdr:cNvPr id="1432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6226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183</xdr:row>
      <xdr:rowOff>19050</xdr:rowOff>
    </xdr:from>
    <xdr:ext cx="819150" cy="123825"/>
    <xdr:pic>
      <xdr:nvPicPr>
        <xdr:cNvPr id="143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613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24</xdr:col>
      <xdr:colOff>66675</xdr:colOff>
      <xdr:row>183</xdr:row>
      <xdr:rowOff>19050</xdr:rowOff>
    </xdr:from>
    <xdr:to>
      <xdr:col>26</xdr:col>
      <xdr:colOff>9524</xdr:colOff>
      <xdr:row>183</xdr:row>
      <xdr:rowOff>142875</xdr:rowOff>
    </xdr:to>
    <xdr:pic>
      <xdr:nvPicPr>
        <xdr:cNvPr id="1434" name="786 Imagen" descr="hasta 16 icono.png">
          <a:extLst>
            <a:ext uri="{FF2B5EF4-FFF2-40B4-BE49-F238E27FC236}">
              <a16:creationId xmlns:a16="http://schemas.microsoft.com/office/drawing/2014/main" id="{C7DA5D71-6A9E-47E3-8039-AB1076C054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28765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181</xdr:row>
      <xdr:rowOff>28575</xdr:rowOff>
    </xdr:from>
    <xdr:ext cx="342900" cy="104775"/>
    <xdr:pic>
      <xdr:nvPicPr>
        <xdr:cNvPr id="1437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6226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181</xdr:row>
      <xdr:rowOff>19050</xdr:rowOff>
    </xdr:from>
    <xdr:ext cx="819150" cy="123825"/>
    <xdr:pic>
      <xdr:nvPicPr>
        <xdr:cNvPr id="143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613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182</xdr:row>
      <xdr:rowOff>28575</xdr:rowOff>
    </xdr:from>
    <xdr:ext cx="342900" cy="104775"/>
    <xdr:pic>
      <xdr:nvPicPr>
        <xdr:cNvPr id="1286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90798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182</xdr:row>
      <xdr:rowOff>19050</xdr:rowOff>
    </xdr:from>
    <xdr:ext cx="819150" cy="123825"/>
    <xdr:pic>
      <xdr:nvPicPr>
        <xdr:cNvPr id="129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9070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491</xdr:row>
      <xdr:rowOff>19050</xdr:rowOff>
    </xdr:from>
    <xdr:ext cx="819914" cy="121920"/>
    <xdr:pic>
      <xdr:nvPicPr>
        <xdr:cNvPr id="1425" name="Imagen 1424"/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4133075"/>
          <a:ext cx="819914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160</xdr:row>
      <xdr:rowOff>19050</xdr:rowOff>
    </xdr:from>
    <xdr:to>
      <xdr:col>24</xdr:col>
      <xdr:colOff>47625</xdr:colOff>
      <xdr:row>160</xdr:row>
      <xdr:rowOff>142875</xdr:rowOff>
    </xdr:to>
    <xdr:pic>
      <xdr:nvPicPr>
        <xdr:cNvPr id="143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5260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263</xdr:row>
      <xdr:rowOff>19050</xdr:rowOff>
    </xdr:from>
    <xdr:ext cx="819150" cy="123825"/>
    <xdr:pic>
      <xdr:nvPicPr>
        <xdr:cNvPr id="1283" name="644 Imagen" descr="seri icono.png">
          <a:extLst>
            <a:ext uri="{FF2B5EF4-FFF2-40B4-BE49-F238E27FC236}">
              <a16:creationId xmlns:a16="http://schemas.microsoft.com/office/drawing/2014/main" id="{40E98DEB-CF6F-461C-8332-16587C866D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9319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66675</xdr:colOff>
      <xdr:row>263</xdr:row>
      <xdr:rowOff>19050</xdr:rowOff>
    </xdr:from>
    <xdr:ext cx="819150" cy="123825"/>
    <xdr:pic>
      <xdr:nvPicPr>
        <xdr:cNvPr id="128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81925" y="39319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408</xdr:row>
      <xdr:rowOff>19050</xdr:rowOff>
    </xdr:from>
    <xdr:ext cx="819150" cy="125505"/>
    <xdr:pic>
      <xdr:nvPicPr>
        <xdr:cNvPr id="1424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303645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59</xdr:row>
      <xdr:rowOff>19050</xdr:rowOff>
    </xdr:from>
    <xdr:ext cx="819150" cy="123825"/>
    <xdr:pic>
      <xdr:nvPicPr>
        <xdr:cNvPr id="1261" name="923 Imagen" descr="seri icono.png">
          <a:extLst>
            <a:ext uri="{FF2B5EF4-FFF2-40B4-BE49-F238E27FC236}">
              <a16:creationId xmlns:a16="http://schemas.microsoft.com/office/drawing/2014/main" id="{C3A9516D-C078-4003-B87E-2EAA6E62EB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9753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59</xdr:row>
      <xdr:rowOff>19050</xdr:rowOff>
    </xdr:from>
    <xdr:ext cx="819150" cy="123825"/>
    <xdr:pic>
      <xdr:nvPicPr>
        <xdr:cNvPr id="1294" name="924 Imagen" descr="seri icono.png">
          <a:extLst>
            <a:ext uri="{FF2B5EF4-FFF2-40B4-BE49-F238E27FC236}">
              <a16:creationId xmlns:a16="http://schemas.microsoft.com/office/drawing/2014/main" id="{D9C0E8C5-2563-4D54-94CE-0BAFABFDD8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9753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393</xdr:row>
      <xdr:rowOff>19050</xdr:rowOff>
    </xdr:from>
    <xdr:to>
      <xdr:col>24</xdr:col>
      <xdr:colOff>47625</xdr:colOff>
      <xdr:row>393</xdr:row>
      <xdr:rowOff>142875</xdr:rowOff>
    </xdr:to>
    <xdr:pic>
      <xdr:nvPicPr>
        <xdr:cNvPr id="1452" name="306 Imagen" descr="laser icono.png">
          <a:extLst>
            <a:ext uri="{FF2B5EF4-FFF2-40B4-BE49-F238E27FC236}">
              <a16:creationId xmlns:a16="http://schemas.microsoft.com/office/drawing/2014/main" id="{154362FE-74D2-4FE9-BCA8-1BFDFA4EB7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622744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507</xdr:row>
      <xdr:rowOff>19050</xdr:rowOff>
    </xdr:from>
    <xdr:to>
      <xdr:col>24</xdr:col>
      <xdr:colOff>47625</xdr:colOff>
      <xdr:row>507</xdr:row>
      <xdr:rowOff>144555</xdr:rowOff>
    </xdr:to>
    <xdr:pic>
      <xdr:nvPicPr>
        <xdr:cNvPr id="1110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768191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504</xdr:row>
      <xdr:rowOff>19050</xdr:rowOff>
    </xdr:from>
    <xdr:to>
      <xdr:col>24</xdr:col>
      <xdr:colOff>47625</xdr:colOff>
      <xdr:row>504</xdr:row>
      <xdr:rowOff>144555</xdr:rowOff>
    </xdr:to>
    <xdr:pic>
      <xdr:nvPicPr>
        <xdr:cNvPr id="1453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762095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505</xdr:row>
      <xdr:rowOff>19050</xdr:rowOff>
    </xdr:from>
    <xdr:to>
      <xdr:col>24</xdr:col>
      <xdr:colOff>47625</xdr:colOff>
      <xdr:row>505</xdr:row>
      <xdr:rowOff>144555</xdr:rowOff>
    </xdr:to>
    <xdr:pic>
      <xdr:nvPicPr>
        <xdr:cNvPr id="1454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763619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500</xdr:row>
      <xdr:rowOff>19050</xdr:rowOff>
    </xdr:from>
    <xdr:to>
      <xdr:col>24</xdr:col>
      <xdr:colOff>47625</xdr:colOff>
      <xdr:row>500</xdr:row>
      <xdr:rowOff>144555</xdr:rowOff>
    </xdr:to>
    <xdr:pic>
      <xdr:nvPicPr>
        <xdr:cNvPr id="1455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759047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490</xdr:row>
      <xdr:rowOff>19050</xdr:rowOff>
    </xdr:from>
    <xdr:to>
      <xdr:col>24</xdr:col>
      <xdr:colOff>47625</xdr:colOff>
      <xdr:row>490</xdr:row>
      <xdr:rowOff>144555</xdr:rowOff>
    </xdr:to>
    <xdr:pic>
      <xdr:nvPicPr>
        <xdr:cNvPr id="1457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743807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488</xdr:row>
      <xdr:rowOff>19050</xdr:rowOff>
    </xdr:from>
    <xdr:to>
      <xdr:col>24</xdr:col>
      <xdr:colOff>47625</xdr:colOff>
      <xdr:row>488</xdr:row>
      <xdr:rowOff>144555</xdr:rowOff>
    </xdr:to>
    <xdr:pic>
      <xdr:nvPicPr>
        <xdr:cNvPr id="1458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740759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24</xdr:col>
      <xdr:colOff>76200</xdr:colOff>
      <xdr:row>292</xdr:row>
      <xdr:rowOff>19050</xdr:rowOff>
    </xdr:from>
    <xdr:ext cx="502920" cy="121920"/>
    <xdr:pic>
      <xdr:nvPicPr>
        <xdr:cNvPr id="1464" name="Imagen 1463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91500" y="46177200"/>
          <a:ext cx="502920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292</xdr:row>
      <xdr:rowOff>19050</xdr:rowOff>
    </xdr:from>
    <xdr:ext cx="828675" cy="123825"/>
    <xdr:pic>
      <xdr:nvPicPr>
        <xdr:cNvPr id="1465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60152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413</xdr:row>
      <xdr:rowOff>19050</xdr:rowOff>
    </xdr:from>
    <xdr:ext cx="819150" cy="123825"/>
    <xdr:pic>
      <xdr:nvPicPr>
        <xdr:cNvPr id="133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36460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165</xdr:row>
      <xdr:rowOff>19050</xdr:rowOff>
    </xdr:from>
    <xdr:to>
      <xdr:col>24</xdr:col>
      <xdr:colOff>47625</xdr:colOff>
      <xdr:row>165</xdr:row>
      <xdr:rowOff>142875</xdr:rowOff>
    </xdr:to>
    <xdr:pic>
      <xdr:nvPicPr>
        <xdr:cNvPr id="111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6022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166</xdr:row>
      <xdr:rowOff>19050</xdr:rowOff>
    </xdr:from>
    <xdr:to>
      <xdr:col>24</xdr:col>
      <xdr:colOff>47625</xdr:colOff>
      <xdr:row>166</xdr:row>
      <xdr:rowOff>142875</xdr:rowOff>
    </xdr:to>
    <xdr:pic>
      <xdr:nvPicPr>
        <xdr:cNvPr id="1149" name="799 Imagen" descr="laser fibra icono.png">
          <a:extLst>
            <a:ext uri="{FF2B5EF4-FFF2-40B4-BE49-F238E27FC236}">
              <a16:creationId xmlns:a16="http://schemas.microsoft.com/office/drawing/2014/main" id="{EDD32002-13BF-4860-8699-927BE30451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6327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169</xdr:row>
      <xdr:rowOff>19050</xdr:rowOff>
    </xdr:from>
    <xdr:to>
      <xdr:col>24</xdr:col>
      <xdr:colOff>47625</xdr:colOff>
      <xdr:row>169</xdr:row>
      <xdr:rowOff>142875</xdr:rowOff>
    </xdr:to>
    <xdr:pic>
      <xdr:nvPicPr>
        <xdr:cNvPr id="144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6936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172</xdr:row>
      <xdr:rowOff>19050</xdr:rowOff>
    </xdr:from>
    <xdr:to>
      <xdr:col>24</xdr:col>
      <xdr:colOff>47625</xdr:colOff>
      <xdr:row>172</xdr:row>
      <xdr:rowOff>142875</xdr:rowOff>
    </xdr:to>
    <xdr:pic>
      <xdr:nvPicPr>
        <xdr:cNvPr id="1467" name="798 Imagen" descr="laser un lado icono.png">
          <a:extLst>
            <a:ext uri="{FF2B5EF4-FFF2-40B4-BE49-F238E27FC236}">
              <a16:creationId xmlns:a16="http://schemas.microsoft.com/office/drawing/2014/main" id="{FEE13A0F-A7C3-4C88-B5E4-92FB9A0A5B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7393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171</xdr:row>
      <xdr:rowOff>19050</xdr:rowOff>
    </xdr:from>
    <xdr:to>
      <xdr:col>24</xdr:col>
      <xdr:colOff>47625</xdr:colOff>
      <xdr:row>171</xdr:row>
      <xdr:rowOff>142875</xdr:rowOff>
    </xdr:to>
    <xdr:pic>
      <xdr:nvPicPr>
        <xdr:cNvPr id="1468" name="800 Imagen" descr="laser fibra icono.png">
          <a:extLst>
            <a:ext uri="{FF2B5EF4-FFF2-40B4-BE49-F238E27FC236}">
              <a16:creationId xmlns:a16="http://schemas.microsoft.com/office/drawing/2014/main" id="{0C26C14E-6138-4998-9C48-BA277F11FB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7241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168</xdr:row>
      <xdr:rowOff>19050</xdr:rowOff>
    </xdr:from>
    <xdr:to>
      <xdr:col>24</xdr:col>
      <xdr:colOff>47625</xdr:colOff>
      <xdr:row>168</xdr:row>
      <xdr:rowOff>142875</xdr:rowOff>
    </xdr:to>
    <xdr:pic>
      <xdr:nvPicPr>
        <xdr:cNvPr id="1469" name="800 Imagen" descr="laser fibra icono.png">
          <a:extLst>
            <a:ext uri="{FF2B5EF4-FFF2-40B4-BE49-F238E27FC236}">
              <a16:creationId xmlns:a16="http://schemas.microsoft.com/office/drawing/2014/main" id="{0C26C14E-6138-4998-9C48-BA277F11FB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6784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242</xdr:row>
      <xdr:rowOff>19050</xdr:rowOff>
    </xdr:from>
    <xdr:ext cx="819150" cy="123825"/>
    <xdr:pic>
      <xdr:nvPicPr>
        <xdr:cNvPr id="1084" name="659 Imagen" descr="seri icono.png">
          <a:extLst>
            <a:ext uri="{FF2B5EF4-FFF2-40B4-BE49-F238E27FC236}">
              <a16:creationId xmlns:a16="http://schemas.microsoft.com/office/drawing/2014/main" id="{CFC55181-40DC-4BCF-8415-11762553D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35928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242</xdr:row>
      <xdr:rowOff>19050</xdr:rowOff>
    </xdr:from>
    <xdr:ext cx="819150" cy="123825"/>
    <xdr:pic>
      <xdr:nvPicPr>
        <xdr:cNvPr id="113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35928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8</xdr:col>
      <xdr:colOff>0</xdr:colOff>
      <xdr:row>453</xdr:row>
      <xdr:rowOff>19050</xdr:rowOff>
    </xdr:from>
    <xdr:to>
      <xdr:col>11</xdr:col>
      <xdr:colOff>0</xdr:colOff>
      <xdr:row>453</xdr:row>
      <xdr:rowOff>142875</xdr:rowOff>
    </xdr:to>
    <xdr:pic>
      <xdr:nvPicPr>
        <xdr:cNvPr id="1298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6225" y="69122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454</xdr:row>
      <xdr:rowOff>19050</xdr:rowOff>
    </xdr:from>
    <xdr:to>
      <xdr:col>11</xdr:col>
      <xdr:colOff>0</xdr:colOff>
      <xdr:row>454</xdr:row>
      <xdr:rowOff>142875</xdr:rowOff>
    </xdr:to>
    <xdr:pic>
      <xdr:nvPicPr>
        <xdr:cNvPr id="1324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6225" y="692753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455</xdr:row>
      <xdr:rowOff>19050</xdr:rowOff>
    </xdr:from>
    <xdr:to>
      <xdr:col>11</xdr:col>
      <xdr:colOff>0</xdr:colOff>
      <xdr:row>455</xdr:row>
      <xdr:rowOff>142875</xdr:rowOff>
    </xdr:to>
    <xdr:pic>
      <xdr:nvPicPr>
        <xdr:cNvPr id="1355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6225" y="694277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456</xdr:row>
      <xdr:rowOff>19050</xdr:rowOff>
    </xdr:from>
    <xdr:to>
      <xdr:col>11</xdr:col>
      <xdr:colOff>0</xdr:colOff>
      <xdr:row>456</xdr:row>
      <xdr:rowOff>142875</xdr:rowOff>
    </xdr:to>
    <xdr:pic>
      <xdr:nvPicPr>
        <xdr:cNvPr id="1382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6225" y="69580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458</xdr:row>
      <xdr:rowOff>19050</xdr:rowOff>
    </xdr:from>
    <xdr:to>
      <xdr:col>11</xdr:col>
      <xdr:colOff>0</xdr:colOff>
      <xdr:row>458</xdr:row>
      <xdr:rowOff>142875</xdr:rowOff>
    </xdr:to>
    <xdr:pic>
      <xdr:nvPicPr>
        <xdr:cNvPr id="1413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6225" y="69732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459</xdr:row>
      <xdr:rowOff>19050</xdr:rowOff>
    </xdr:from>
    <xdr:to>
      <xdr:col>11</xdr:col>
      <xdr:colOff>0</xdr:colOff>
      <xdr:row>459</xdr:row>
      <xdr:rowOff>142875</xdr:rowOff>
    </xdr:to>
    <xdr:pic>
      <xdr:nvPicPr>
        <xdr:cNvPr id="1414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6225" y="69884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243</xdr:row>
      <xdr:rowOff>19050</xdr:rowOff>
    </xdr:from>
    <xdr:ext cx="819150" cy="123825"/>
    <xdr:pic>
      <xdr:nvPicPr>
        <xdr:cNvPr id="1415" name="659 Imagen" descr="seri icono.png">
          <a:extLst>
            <a:ext uri="{FF2B5EF4-FFF2-40B4-BE49-F238E27FC236}">
              <a16:creationId xmlns:a16="http://schemas.microsoft.com/office/drawing/2014/main" id="{CFC55181-40DC-4BCF-8415-11762553D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36223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243</xdr:row>
      <xdr:rowOff>19050</xdr:rowOff>
    </xdr:from>
    <xdr:ext cx="819150" cy="123825"/>
    <xdr:pic>
      <xdr:nvPicPr>
        <xdr:cNvPr id="144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36223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258</xdr:row>
      <xdr:rowOff>19050</xdr:rowOff>
    </xdr:from>
    <xdr:ext cx="819150" cy="123825"/>
    <xdr:pic>
      <xdr:nvPicPr>
        <xdr:cNvPr id="1475" name="659 Imagen" descr="seri icono.png">
          <a:extLst>
            <a:ext uri="{FF2B5EF4-FFF2-40B4-BE49-F238E27FC236}">
              <a16:creationId xmlns:a16="http://schemas.microsoft.com/office/drawing/2014/main" id="{CFC55181-40DC-4BCF-8415-11762553D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35918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258</xdr:row>
      <xdr:rowOff>19050</xdr:rowOff>
    </xdr:from>
    <xdr:ext cx="819150" cy="123825"/>
    <xdr:pic>
      <xdr:nvPicPr>
        <xdr:cNvPr id="147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35918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233</xdr:row>
      <xdr:rowOff>19050</xdr:rowOff>
    </xdr:from>
    <xdr:ext cx="819150" cy="123825"/>
    <xdr:pic>
      <xdr:nvPicPr>
        <xdr:cNvPr id="1481" name="659 Imagen" descr="seri icono.png">
          <a:extLst>
            <a:ext uri="{FF2B5EF4-FFF2-40B4-BE49-F238E27FC236}">
              <a16:creationId xmlns:a16="http://schemas.microsoft.com/office/drawing/2014/main" id="{CFC55181-40DC-4BCF-8415-11762553D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35461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233</xdr:row>
      <xdr:rowOff>19050</xdr:rowOff>
    </xdr:from>
    <xdr:ext cx="819150" cy="123825"/>
    <xdr:pic>
      <xdr:nvPicPr>
        <xdr:cNvPr id="148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35461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538</xdr:row>
      <xdr:rowOff>19050</xdr:rowOff>
    </xdr:from>
    <xdr:ext cx="847346" cy="121920"/>
    <xdr:pic>
      <xdr:nvPicPr>
        <xdr:cNvPr id="964" name="Imagen 963"/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802386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539</xdr:row>
      <xdr:rowOff>19050</xdr:rowOff>
    </xdr:from>
    <xdr:ext cx="847346" cy="121920"/>
    <xdr:pic>
      <xdr:nvPicPr>
        <xdr:cNvPr id="1053" name="Imagen 1052"/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803910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195</xdr:row>
      <xdr:rowOff>19050</xdr:rowOff>
    </xdr:from>
    <xdr:ext cx="819150" cy="123825"/>
    <xdr:pic>
      <xdr:nvPicPr>
        <xdr:cNvPr id="147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0584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471</xdr:row>
      <xdr:rowOff>19050</xdr:rowOff>
    </xdr:from>
    <xdr:ext cx="847346" cy="121920"/>
    <xdr:pic>
      <xdr:nvPicPr>
        <xdr:cNvPr id="999" name="Imagen 998"/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2475725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571</xdr:row>
      <xdr:rowOff>19050</xdr:rowOff>
    </xdr:from>
    <xdr:ext cx="847346" cy="121920"/>
    <xdr:pic>
      <xdr:nvPicPr>
        <xdr:cNvPr id="982" name="Imagen 981"/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40486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572</xdr:row>
      <xdr:rowOff>19050</xdr:rowOff>
    </xdr:from>
    <xdr:ext cx="847346" cy="121920"/>
    <xdr:pic>
      <xdr:nvPicPr>
        <xdr:cNvPr id="1076" name="Imagen 1075"/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420100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486</xdr:row>
      <xdr:rowOff>28575</xdr:rowOff>
    </xdr:from>
    <xdr:ext cx="342900" cy="104775"/>
    <xdr:pic>
      <xdr:nvPicPr>
        <xdr:cNvPr id="1164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45426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486</xdr:row>
      <xdr:rowOff>19050</xdr:rowOff>
    </xdr:from>
    <xdr:ext cx="819150" cy="125505"/>
    <xdr:pic>
      <xdr:nvPicPr>
        <xdr:cNvPr id="1449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745331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487</xdr:row>
      <xdr:rowOff>28575</xdr:rowOff>
    </xdr:from>
    <xdr:ext cx="342900" cy="104775"/>
    <xdr:pic>
      <xdr:nvPicPr>
        <xdr:cNvPr id="1472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43807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487</xdr:row>
      <xdr:rowOff>19050</xdr:rowOff>
    </xdr:from>
    <xdr:ext cx="819914" cy="121920"/>
    <xdr:pic>
      <xdr:nvPicPr>
        <xdr:cNvPr id="1479" name="Imagen 1478"/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4523600"/>
          <a:ext cx="819914" cy="121920"/>
        </a:xfrm>
        <a:prstGeom prst="rect">
          <a:avLst/>
        </a:prstGeom>
      </xdr:spPr>
    </xdr:pic>
    <xdr:clientData/>
  </xdr:oneCellAnchor>
  <xdr:oneCellAnchor>
    <xdr:from>
      <xdr:col>24</xdr:col>
      <xdr:colOff>57150</xdr:colOff>
      <xdr:row>487</xdr:row>
      <xdr:rowOff>19050</xdr:rowOff>
    </xdr:from>
    <xdr:ext cx="463297" cy="121920"/>
    <xdr:pic>
      <xdr:nvPicPr>
        <xdr:cNvPr id="1483" name="Imagen 1482"/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2450" y="74523600"/>
          <a:ext cx="463297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492</xdr:row>
      <xdr:rowOff>19050</xdr:rowOff>
    </xdr:from>
    <xdr:ext cx="819914" cy="121920"/>
    <xdr:pic>
      <xdr:nvPicPr>
        <xdr:cNvPr id="1491" name="Imagen 1490"/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4523600"/>
          <a:ext cx="819914" cy="121920"/>
        </a:xfrm>
        <a:prstGeom prst="rect">
          <a:avLst/>
        </a:prstGeom>
      </xdr:spPr>
    </xdr:pic>
    <xdr:clientData/>
  </xdr:oneCellAnchor>
  <xdr:twoCellAnchor editAs="absolute">
    <xdr:from>
      <xdr:col>6</xdr:col>
      <xdr:colOff>126310</xdr:colOff>
      <xdr:row>488</xdr:row>
      <xdr:rowOff>85725</xdr:rowOff>
    </xdr:from>
    <xdr:to>
      <xdr:col>14</xdr:col>
      <xdr:colOff>172693</xdr:colOff>
      <xdr:row>495</xdr:row>
      <xdr:rowOff>19050</xdr:rowOff>
    </xdr:to>
    <xdr:sp macro="" textlink="">
      <xdr:nvSpPr>
        <xdr:cNvPr id="11" name="Text Box 29" hidden="1"/>
        <xdr:cNvSpPr txBox="1">
          <a:spLocks noChangeArrowheads="1"/>
        </xdr:cNvSpPr>
      </xdr:nvSpPr>
      <xdr:spPr bwMode="auto">
        <a:xfrm>
          <a:off x="3390900" y="75171300"/>
          <a:ext cx="1714500" cy="1000125"/>
        </a:xfrm>
        <a:prstGeom prst="rect">
          <a:avLst/>
        </a:prstGeom>
        <a:solidFill>
          <a:srgbClr val="FFFFE1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oneCellAnchor>
    <xdr:from>
      <xdr:col>23</xdr:col>
      <xdr:colOff>9525</xdr:colOff>
      <xdr:row>502</xdr:row>
      <xdr:rowOff>19050</xdr:rowOff>
    </xdr:from>
    <xdr:ext cx="819150" cy="125505"/>
    <xdr:pic>
      <xdr:nvPicPr>
        <xdr:cNvPr id="1478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62000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503</xdr:row>
      <xdr:rowOff>19050</xdr:rowOff>
    </xdr:from>
    <xdr:to>
      <xdr:col>24</xdr:col>
      <xdr:colOff>48389</xdr:colOff>
      <xdr:row>503</xdr:row>
      <xdr:rowOff>140970</xdr:rowOff>
    </xdr:to>
    <xdr:pic>
      <xdr:nvPicPr>
        <xdr:cNvPr id="1488" name="Imagen 1487"/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76352400"/>
          <a:ext cx="819914" cy="121920"/>
        </a:xfrm>
        <a:prstGeom prst="rect">
          <a:avLst/>
        </a:prstGeom>
      </xdr:spPr>
    </xdr:pic>
    <xdr:clientData/>
  </xdr:twoCellAnchor>
  <xdr:twoCellAnchor editAs="oneCell">
    <xdr:from>
      <xdr:col>23</xdr:col>
      <xdr:colOff>9525</xdr:colOff>
      <xdr:row>385</xdr:row>
      <xdr:rowOff>19050</xdr:rowOff>
    </xdr:from>
    <xdr:to>
      <xdr:col>24</xdr:col>
      <xdr:colOff>47625</xdr:colOff>
      <xdr:row>385</xdr:row>
      <xdr:rowOff>142875</xdr:rowOff>
    </xdr:to>
    <xdr:pic>
      <xdr:nvPicPr>
        <xdr:cNvPr id="150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60388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321</xdr:row>
      <xdr:rowOff>19050</xdr:rowOff>
    </xdr:from>
    <xdr:to>
      <xdr:col>24</xdr:col>
      <xdr:colOff>47625</xdr:colOff>
      <xdr:row>321</xdr:row>
      <xdr:rowOff>142875</xdr:rowOff>
    </xdr:to>
    <xdr:pic>
      <xdr:nvPicPr>
        <xdr:cNvPr id="151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1549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320</xdr:row>
      <xdr:rowOff>19050</xdr:rowOff>
    </xdr:from>
    <xdr:to>
      <xdr:col>24</xdr:col>
      <xdr:colOff>47625</xdr:colOff>
      <xdr:row>320</xdr:row>
      <xdr:rowOff>142875</xdr:rowOff>
    </xdr:to>
    <xdr:pic>
      <xdr:nvPicPr>
        <xdr:cNvPr id="151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1396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322</xdr:row>
      <xdr:rowOff>19050</xdr:rowOff>
    </xdr:from>
    <xdr:to>
      <xdr:col>24</xdr:col>
      <xdr:colOff>47625</xdr:colOff>
      <xdr:row>322</xdr:row>
      <xdr:rowOff>142875</xdr:rowOff>
    </xdr:to>
    <xdr:pic>
      <xdr:nvPicPr>
        <xdr:cNvPr id="152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1701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323</xdr:row>
      <xdr:rowOff>19050</xdr:rowOff>
    </xdr:from>
    <xdr:to>
      <xdr:col>24</xdr:col>
      <xdr:colOff>47625</xdr:colOff>
      <xdr:row>323</xdr:row>
      <xdr:rowOff>142875</xdr:rowOff>
    </xdr:to>
    <xdr:pic>
      <xdr:nvPicPr>
        <xdr:cNvPr id="152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1854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311</xdr:row>
      <xdr:rowOff>19050</xdr:rowOff>
    </xdr:from>
    <xdr:to>
      <xdr:col>24</xdr:col>
      <xdr:colOff>47625</xdr:colOff>
      <xdr:row>311</xdr:row>
      <xdr:rowOff>142875</xdr:rowOff>
    </xdr:to>
    <xdr:pic>
      <xdr:nvPicPr>
        <xdr:cNvPr id="152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0787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312</xdr:row>
      <xdr:rowOff>19050</xdr:rowOff>
    </xdr:from>
    <xdr:to>
      <xdr:col>24</xdr:col>
      <xdr:colOff>47625</xdr:colOff>
      <xdr:row>312</xdr:row>
      <xdr:rowOff>142875</xdr:rowOff>
    </xdr:to>
    <xdr:pic>
      <xdr:nvPicPr>
        <xdr:cNvPr id="152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0939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331</xdr:row>
      <xdr:rowOff>19050</xdr:rowOff>
    </xdr:from>
    <xdr:to>
      <xdr:col>24</xdr:col>
      <xdr:colOff>47625</xdr:colOff>
      <xdr:row>331</xdr:row>
      <xdr:rowOff>142875</xdr:rowOff>
    </xdr:to>
    <xdr:pic>
      <xdr:nvPicPr>
        <xdr:cNvPr id="152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2920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332</xdr:row>
      <xdr:rowOff>19050</xdr:rowOff>
    </xdr:from>
    <xdr:to>
      <xdr:col>24</xdr:col>
      <xdr:colOff>47625</xdr:colOff>
      <xdr:row>332</xdr:row>
      <xdr:rowOff>142875</xdr:rowOff>
    </xdr:to>
    <xdr:pic>
      <xdr:nvPicPr>
        <xdr:cNvPr id="152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3073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333</xdr:row>
      <xdr:rowOff>19050</xdr:rowOff>
    </xdr:from>
    <xdr:to>
      <xdr:col>24</xdr:col>
      <xdr:colOff>47625</xdr:colOff>
      <xdr:row>333</xdr:row>
      <xdr:rowOff>142875</xdr:rowOff>
    </xdr:to>
    <xdr:pic>
      <xdr:nvPicPr>
        <xdr:cNvPr id="152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3225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334</xdr:row>
      <xdr:rowOff>19050</xdr:rowOff>
    </xdr:from>
    <xdr:to>
      <xdr:col>24</xdr:col>
      <xdr:colOff>47625</xdr:colOff>
      <xdr:row>334</xdr:row>
      <xdr:rowOff>142875</xdr:rowOff>
    </xdr:to>
    <xdr:pic>
      <xdr:nvPicPr>
        <xdr:cNvPr id="152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3378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358</xdr:row>
      <xdr:rowOff>19050</xdr:rowOff>
    </xdr:from>
    <xdr:to>
      <xdr:col>24</xdr:col>
      <xdr:colOff>47625</xdr:colOff>
      <xdr:row>358</xdr:row>
      <xdr:rowOff>142875</xdr:rowOff>
    </xdr:to>
    <xdr:pic>
      <xdr:nvPicPr>
        <xdr:cNvPr id="152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5816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355</xdr:row>
      <xdr:rowOff>19050</xdr:rowOff>
    </xdr:from>
    <xdr:to>
      <xdr:col>24</xdr:col>
      <xdr:colOff>47625</xdr:colOff>
      <xdr:row>355</xdr:row>
      <xdr:rowOff>142875</xdr:rowOff>
    </xdr:to>
    <xdr:pic>
      <xdr:nvPicPr>
        <xdr:cNvPr id="153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5359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356</xdr:row>
      <xdr:rowOff>19050</xdr:rowOff>
    </xdr:from>
    <xdr:to>
      <xdr:col>24</xdr:col>
      <xdr:colOff>47625</xdr:colOff>
      <xdr:row>356</xdr:row>
      <xdr:rowOff>142875</xdr:rowOff>
    </xdr:to>
    <xdr:pic>
      <xdr:nvPicPr>
        <xdr:cNvPr id="153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5511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357</xdr:row>
      <xdr:rowOff>19050</xdr:rowOff>
    </xdr:from>
    <xdr:to>
      <xdr:col>24</xdr:col>
      <xdr:colOff>47625</xdr:colOff>
      <xdr:row>357</xdr:row>
      <xdr:rowOff>142875</xdr:rowOff>
    </xdr:to>
    <xdr:pic>
      <xdr:nvPicPr>
        <xdr:cNvPr id="153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5664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359</xdr:row>
      <xdr:rowOff>19050</xdr:rowOff>
    </xdr:from>
    <xdr:to>
      <xdr:col>24</xdr:col>
      <xdr:colOff>47625</xdr:colOff>
      <xdr:row>359</xdr:row>
      <xdr:rowOff>142875</xdr:rowOff>
    </xdr:to>
    <xdr:pic>
      <xdr:nvPicPr>
        <xdr:cNvPr id="153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6121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383</xdr:row>
      <xdr:rowOff>19050</xdr:rowOff>
    </xdr:from>
    <xdr:to>
      <xdr:col>24</xdr:col>
      <xdr:colOff>47625</xdr:colOff>
      <xdr:row>383</xdr:row>
      <xdr:rowOff>142875</xdr:rowOff>
    </xdr:to>
    <xdr:pic>
      <xdr:nvPicPr>
        <xdr:cNvPr id="102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9778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384</xdr:row>
      <xdr:rowOff>19050</xdr:rowOff>
    </xdr:from>
    <xdr:to>
      <xdr:col>24</xdr:col>
      <xdr:colOff>47625</xdr:colOff>
      <xdr:row>384</xdr:row>
      <xdr:rowOff>142875</xdr:rowOff>
    </xdr:to>
    <xdr:pic>
      <xdr:nvPicPr>
        <xdr:cNvPr id="103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9931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8283</xdr:colOff>
      <xdr:row>377</xdr:row>
      <xdr:rowOff>16566</xdr:rowOff>
    </xdr:from>
    <xdr:to>
      <xdr:col>24</xdr:col>
      <xdr:colOff>46383</xdr:colOff>
      <xdr:row>377</xdr:row>
      <xdr:rowOff>140391</xdr:rowOff>
    </xdr:to>
    <xdr:pic>
      <xdr:nvPicPr>
        <xdr:cNvPr id="92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72131" y="57829175"/>
          <a:ext cx="81666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8283</xdr:colOff>
      <xdr:row>90</xdr:row>
      <xdr:rowOff>19050</xdr:rowOff>
    </xdr:from>
    <xdr:to>
      <xdr:col>10</xdr:col>
      <xdr:colOff>2173</xdr:colOff>
      <xdr:row>90</xdr:row>
      <xdr:rowOff>142875</xdr:rowOff>
    </xdr:to>
    <xdr:pic>
      <xdr:nvPicPr>
        <xdr:cNvPr id="1047" name="958 Imagen" descr="CONSULTAR ICONO.png">
          <a:extLst>
            <a:ext uri="{FF2B5EF4-FFF2-40B4-BE49-F238E27FC236}">
              <a16:creationId xmlns:a16="http://schemas.microsoft.com/office/drawing/2014/main" id="{29D468AD-F7E7-44B9-9EF6-C3162FD50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5883" y="14220825"/>
          <a:ext cx="82256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8283</xdr:colOff>
      <xdr:row>91</xdr:row>
      <xdr:rowOff>16566</xdr:rowOff>
    </xdr:from>
    <xdr:to>
      <xdr:col>10</xdr:col>
      <xdr:colOff>2173</xdr:colOff>
      <xdr:row>91</xdr:row>
      <xdr:rowOff>140391</xdr:rowOff>
    </xdr:to>
    <xdr:pic>
      <xdr:nvPicPr>
        <xdr:cNvPr id="1056" name="958 Imagen" descr="CONSULTAR ICONO.png">
          <a:extLst>
            <a:ext uri="{FF2B5EF4-FFF2-40B4-BE49-F238E27FC236}">
              <a16:creationId xmlns:a16="http://schemas.microsoft.com/office/drawing/2014/main" id="{29D468AD-F7E7-44B9-9EF6-C3162FD50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5883" y="14370741"/>
          <a:ext cx="82256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8283</xdr:colOff>
      <xdr:row>92</xdr:row>
      <xdr:rowOff>16566</xdr:rowOff>
    </xdr:from>
    <xdr:to>
      <xdr:col>10</xdr:col>
      <xdr:colOff>2173</xdr:colOff>
      <xdr:row>92</xdr:row>
      <xdr:rowOff>140391</xdr:rowOff>
    </xdr:to>
    <xdr:pic>
      <xdr:nvPicPr>
        <xdr:cNvPr id="1128" name="958 Imagen" descr="CONSULTAR ICONO.png">
          <a:extLst>
            <a:ext uri="{FF2B5EF4-FFF2-40B4-BE49-F238E27FC236}">
              <a16:creationId xmlns:a16="http://schemas.microsoft.com/office/drawing/2014/main" id="{29D468AD-F7E7-44B9-9EF6-C3162FD50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5883" y="14523141"/>
          <a:ext cx="82256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130</xdr:row>
      <xdr:rowOff>19050</xdr:rowOff>
    </xdr:from>
    <xdr:to>
      <xdr:col>10</xdr:col>
      <xdr:colOff>1</xdr:colOff>
      <xdr:row>130</xdr:row>
      <xdr:rowOff>142875</xdr:rowOff>
    </xdr:to>
    <xdr:pic>
      <xdr:nvPicPr>
        <xdr:cNvPr id="1185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20012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131</xdr:row>
      <xdr:rowOff>19050</xdr:rowOff>
    </xdr:from>
    <xdr:to>
      <xdr:col>10</xdr:col>
      <xdr:colOff>1</xdr:colOff>
      <xdr:row>131</xdr:row>
      <xdr:rowOff>142875</xdr:rowOff>
    </xdr:to>
    <xdr:pic>
      <xdr:nvPicPr>
        <xdr:cNvPr id="1188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20164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132</xdr:row>
      <xdr:rowOff>19050</xdr:rowOff>
    </xdr:from>
    <xdr:to>
      <xdr:col>10</xdr:col>
      <xdr:colOff>1</xdr:colOff>
      <xdr:row>132</xdr:row>
      <xdr:rowOff>142875</xdr:rowOff>
    </xdr:to>
    <xdr:pic>
      <xdr:nvPicPr>
        <xdr:cNvPr id="1192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20316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133</xdr:row>
      <xdr:rowOff>19050</xdr:rowOff>
    </xdr:from>
    <xdr:to>
      <xdr:col>10</xdr:col>
      <xdr:colOff>1</xdr:colOff>
      <xdr:row>133</xdr:row>
      <xdr:rowOff>142875</xdr:rowOff>
    </xdr:to>
    <xdr:pic>
      <xdr:nvPicPr>
        <xdr:cNvPr id="1203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20469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8283</xdr:colOff>
      <xdr:row>351</xdr:row>
      <xdr:rowOff>16566</xdr:rowOff>
    </xdr:from>
    <xdr:to>
      <xdr:col>24</xdr:col>
      <xdr:colOff>46383</xdr:colOff>
      <xdr:row>351</xdr:row>
      <xdr:rowOff>140391</xdr:rowOff>
    </xdr:to>
    <xdr:pic>
      <xdr:nvPicPr>
        <xdr:cNvPr id="102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1826" y="53803827"/>
          <a:ext cx="81666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8283</xdr:colOff>
      <xdr:row>499</xdr:row>
      <xdr:rowOff>16566</xdr:rowOff>
    </xdr:from>
    <xdr:ext cx="819914" cy="121920"/>
    <xdr:pic>
      <xdr:nvPicPr>
        <xdr:cNvPr id="1152" name="Imagen 1151"/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1826" y="74510349"/>
          <a:ext cx="819914" cy="121920"/>
        </a:xfrm>
        <a:prstGeom prst="rect">
          <a:avLst/>
        </a:prstGeom>
      </xdr:spPr>
    </xdr:pic>
    <xdr:clientData/>
  </xdr:oneCellAnchor>
  <xdr:oneCellAnchor>
    <xdr:from>
      <xdr:col>23</xdr:col>
      <xdr:colOff>8283</xdr:colOff>
      <xdr:row>274</xdr:row>
      <xdr:rowOff>16566</xdr:rowOff>
    </xdr:from>
    <xdr:ext cx="819150" cy="123825"/>
    <xdr:pic>
      <xdr:nvPicPr>
        <xdr:cNvPr id="1208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1826" y="423986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24</xdr:col>
      <xdr:colOff>74958</xdr:colOff>
      <xdr:row>274</xdr:row>
      <xdr:rowOff>16566</xdr:rowOff>
    </xdr:from>
    <xdr:to>
      <xdr:col>25</xdr:col>
      <xdr:colOff>82577</xdr:colOff>
      <xdr:row>274</xdr:row>
      <xdr:rowOff>138486</xdr:rowOff>
    </xdr:to>
    <xdr:pic>
      <xdr:nvPicPr>
        <xdr:cNvPr id="1209" name="Imagen 1208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67067" y="42398675"/>
          <a:ext cx="504576" cy="121920"/>
        </a:xfrm>
        <a:prstGeom prst="rect">
          <a:avLst/>
        </a:prstGeom>
      </xdr:spPr>
    </xdr:pic>
    <xdr:clientData/>
  </xdr:twoCellAnchor>
  <xdr:twoCellAnchor editAs="oneCell">
    <xdr:from>
      <xdr:col>10</xdr:col>
      <xdr:colOff>9525</xdr:colOff>
      <xdr:row>48</xdr:row>
      <xdr:rowOff>19050</xdr:rowOff>
    </xdr:from>
    <xdr:to>
      <xdr:col>13</xdr:col>
      <xdr:colOff>9524</xdr:colOff>
      <xdr:row>48</xdr:row>
      <xdr:rowOff>142875</xdr:rowOff>
    </xdr:to>
    <xdr:pic>
      <xdr:nvPicPr>
        <xdr:cNvPr id="916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05275" y="80772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9525</xdr:colOff>
      <xdr:row>49</xdr:row>
      <xdr:rowOff>19050</xdr:rowOff>
    </xdr:from>
    <xdr:to>
      <xdr:col>13</xdr:col>
      <xdr:colOff>9524</xdr:colOff>
      <xdr:row>49</xdr:row>
      <xdr:rowOff>142875</xdr:rowOff>
    </xdr:to>
    <xdr:pic>
      <xdr:nvPicPr>
        <xdr:cNvPr id="919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05275" y="82296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9525</xdr:colOff>
      <xdr:row>50</xdr:row>
      <xdr:rowOff>19050</xdr:rowOff>
    </xdr:from>
    <xdr:to>
      <xdr:col>13</xdr:col>
      <xdr:colOff>9524</xdr:colOff>
      <xdr:row>50</xdr:row>
      <xdr:rowOff>142875</xdr:rowOff>
    </xdr:to>
    <xdr:pic>
      <xdr:nvPicPr>
        <xdr:cNvPr id="920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05275" y="83820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329</xdr:row>
      <xdr:rowOff>19050</xdr:rowOff>
    </xdr:from>
    <xdr:to>
      <xdr:col>24</xdr:col>
      <xdr:colOff>47625</xdr:colOff>
      <xdr:row>329</xdr:row>
      <xdr:rowOff>142875</xdr:rowOff>
    </xdr:to>
    <xdr:pic>
      <xdr:nvPicPr>
        <xdr:cNvPr id="93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2768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330</xdr:row>
      <xdr:rowOff>19050</xdr:rowOff>
    </xdr:from>
    <xdr:to>
      <xdr:col>24</xdr:col>
      <xdr:colOff>47625</xdr:colOff>
      <xdr:row>330</xdr:row>
      <xdr:rowOff>142875</xdr:rowOff>
    </xdr:to>
    <xdr:pic>
      <xdr:nvPicPr>
        <xdr:cNvPr id="95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2920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327</xdr:row>
      <xdr:rowOff>19050</xdr:rowOff>
    </xdr:from>
    <xdr:to>
      <xdr:col>24</xdr:col>
      <xdr:colOff>47625</xdr:colOff>
      <xdr:row>327</xdr:row>
      <xdr:rowOff>142875</xdr:rowOff>
    </xdr:to>
    <xdr:pic>
      <xdr:nvPicPr>
        <xdr:cNvPr id="95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2463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147</xdr:row>
      <xdr:rowOff>19050</xdr:rowOff>
    </xdr:from>
    <xdr:to>
      <xdr:col>24</xdr:col>
      <xdr:colOff>47625</xdr:colOff>
      <xdr:row>147</xdr:row>
      <xdr:rowOff>142875</xdr:rowOff>
    </xdr:to>
    <xdr:pic>
      <xdr:nvPicPr>
        <xdr:cNvPr id="99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23060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678</xdr:row>
      <xdr:rowOff>19050</xdr:rowOff>
    </xdr:from>
    <xdr:to>
      <xdr:col>13</xdr:col>
      <xdr:colOff>1</xdr:colOff>
      <xdr:row>678</xdr:row>
      <xdr:rowOff>142875</xdr:rowOff>
    </xdr:to>
    <xdr:pic>
      <xdr:nvPicPr>
        <xdr:cNvPr id="1011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0" y="10053637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679</xdr:row>
      <xdr:rowOff>19050</xdr:rowOff>
    </xdr:from>
    <xdr:to>
      <xdr:col>13</xdr:col>
      <xdr:colOff>1</xdr:colOff>
      <xdr:row>679</xdr:row>
      <xdr:rowOff>142875</xdr:rowOff>
    </xdr:to>
    <xdr:pic>
      <xdr:nvPicPr>
        <xdr:cNvPr id="1040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0" y="10068877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680</xdr:row>
      <xdr:rowOff>19050</xdr:rowOff>
    </xdr:from>
    <xdr:to>
      <xdr:col>13</xdr:col>
      <xdr:colOff>1</xdr:colOff>
      <xdr:row>680</xdr:row>
      <xdr:rowOff>142875</xdr:rowOff>
    </xdr:to>
    <xdr:pic>
      <xdr:nvPicPr>
        <xdr:cNvPr id="1045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0" y="10084117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362</xdr:row>
      <xdr:rowOff>19050</xdr:rowOff>
    </xdr:from>
    <xdr:ext cx="819149" cy="123825"/>
    <xdr:pic>
      <xdr:nvPicPr>
        <xdr:cNvPr id="108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562737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451</xdr:row>
      <xdr:rowOff>19050</xdr:rowOff>
    </xdr:from>
    <xdr:ext cx="819150" cy="123825"/>
    <xdr:pic>
      <xdr:nvPicPr>
        <xdr:cNvPr id="1172" name="365 Imagen" descr="laser fibra icono.png">
          <a:extLst>
            <a:ext uri="{FF2B5EF4-FFF2-40B4-BE49-F238E27FC236}">
              <a16:creationId xmlns:a16="http://schemas.microsoft.com/office/drawing/2014/main" id="{6239FBFC-C360-4BB2-83CA-3710A8BAD1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7598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433</xdr:row>
      <xdr:rowOff>19050</xdr:rowOff>
    </xdr:from>
    <xdr:ext cx="819150" cy="123825"/>
    <xdr:pic>
      <xdr:nvPicPr>
        <xdr:cNvPr id="1204" name="365 Imagen" descr="laser fibra icono.png">
          <a:extLst>
            <a:ext uri="{FF2B5EF4-FFF2-40B4-BE49-F238E27FC236}">
              <a16:creationId xmlns:a16="http://schemas.microsoft.com/office/drawing/2014/main" id="{6239FBFC-C360-4BB2-83CA-3710A8BAD1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9122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432</xdr:row>
      <xdr:rowOff>19050</xdr:rowOff>
    </xdr:from>
    <xdr:ext cx="819150" cy="123825"/>
    <xdr:pic>
      <xdr:nvPicPr>
        <xdr:cNvPr id="1213" name="365 Imagen" descr="laser fibra icono.png">
          <a:extLst>
            <a:ext uri="{FF2B5EF4-FFF2-40B4-BE49-F238E27FC236}">
              <a16:creationId xmlns:a16="http://schemas.microsoft.com/office/drawing/2014/main" id="{6239FBFC-C360-4BB2-83CA-3710A8BAD1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8970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430</xdr:row>
      <xdr:rowOff>19050</xdr:rowOff>
    </xdr:from>
    <xdr:to>
      <xdr:col>24</xdr:col>
      <xdr:colOff>47625</xdr:colOff>
      <xdr:row>430</xdr:row>
      <xdr:rowOff>144555</xdr:rowOff>
    </xdr:to>
    <xdr:pic>
      <xdr:nvPicPr>
        <xdr:cNvPr id="1217" name="307 Imagen" descr="laser icono.png">
          <a:extLst>
            <a:ext uri="{FF2B5EF4-FFF2-40B4-BE49-F238E27FC236}">
              <a16:creationId xmlns:a16="http://schemas.microsoft.com/office/drawing/2014/main" id="{B46A3E30-272A-4AF5-A52A-8526A01587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83609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431</xdr:row>
      <xdr:rowOff>19050</xdr:rowOff>
    </xdr:from>
    <xdr:to>
      <xdr:col>24</xdr:col>
      <xdr:colOff>47625</xdr:colOff>
      <xdr:row>431</xdr:row>
      <xdr:rowOff>144555</xdr:rowOff>
    </xdr:to>
    <xdr:pic>
      <xdr:nvPicPr>
        <xdr:cNvPr id="1220" name="307 Imagen" descr="laser icono.png">
          <a:extLst>
            <a:ext uri="{FF2B5EF4-FFF2-40B4-BE49-F238E27FC236}">
              <a16:creationId xmlns:a16="http://schemas.microsoft.com/office/drawing/2014/main" id="{B46A3E30-272A-4AF5-A52A-8526A01587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86657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146</xdr:row>
      <xdr:rowOff>19050</xdr:rowOff>
    </xdr:from>
    <xdr:ext cx="819150" cy="123825"/>
    <xdr:pic>
      <xdr:nvPicPr>
        <xdr:cNvPr id="1079" name="835 Imagen" descr="laser fibra icono.png">
          <a:extLst>
            <a:ext uri="{FF2B5EF4-FFF2-40B4-BE49-F238E27FC236}">
              <a16:creationId xmlns:a16="http://schemas.microsoft.com/office/drawing/2014/main" id="{D2AD4819-374C-4587-8991-34EFDF126D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22298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98</xdr:row>
      <xdr:rowOff>19050</xdr:rowOff>
    </xdr:from>
    <xdr:ext cx="819150" cy="123825"/>
    <xdr:pic>
      <xdr:nvPicPr>
        <xdr:cNvPr id="122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16354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568</xdr:row>
      <xdr:rowOff>19050</xdr:rowOff>
    </xdr:from>
    <xdr:ext cx="847346" cy="121920"/>
    <xdr:pic>
      <xdr:nvPicPr>
        <xdr:cNvPr id="1222" name="Imagen 1221"/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4725" y="843534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361</xdr:row>
      <xdr:rowOff>19050</xdr:rowOff>
    </xdr:from>
    <xdr:ext cx="819149" cy="123825"/>
    <xdr:pic>
      <xdr:nvPicPr>
        <xdr:cNvPr id="96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61213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485</xdr:row>
      <xdr:rowOff>19050</xdr:rowOff>
    </xdr:from>
    <xdr:ext cx="819914" cy="121920"/>
    <xdr:pic>
      <xdr:nvPicPr>
        <xdr:cNvPr id="1233" name="Imagen 1232"/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74380725"/>
          <a:ext cx="819914" cy="121920"/>
        </a:xfrm>
        <a:prstGeom prst="rect">
          <a:avLst/>
        </a:prstGeom>
      </xdr:spPr>
    </xdr:pic>
    <xdr:clientData/>
  </xdr:oneCellAnchor>
  <xdr:oneCellAnchor>
    <xdr:from>
      <xdr:col>24</xdr:col>
      <xdr:colOff>57150</xdr:colOff>
      <xdr:row>485</xdr:row>
      <xdr:rowOff>19050</xdr:rowOff>
    </xdr:from>
    <xdr:ext cx="463297" cy="121920"/>
    <xdr:pic>
      <xdr:nvPicPr>
        <xdr:cNvPr id="1234" name="Imagen 1233"/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72400" y="74380725"/>
          <a:ext cx="463297" cy="121920"/>
        </a:xfrm>
        <a:prstGeom prst="rect">
          <a:avLst/>
        </a:prstGeom>
      </xdr:spPr>
    </xdr:pic>
    <xdr:clientData/>
  </xdr:oneCellAnchor>
  <xdr:twoCellAnchor editAs="oneCell">
    <xdr:from>
      <xdr:col>6</xdr:col>
      <xdr:colOff>9525</xdr:colOff>
      <xdr:row>22</xdr:row>
      <xdr:rowOff>19050</xdr:rowOff>
    </xdr:from>
    <xdr:to>
      <xdr:col>9</xdr:col>
      <xdr:colOff>12838</xdr:colOff>
      <xdr:row>22</xdr:row>
      <xdr:rowOff>142875</xdr:rowOff>
    </xdr:to>
    <xdr:pic>
      <xdr:nvPicPr>
        <xdr:cNvPr id="1058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3962400"/>
          <a:ext cx="812938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497</xdr:row>
      <xdr:rowOff>19050</xdr:rowOff>
    </xdr:from>
    <xdr:ext cx="819914" cy="121920"/>
    <xdr:pic>
      <xdr:nvPicPr>
        <xdr:cNvPr id="1087" name="Imagen 1086"/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75742800"/>
          <a:ext cx="819914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496</xdr:row>
      <xdr:rowOff>19050</xdr:rowOff>
    </xdr:from>
    <xdr:to>
      <xdr:col>24</xdr:col>
      <xdr:colOff>47625</xdr:colOff>
      <xdr:row>496</xdr:row>
      <xdr:rowOff>144555</xdr:rowOff>
    </xdr:to>
    <xdr:pic>
      <xdr:nvPicPr>
        <xdr:cNvPr id="1094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57428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409</xdr:row>
      <xdr:rowOff>19050</xdr:rowOff>
    </xdr:from>
    <xdr:ext cx="819150" cy="125505"/>
    <xdr:pic>
      <xdr:nvPicPr>
        <xdr:cNvPr id="895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625697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94</xdr:row>
      <xdr:rowOff>19050</xdr:rowOff>
    </xdr:from>
    <xdr:ext cx="819150" cy="123825"/>
    <xdr:pic>
      <xdr:nvPicPr>
        <xdr:cNvPr id="108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4982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95</xdr:row>
      <xdr:rowOff>19050</xdr:rowOff>
    </xdr:from>
    <xdr:ext cx="819150" cy="123825"/>
    <xdr:pic>
      <xdr:nvPicPr>
        <xdr:cNvPr id="110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5135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27</xdr:row>
      <xdr:rowOff>19050</xdr:rowOff>
    </xdr:from>
    <xdr:ext cx="819149" cy="123825"/>
    <xdr:pic>
      <xdr:nvPicPr>
        <xdr:cNvPr id="113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8768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153</xdr:row>
      <xdr:rowOff>19050</xdr:rowOff>
    </xdr:from>
    <xdr:to>
      <xdr:col>24</xdr:col>
      <xdr:colOff>47625</xdr:colOff>
      <xdr:row>153</xdr:row>
      <xdr:rowOff>142875</xdr:rowOff>
    </xdr:to>
    <xdr:pic>
      <xdr:nvPicPr>
        <xdr:cNvPr id="114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23822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310</xdr:row>
      <xdr:rowOff>19050</xdr:rowOff>
    </xdr:from>
    <xdr:to>
      <xdr:col>24</xdr:col>
      <xdr:colOff>47625</xdr:colOff>
      <xdr:row>310</xdr:row>
      <xdr:rowOff>142875</xdr:rowOff>
    </xdr:to>
    <xdr:pic>
      <xdr:nvPicPr>
        <xdr:cNvPr id="119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0025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416</xdr:row>
      <xdr:rowOff>19050</xdr:rowOff>
    </xdr:from>
    <xdr:ext cx="819150" cy="123825"/>
    <xdr:pic>
      <xdr:nvPicPr>
        <xdr:cNvPr id="89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63788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416</xdr:row>
      <xdr:rowOff>28575</xdr:rowOff>
    </xdr:from>
    <xdr:ext cx="342900" cy="104775"/>
    <xdr:pic>
      <xdr:nvPicPr>
        <xdr:cNvPr id="893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33412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410</xdr:row>
      <xdr:rowOff>19050</xdr:rowOff>
    </xdr:from>
    <xdr:ext cx="819150" cy="125505"/>
    <xdr:pic>
      <xdr:nvPicPr>
        <xdr:cNvPr id="1169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25697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384</xdr:row>
      <xdr:rowOff>28575</xdr:rowOff>
    </xdr:from>
    <xdr:to>
      <xdr:col>1</xdr:col>
      <xdr:colOff>0</xdr:colOff>
      <xdr:row>384</xdr:row>
      <xdr:rowOff>133350</xdr:rowOff>
    </xdr:to>
    <xdr:pic>
      <xdr:nvPicPr>
        <xdr:cNvPr id="1270" name="222 Imagen" descr="oferta icono.png">
          <a:extLst>
            <a:ext uri="{FF2B5EF4-FFF2-40B4-BE49-F238E27FC236}">
              <a16:creationId xmlns:a16="http://schemas.microsoft.com/office/drawing/2014/main" id="{3E96CCA1-0FD5-4D0A-BD9D-85B022678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91788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276</xdr:row>
      <xdr:rowOff>19050</xdr:rowOff>
    </xdr:from>
    <xdr:to>
      <xdr:col>24</xdr:col>
      <xdr:colOff>47624</xdr:colOff>
      <xdr:row>276</xdr:row>
      <xdr:rowOff>142875</xdr:rowOff>
    </xdr:to>
    <xdr:pic>
      <xdr:nvPicPr>
        <xdr:cNvPr id="129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32720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277</xdr:row>
      <xdr:rowOff>19050</xdr:rowOff>
    </xdr:from>
    <xdr:to>
      <xdr:col>24</xdr:col>
      <xdr:colOff>47624</xdr:colOff>
      <xdr:row>277</xdr:row>
      <xdr:rowOff>142875</xdr:rowOff>
    </xdr:to>
    <xdr:pic>
      <xdr:nvPicPr>
        <xdr:cNvPr id="129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34244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294</xdr:row>
      <xdr:rowOff>19050</xdr:rowOff>
    </xdr:from>
    <xdr:to>
      <xdr:col>24</xdr:col>
      <xdr:colOff>47624</xdr:colOff>
      <xdr:row>294</xdr:row>
      <xdr:rowOff>142875</xdr:rowOff>
    </xdr:to>
    <xdr:pic>
      <xdr:nvPicPr>
        <xdr:cNvPr id="131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63200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306</xdr:row>
      <xdr:rowOff>19050</xdr:rowOff>
    </xdr:from>
    <xdr:to>
      <xdr:col>24</xdr:col>
      <xdr:colOff>47625</xdr:colOff>
      <xdr:row>306</xdr:row>
      <xdr:rowOff>142875</xdr:rowOff>
    </xdr:to>
    <xdr:pic>
      <xdr:nvPicPr>
        <xdr:cNvPr id="132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9263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307</xdr:row>
      <xdr:rowOff>19050</xdr:rowOff>
    </xdr:from>
    <xdr:to>
      <xdr:col>24</xdr:col>
      <xdr:colOff>47625</xdr:colOff>
      <xdr:row>307</xdr:row>
      <xdr:rowOff>142875</xdr:rowOff>
    </xdr:to>
    <xdr:pic>
      <xdr:nvPicPr>
        <xdr:cNvPr id="132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9415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280</xdr:row>
      <xdr:rowOff>19050</xdr:rowOff>
    </xdr:from>
    <xdr:ext cx="828675" cy="123825"/>
    <xdr:pic>
      <xdr:nvPicPr>
        <xdr:cNvPr id="1327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43388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281</xdr:row>
      <xdr:rowOff>19050</xdr:rowOff>
    </xdr:from>
    <xdr:ext cx="828675" cy="123825"/>
    <xdr:pic>
      <xdr:nvPicPr>
        <xdr:cNvPr id="1328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44912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302</xdr:row>
      <xdr:rowOff>19050</xdr:rowOff>
    </xdr:from>
    <xdr:to>
      <xdr:col>24</xdr:col>
      <xdr:colOff>47625</xdr:colOff>
      <xdr:row>302</xdr:row>
      <xdr:rowOff>142875</xdr:rowOff>
    </xdr:to>
    <xdr:pic>
      <xdr:nvPicPr>
        <xdr:cNvPr id="133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76916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162</xdr:row>
      <xdr:rowOff>19050</xdr:rowOff>
    </xdr:from>
    <xdr:to>
      <xdr:col>24</xdr:col>
      <xdr:colOff>47625</xdr:colOff>
      <xdr:row>162</xdr:row>
      <xdr:rowOff>142875</xdr:rowOff>
    </xdr:to>
    <xdr:pic>
      <xdr:nvPicPr>
        <xdr:cNvPr id="133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25250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163</xdr:row>
      <xdr:rowOff>19050</xdr:rowOff>
    </xdr:from>
    <xdr:to>
      <xdr:col>24</xdr:col>
      <xdr:colOff>47625</xdr:colOff>
      <xdr:row>163</xdr:row>
      <xdr:rowOff>142875</xdr:rowOff>
    </xdr:to>
    <xdr:pic>
      <xdr:nvPicPr>
        <xdr:cNvPr id="133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25403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197</xdr:row>
      <xdr:rowOff>19050</xdr:rowOff>
    </xdr:from>
    <xdr:to>
      <xdr:col>24</xdr:col>
      <xdr:colOff>47625</xdr:colOff>
      <xdr:row>197</xdr:row>
      <xdr:rowOff>142875</xdr:rowOff>
    </xdr:to>
    <xdr:pic>
      <xdr:nvPicPr>
        <xdr:cNvPr id="1340" name="783 Imagen" descr="tampo icono.png">
          <a:extLst>
            <a:ext uri="{FF2B5EF4-FFF2-40B4-BE49-F238E27FC236}">
              <a16:creationId xmlns:a16="http://schemas.microsoft.com/office/drawing/2014/main" id="{388F74A9-B543-475C-B70E-8B712B0582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0432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540</xdr:row>
      <xdr:rowOff>19050</xdr:rowOff>
    </xdr:from>
    <xdr:ext cx="847346" cy="121920"/>
    <xdr:pic>
      <xdr:nvPicPr>
        <xdr:cNvPr id="1008" name="Imagen 1007"/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0" y="816102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541</xdr:row>
      <xdr:rowOff>19050</xdr:rowOff>
    </xdr:from>
    <xdr:ext cx="847346" cy="121920"/>
    <xdr:pic>
      <xdr:nvPicPr>
        <xdr:cNvPr id="1016" name="Imagen 1015"/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0" y="817626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473</xdr:row>
      <xdr:rowOff>19050</xdr:rowOff>
    </xdr:from>
    <xdr:ext cx="847346" cy="121920"/>
    <xdr:pic>
      <xdr:nvPicPr>
        <xdr:cNvPr id="930" name="Imagen 929"/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72018525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378</xdr:row>
      <xdr:rowOff>19050</xdr:rowOff>
    </xdr:from>
    <xdr:ext cx="819150" cy="123825"/>
    <xdr:pic>
      <xdr:nvPicPr>
        <xdr:cNvPr id="104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58559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337</xdr:row>
      <xdr:rowOff>19050</xdr:rowOff>
    </xdr:from>
    <xdr:ext cx="819150" cy="123825"/>
    <xdr:pic>
      <xdr:nvPicPr>
        <xdr:cNvPr id="107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58407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232</xdr:row>
      <xdr:rowOff>19050</xdr:rowOff>
    </xdr:from>
    <xdr:ext cx="819150" cy="123825"/>
    <xdr:pic>
      <xdr:nvPicPr>
        <xdr:cNvPr id="1154" name="659 Imagen" descr="seri icono.png">
          <a:extLst>
            <a:ext uri="{FF2B5EF4-FFF2-40B4-BE49-F238E27FC236}">
              <a16:creationId xmlns:a16="http://schemas.microsoft.com/office/drawing/2014/main" id="{CFC55181-40DC-4BCF-8415-11762553D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6223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232</xdr:row>
      <xdr:rowOff>19050</xdr:rowOff>
    </xdr:from>
    <xdr:ext cx="819149" cy="123825"/>
    <xdr:pic>
      <xdr:nvPicPr>
        <xdr:cNvPr id="118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356139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9</xdr:row>
      <xdr:rowOff>19050</xdr:rowOff>
    </xdr:from>
    <xdr:to>
      <xdr:col>24</xdr:col>
      <xdr:colOff>47624</xdr:colOff>
      <xdr:row>9</xdr:row>
      <xdr:rowOff>142875</xdr:rowOff>
    </xdr:to>
    <xdr:pic>
      <xdr:nvPicPr>
        <xdr:cNvPr id="134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8288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</xdr:row>
      <xdr:rowOff>19050</xdr:rowOff>
    </xdr:from>
    <xdr:to>
      <xdr:col>24</xdr:col>
      <xdr:colOff>47624</xdr:colOff>
      <xdr:row>10</xdr:row>
      <xdr:rowOff>142875</xdr:rowOff>
    </xdr:to>
    <xdr:pic>
      <xdr:nvPicPr>
        <xdr:cNvPr id="134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9812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225</xdr:row>
      <xdr:rowOff>19050</xdr:rowOff>
    </xdr:from>
    <xdr:ext cx="819150" cy="123825"/>
    <xdr:pic>
      <xdr:nvPicPr>
        <xdr:cNvPr id="135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5156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403</xdr:row>
      <xdr:rowOff>19050</xdr:rowOff>
    </xdr:from>
    <xdr:ext cx="819150" cy="125505"/>
    <xdr:pic>
      <xdr:nvPicPr>
        <xdr:cNvPr id="1374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24173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402</xdr:row>
      <xdr:rowOff>19050</xdr:rowOff>
    </xdr:from>
    <xdr:ext cx="819150" cy="125505"/>
    <xdr:pic>
      <xdr:nvPicPr>
        <xdr:cNvPr id="1380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21125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406</xdr:row>
      <xdr:rowOff>19050</xdr:rowOff>
    </xdr:from>
    <xdr:ext cx="819150" cy="125505"/>
    <xdr:pic>
      <xdr:nvPicPr>
        <xdr:cNvPr id="1387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19601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405</xdr:row>
      <xdr:rowOff>19050</xdr:rowOff>
    </xdr:from>
    <xdr:ext cx="819150" cy="125505"/>
    <xdr:pic>
      <xdr:nvPicPr>
        <xdr:cNvPr id="1395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24173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338</xdr:row>
      <xdr:rowOff>19050</xdr:rowOff>
    </xdr:from>
    <xdr:ext cx="819150" cy="123825"/>
    <xdr:pic>
      <xdr:nvPicPr>
        <xdr:cNvPr id="96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3378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339</xdr:row>
      <xdr:rowOff>19050</xdr:rowOff>
    </xdr:from>
    <xdr:ext cx="819150" cy="123825"/>
    <xdr:pic>
      <xdr:nvPicPr>
        <xdr:cNvPr id="102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53530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301</xdr:row>
      <xdr:rowOff>19050</xdr:rowOff>
    </xdr:from>
    <xdr:to>
      <xdr:col>24</xdr:col>
      <xdr:colOff>47625</xdr:colOff>
      <xdr:row>301</xdr:row>
      <xdr:rowOff>142875</xdr:rowOff>
    </xdr:to>
    <xdr:pic>
      <xdr:nvPicPr>
        <xdr:cNvPr id="123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475392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573</xdr:row>
      <xdr:rowOff>19050</xdr:rowOff>
    </xdr:from>
    <xdr:ext cx="847346" cy="121920"/>
    <xdr:pic>
      <xdr:nvPicPr>
        <xdr:cNvPr id="1242" name="Imagen 1241"/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49630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483</xdr:row>
      <xdr:rowOff>19050</xdr:rowOff>
    </xdr:from>
    <xdr:ext cx="819150" cy="125505"/>
    <xdr:pic>
      <xdr:nvPicPr>
        <xdr:cNvPr id="1332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42188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484</xdr:row>
      <xdr:rowOff>19050</xdr:rowOff>
    </xdr:from>
    <xdr:ext cx="819914" cy="121920"/>
    <xdr:pic>
      <xdr:nvPicPr>
        <xdr:cNvPr id="1399" name="Imagen 1398"/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74371200"/>
          <a:ext cx="819914" cy="121920"/>
        </a:xfrm>
        <a:prstGeom prst="rect">
          <a:avLst/>
        </a:prstGeom>
      </xdr:spPr>
    </xdr:pic>
    <xdr:clientData/>
  </xdr:oneCellAnchor>
  <xdr:oneCellAnchor>
    <xdr:from>
      <xdr:col>24</xdr:col>
      <xdr:colOff>57150</xdr:colOff>
      <xdr:row>484</xdr:row>
      <xdr:rowOff>19050</xdr:rowOff>
    </xdr:from>
    <xdr:ext cx="463297" cy="121920"/>
    <xdr:pic>
      <xdr:nvPicPr>
        <xdr:cNvPr id="1400" name="Imagen 1399"/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72400" y="74371200"/>
          <a:ext cx="463297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381</xdr:row>
      <xdr:rowOff>19050</xdr:rowOff>
    </xdr:from>
    <xdr:ext cx="819150" cy="123825"/>
    <xdr:pic>
      <xdr:nvPicPr>
        <xdr:cNvPr id="124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59169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482</xdr:row>
      <xdr:rowOff>19050</xdr:rowOff>
    </xdr:from>
    <xdr:ext cx="819914" cy="121920"/>
    <xdr:pic>
      <xdr:nvPicPr>
        <xdr:cNvPr id="1375" name="Imagen 1374"/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62825" y="74533125"/>
          <a:ext cx="819914" cy="121920"/>
        </a:xfrm>
        <a:prstGeom prst="rect">
          <a:avLst/>
        </a:prstGeom>
      </xdr:spPr>
    </xdr:pic>
    <xdr:clientData/>
  </xdr:oneCellAnchor>
  <xdr:oneCellAnchor>
    <xdr:from>
      <xdr:col>24</xdr:col>
      <xdr:colOff>57150</xdr:colOff>
      <xdr:row>482</xdr:row>
      <xdr:rowOff>19050</xdr:rowOff>
    </xdr:from>
    <xdr:ext cx="463297" cy="121920"/>
    <xdr:pic>
      <xdr:nvPicPr>
        <xdr:cNvPr id="1392" name="Imagen 1391"/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91500" y="74533125"/>
          <a:ext cx="463297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13</xdr:row>
      <xdr:rowOff>19050</xdr:rowOff>
    </xdr:from>
    <xdr:ext cx="819150" cy="123825"/>
    <xdr:pic>
      <xdr:nvPicPr>
        <xdr:cNvPr id="1050" name="1043 Imagen" descr="laser un lado icono.png">
          <a:extLst>
            <a:ext uri="{FF2B5EF4-FFF2-40B4-BE49-F238E27FC236}">
              <a16:creationId xmlns:a16="http://schemas.microsoft.com/office/drawing/2014/main" id="{0508D9DB-36AF-46F0-BBE6-08EBC09F4D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3505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13</xdr:row>
      <xdr:rowOff>28575</xdr:rowOff>
    </xdr:from>
    <xdr:ext cx="342900" cy="104775"/>
    <xdr:pic>
      <xdr:nvPicPr>
        <xdr:cNvPr id="1068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003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214</xdr:row>
      <xdr:rowOff>19050</xdr:rowOff>
    </xdr:from>
    <xdr:ext cx="819150" cy="123825"/>
    <xdr:pic>
      <xdr:nvPicPr>
        <xdr:cNvPr id="98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33327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216</xdr:row>
      <xdr:rowOff>19050</xdr:rowOff>
    </xdr:from>
    <xdr:ext cx="819150" cy="123825"/>
    <xdr:pic>
      <xdr:nvPicPr>
        <xdr:cNvPr id="103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33632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220</xdr:row>
      <xdr:rowOff>19050</xdr:rowOff>
    </xdr:from>
    <xdr:ext cx="819150" cy="123825"/>
    <xdr:pic>
      <xdr:nvPicPr>
        <xdr:cNvPr id="110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34242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221</xdr:row>
      <xdr:rowOff>19050</xdr:rowOff>
    </xdr:from>
    <xdr:ext cx="819150" cy="123825"/>
    <xdr:pic>
      <xdr:nvPicPr>
        <xdr:cNvPr id="111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34394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353</xdr:row>
      <xdr:rowOff>19050</xdr:rowOff>
    </xdr:from>
    <xdr:to>
      <xdr:col>24</xdr:col>
      <xdr:colOff>47625</xdr:colOff>
      <xdr:row>353</xdr:row>
      <xdr:rowOff>142875</xdr:rowOff>
    </xdr:to>
    <xdr:pic>
      <xdr:nvPicPr>
        <xdr:cNvPr id="126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54902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611</xdr:row>
      <xdr:rowOff>28575</xdr:rowOff>
    </xdr:from>
    <xdr:ext cx="342900" cy="104775"/>
    <xdr:pic>
      <xdr:nvPicPr>
        <xdr:cNvPr id="1406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0974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613</xdr:row>
      <xdr:rowOff>28575</xdr:rowOff>
    </xdr:from>
    <xdr:ext cx="342900" cy="104775"/>
    <xdr:pic>
      <xdr:nvPicPr>
        <xdr:cNvPr id="1410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21162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257</xdr:row>
      <xdr:rowOff>19050</xdr:rowOff>
    </xdr:from>
    <xdr:to>
      <xdr:col>24</xdr:col>
      <xdr:colOff>47625</xdr:colOff>
      <xdr:row>257</xdr:row>
      <xdr:rowOff>142875</xdr:rowOff>
    </xdr:to>
    <xdr:pic>
      <xdr:nvPicPr>
        <xdr:cNvPr id="94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83952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617</xdr:row>
      <xdr:rowOff>19050</xdr:rowOff>
    </xdr:from>
    <xdr:to>
      <xdr:col>24</xdr:col>
      <xdr:colOff>49180</xdr:colOff>
      <xdr:row>617</xdr:row>
      <xdr:rowOff>144555</xdr:rowOff>
    </xdr:to>
    <xdr:pic>
      <xdr:nvPicPr>
        <xdr:cNvPr id="1435" name="475 Imagen" descr="HOT STAMPING ICONO.png">
          <a:extLst>
            <a:ext uri="{FF2B5EF4-FFF2-40B4-BE49-F238E27FC236}">
              <a16:creationId xmlns:a16="http://schemas.microsoft.com/office/drawing/2014/main" id="{C982D6CA-5441-40AF-8C66-F6537D33E2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2716350"/>
          <a:ext cx="820705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616</xdr:row>
      <xdr:rowOff>19050</xdr:rowOff>
    </xdr:from>
    <xdr:to>
      <xdr:col>24</xdr:col>
      <xdr:colOff>49180</xdr:colOff>
      <xdr:row>616</xdr:row>
      <xdr:rowOff>142875</xdr:rowOff>
    </xdr:to>
    <xdr:pic>
      <xdr:nvPicPr>
        <xdr:cNvPr id="1440" name="479 Imagen" descr="HOT STAMPING ICONO.png">
          <a:extLst>
            <a:ext uri="{FF2B5EF4-FFF2-40B4-BE49-F238E27FC236}">
              <a16:creationId xmlns:a16="http://schemas.microsoft.com/office/drawing/2014/main" id="{50419B07-E952-4FE3-9E51-6A03D9ACB5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25639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615</xdr:row>
      <xdr:rowOff>19050</xdr:rowOff>
    </xdr:from>
    <xdr:to>
      <xdr:col>24</xdr:col>
      <xdr:colOff>49180</xdr:colOff>
      <xdr:row>615</xdr:row>
      <xdr:rowOff>142875</xdr:rowOff>
    </xdr:to>
    <xdr:pic>
      <xdr:nvPicPr>
        <xdr:cNvPr id="1441" name="480 Imagen" descr="HOT STAMPING ICONO.png">
          <a:extLst>
            <a:ext uri="{FF2B5EF4-FFF2-40B4-BE49-F238E27FC236}">
              <a16:creationId xmlns:a16="http://schemas.microsoft.com/office/drawing/2014/main" id="{F93AA4E3-DE7E-4876-8A16-6F3BD6974F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24115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611</xdr:row>
      <xdr:rowOff>19050</xdr:rowOff>
    </xdr:from>
    <xdr:ext cx="820705" cy="123825"/>
    <xdr:pic>
      <xdr:nvPicPr>
        <xdr:cNvPr id="1445" name="499 Imagen" descr="laser icono.png">
          <a:extLst>
            <a:ext uri="{FF2B5EF4-FFF2-40B4-BE49-F238E27FC236}">
              <a16:creationId xmlns:a16="http://schemas.microsoft.com/office/drawing/2014/main" id="{FFE59351-35B8-415B-8FBD-8F67F3DBA3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19543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613</xdr:row>
      <xdr:rowOff>19050</xdr:rowOff>
    </xdr:from>
    <xdr:ext cx="820705" cy="123825"/>
    <xdr:pic>
      <xdr:nvPicPr>
        <xdr:cNvPr id="1447" name="499 Imagen" descr="laser icono.png">
          <a:extLst>
            <a:ext uri="{FF2B5EF4-FFF2-40B4-BE49-F238E27FC236}">
              <a16:creationId xmlns:a16="http://schemas.microsoft.com/office/drawing/2014/main" id="{FFE59351-35B8-415B-8FBD-8F67F3DBA3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22591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646</xdr:row>
      <xdr:rowOff>19050</xdr:rowOff>
    </xdr:from>
    <xdr:to>
      <xdr:col>24</xdr:col>
      <xdr:colOff>47625</xdr:colOff>
      <xdr:row>646</xdr:row>
      <xdr:rowOff>142875</xdr:rowOff>
    </xdr:to>
    <xdr:pic>
      <xdr:nvPicPr>
        <xdr:cNvPr id="1473" name="488 Imagen" descr="laser fibra icono.png">
          <a:extLst>
            <a:ext uri="{FF2B5EF4-FFF2-40B4-BE49-F238E27FC236}">
              <a16:creationId xmlns:a16="http://schemas.microsoft.com/office/drawing/2014/main" id="{4557523D-76BE-4B3D-A708-8950DE944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53071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652</xdr:row>
      <xdr:rowOff>19050</xdr:rowOff>
    </xdr:from>
    <xdr:to>
      <xdr:col>24</xdr:col>
      <xdr:colOff>49180</xdr:colOff>
      <xdr:row>652</xdr:row>
      <xdr:rowOff>142875</xdr:rowOff>
    </xdr:to>
    <xdr:pic>
      <xdr:nvPicPr>
        <xdr:cNvPr id="1489" name="496 Imagen" descr="laser icono.png">
          <a:extLst>
            <a:ext uri="{FF2B5EF4-FFF2-40B4-BE49-F238E27FC236}">
              <a16:creationId xmlns:a16="http://schemas.microsoft.com/office/drawing/2014/main" id="{9D757133-9CD0-4278-B1D5-68080BAAC8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60691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648</xdr:row>
      <xdr:rowOff>19050</xdr:rowOff>
    </xdr:from>
    <xdr:to>
      <xdr:col>24</xdr:col>
      <xdr:colOff>49180</xdr:colOff>
      <xdr:row>648</xdr:row>
      <xdr:rowOff>142875</xdr:rowOff>
    </xdr:to>
    <xdr:pic>
      <xdr:nvPicPr>
        <xdr:cNvPr id="1490" name="496 Imagen" descr="laser icono.png">
          <a:extLst>
            <a:ext uri="{FF2B5EF4-FFF2-40B4-BE49-F238E27FC236}">
              <a16:creationId xmlns:a16="http://schemas.microsoft.com/office/drawing/2014/main" id="{9D757133-9CD0-4278-B1D5-68080BAAC8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57643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653</xdr:row>
      <xdr:rowOff>19050</xdr:rowOff>
    </xdr:from>
    <xdr:ext cx="820705" cy="123825"/>
    <xdr:pic>
      <xdr:nvPicPr>
        <xdr:cNvPr id="1492" name="496 Imagen" descr="laser icono.png">
          <a:extLst>
            <a:ext uri="{FF2B5EF4-FFF2-40B4-BE49-F238E27FC236}">
              <a16:creationId xmlns:a16="http://schemas.microsoft.com/office/drawing/2014/main" id="{9D757133-9CD0-4278-B1D5-68080BAAC8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62215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651</xdr:row>
      <xdr:rowOff>19050</xdr:rowOff>
    </xdr:from>
    <xdr:ext cx="847346" cy="121920"/>
    <xdr:pic>
      <xdr:nvPicPr>
        <xdr:cNvPr id="1493" name="Imagen 1492"/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5916750"/>
          <a:ext cx="847346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644</xdr:row>
      <xdr:rowOff>19050</xdr:rowOff>
    </xdr:from>
    <xdr:to>
      <xdr:col>24</xdr:col>
      <xdr:colOff>49180</xdr:colOff>
      <xdr:row>644</xdr:row>
      <xdr:rowOff>142875</xdr:rowOff>
    </xdr:to>
    <xdr:pic>
      <xdr:nvPicPr>
        <xdr:cNvPr id="1494" name="499 Imagen" descr="laser icono.png">
          <a:extLst>
            <a:ext uri="{FF2B5EF4-FFF2-40B4-BE49-F238E27FC236}">
              <a16:creationId xmlns:a16="http://schemas.microsoft.com/office/drawing/2014/main" id="{FFE59351-35B8-415B-8FBD-8F67F3DBA3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50023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645</xdr:row>
      <xdr:rowOff>19050</xdr:rowOff>
    </xdr:from>
    <xdr:ext cx="820705" cy="123825"/>
    <xdr:pic>
      <xdr:nvPicPr>
        <xdr:cNvPr id="1495" name="499 Imagen" descr="laser icono.png">
          <a:extLst>
            <a:ext uri="{FF2B5EF4-FFF2-40B4-BE49-F238E27FC236}">
              <a16:creationId xmlns:a16="http://schemas.microsoft.com/office/drawing/2014/main" id="{FFE59351-35B8-415B-8FBD-8F67F3DBA3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51547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633</xdr:row>
      <xdr:rowOff>19050</xdr:rowOff>
    </xdr:from>
    <xdr:to>
      <xdr:col>24</xdr:col>
      <xdr:colOff>47625</xdr:colOff>
      <xdr:row>633</xdr:row>
      <xdr:rowOff>142875</xdr:rowOff>
    </xdr:to>
    <xdr:pic>
      <xdr:nvPicPr>
        <xdr:cNvPr id="1497" name="488 Imagen" descr="laser fibra icono.png">
          <a:extLst>
            <a:ext uri="{FF2B5EF4-FFF2-40B4-BE49-F238E27FC236}">
              <a16:creationId xmlns:a16="http://schemas.microsoft.com/office/drawing/2014/main" id="{4557523D-76BE-4B3D-A708-8950DE944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939355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635</xdr:row>
      <xdr:rowOff>19050</xdr:rowOff>
    </xdr:from>
    <xdr:ext cx="819150" cy="123825"/>
    <xdr:pic>
      <xdr:nvPicPr>
        <xdr:cNvPr id="1499" name="488 Imagen" descr="laser fibra icono.png">
          <a:extLst>
            <a:ext uri="{FF2B5EF4-FFF2-40B4-BE49-F238E27FC236}">
              <a16:creationId xmlns:a16="http://schemas.microsoft.com/office/drawing/2014/main" id="{4557523D-76BE-4B3D-A708-8950DE944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942403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655</xdr:row>
      <xdr:rowOff>19050</xdr:rowOff>
    </xdr:from>
    <xdr:ext cx="847346" cy="121920"/>
    <xdr:pic>
      <xdr:nvPicPr>
        <xdr:cNvPr id="1500" name="Imagen 1499"/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63739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656</xdr:row>
      <xdr:rowOff>19050</xdr:rowOff>
    </xdr:from>
    <xdr:ext cx="847346" cy="121920"/>
    <xdr:pic>
      <xdr:nvPicPr>
        <xdr:cNvPr id="1501" name="Imagen 1500"/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65263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657</xdr:row>
      <xdr:rowOff>19050</xdr:rowOff>
    </xdr:from>
    <xdr:ext cx="847346" cy="121920"/>
    <xdr:pic>
      <xdr:nvPicPr>
        <xdr:cNvPr id="1503" name="Imagen 1502"/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66787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659</xdr:row>
      <xdr:rowOff>19050</xdr:rowOff>
    </xdr:from>
    <xdr:ext cx="847346" cy="121920"/>
    <xdr:pic>
      <xdr:nvPicPr>
        <xdr:cNvPr id="1504" name="Imagen 1503"/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69835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658</xdr:row>
      <xdr:rowOff>19050</xdr:rowOff>
    </xdr:from>
    <xdr:ext cx="847346" cy="121920"/>
    <xdr:pic>
      <xdr:nvPicPr>
        <xdr:cNvPr id="1505" name="Imagen 1504"/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68311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618</xdr:row>
      <xdr:rowOff>19050</xdr:rowOff>
    </xdr:from>
    <xdr:ext cx="847346" cy="121920"/>
    <xdr:pic>
      <xdr:nvPicPr>
        <xdr:cNvPr id="1512" name="Imagen 1511"/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37831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569</xdr:row>
      <xdr:rowOff>19050</xdr:rowOff>
    </xdr:from>
    <xdr:ext cx="847346" cy="121920"/>
    <xdr:pic>
      <xdr:nvPicPr>
        <xdr:cNvPr id="928" name="Imagen 927"/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843534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564</xdr:row>
      <xdr:rowOff>19050</xdr:rowOff>
    </xdr:from>
    <xdr:ext cx="847346" cy="121920"/>
    <xdr:pic>
      <xdr:nvPicPr>
        <xdr:cNvPr id="931" name="Imagen 930"/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28294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565</xdr:row>
      <xdr:rowOff>19050</xdr:rowOff>
    </xdr:from>
    <xdr:ext cx="847346" cy="121920"/>
    <xdr:pic>
      <xdr:nvPicPr>
        <xdr:cNvPr id="1095" name="Imagen 1094"/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37438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566</xdr:row>
      <xdr:rowOff>19050</xdr:rowOff>
    </xdr:from>
    <xdr:ext cx="847346" cy="121920"/>
    <xdr:pic>
      <xdr:nvPicPr>
        <xdr:cNvPr id="1225" name="Imagen 1224"/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389620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566</xdr:row>
      <xdr:rowOff>28575</xdr:rowOff>
    </xdr:from>
    <xdr:ext cx="342900" cy="104775"/>
    <xdr:pic>
      <xdr:nvPicPr>
        <xdr:cNvPr id="1226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39057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480</xdr:row>
      <xdr:rowOff>28575</xdr:rowOff>
    </xdr:from>
    <xdr:ext cx="342900" cy="104775"/>
    <xdr:pic>
      <xdr:nvPicPr>
        <xdr:cNvPr id="1227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42378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481</xdr:row>
      <xdr:rowOff>19050</xdr:rowOff>
    </xdr:from>
    <xdr:ext cx="819914" cy="121920"/>
    <xdr:pic>
      <xdr:nvPicPr>
        <xdr:cNvPr id="1252" name="Imagen 1251"/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4725" y="74066400"/>
          <a:ext cx="819914" cy="121920"/>
        </a:xfrm>
        <a:prstGeom prst="rect">
          <a:avLst/>
        </a:prstGeom>
      </xdr:spPr>
    </xdr:pic>
    <xdr:clientData/>
  </xdr:oneCellAnchor>
  <xdr:oneCellAnchor>
    <xdr:from>
      <xdr:col>24</xdr:col>
      <xdr:colOff>57150</xdr:colOff>
      <xdr:row>481</xdr:row>
      <xdr:rowOff>19050</xdr:rowOff>
    </xdr:from>
    <xdr:ext cx="463297" cy="121920"/>
    <xdr:pic>
      <xdr:nvPicPr>
        <xdr:cNvPr id="1263" name="Imagen 1262"/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53400" y="74066400"/>
          <a:ext cx="463297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481</xdr:row>
      <xdr:rowOff>28575</xdr:rowOff>
    </xdr:from>
    <xdr:ext cx="342900" cy="104775"/>
    <xdr:pic>
      <xdr:nvPicPr>
        <xdr:cNvPr id="1281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40759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480</xdr:row>
      <xdr:rowOff>19050</xdr:rowOff>
    </xdr:from>
    <xdr:ext cx="819150" cy="125505"/>
    <xdr:pic>
      <xdr:nvPicPr>
        <xdr:cNvPr id="1290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740664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608</xdr:row>
      <xdr:rowOff>19050</xdr:rowOff>
    </xdr:from>
    <xdr:ext cx="820705" cy="123825"/>
    <xdr:pic>
      <xdr:nvPicPr>
        <xdr:cNvPr id="1273" name="499 Imagen" descr="laser icono.png">
          <a:extLst>
            <a:ext uri="{FF2B5EF4-FFF2-40B4-BE49-F238E27FC236}">
              <a16:creationId xmlns:a16="http://schemas.microsoft.com/office/drawing/2014/main" id="{FFE59351-35B8-415B-8FBD-8F67F3DBA3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924115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608</xdr:row>
      <xdr:rowOff>19050</xdr:rowOff>
    </xdr:from>
    <xdr:ext cx="819150" cy="123825"/>
    <xdr:pic>
      <xdr:nvPicPr>
        <xdr:cNvPr id="130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910399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654</xdr:row>
      <xdr:rowOff>19050</xdr:rowOff>
    </xdr:from>
    <xdr:ext cx="820705" cy="123825"/>
    <xdr:pic>
      <xdr:nvPicPr>
        <xdr:cNvPr id="943" name="496 Imagen" descr="laser icono.png">
          <a:extLst>
            <a:ext uri="{FF2B5EF4-FFF2-40B4-BE49-F238E27FC236}">
              <a16:creationId xmlns:a16="http://schemas.microsoft.com/office/drawing/2014/main" id="{9D757133-9CD0-4278-B1D5-68080BAAC8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966025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14</xdr:col>
      <xdr:colOff>9525</xdr:colOff>
      <xdr:row>272</xdr:row>
      <xdr:rowOff>19050</xdr:rowOff>
    </xdr:from>
    <xdr:to>
      <xdr:col>18</xdr:col>
      <xdr:colOff>9526</xdr:colOff>
      <xdr:row>272</xdr:row>
      <xdr:rowOff>142875</xdr:rowOff>
    </xdr:to>
    <xdr:pic>
      <xdr:nvPicPr>
        <xdr:cNvPr id="1354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3525" y="4266247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407</xdr:row>
      <xdr:rowOff>19050</xdr:rowOff>
    </xdr:from>
    <xdr:ext cx="819150" cy="125505"/>
    <xdr:pic>
      <xdr:nvPicPr>
        <xdr:cNvPr id="1369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25697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494</xdr:row>
      <xdr:rowOff>19050</xdr:rowOff>
    </xdr:from>
    <xdr:to>
      <xdr:col>24</xdr:col>
      <xdr:colOff>47625</xdr:colOff>
      <xdr:row>494</xdr:row>
      <xdr:rowOff>144555</xdr:rowOff>
    </xdr:to>
    <xdr:pic>
      <xdr:nvPicPr>
        <xdr:cNvPr id="958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61714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495</xdr:row>
      <xdr:rowOff>19050</xdr:rowOff>
    </xdr:from>
    <xdr:ext cx="819914" cy="121920"/>
    <xdr:pic>
      <xdr:nvPicPr>
        <xdr:cNvPr id="1250" name="Imagen 1249"/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76323825"/>
          <a:ext cx="819914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60</xdr:row>
      <xdr:rowOff>19050</xdr:rowOff>
    </xdr:from>
    <xdr:ext cx="819150" cy="123825"/>
    <xdr:pic>
      <xdr:nvPicPr>
        <xdr:cNvPr id="1116" name="923 Imagen" descr="seri icono.png">
          <a:extLst>
            <a:ext uri="{FF2B5EF4-FFF2-40B4-BE49-F238E27FC236}">
              <a16:creationId xmlns:a16="http://schemas.microsoft.com/office/drawing/2014/main" id="{C3A9516D-C078-4003-B87E-2EAA6E62EB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9753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60</xdr:row>
      <xdr:rowOff>19050</xdr:rowOff>
    </xdr:from>
    <xdr:ext cx="819150" cy="123825"/>
    <xdr:pic>
      <xdr:nvPicPr>
        <xdr:cNvPr id="1133" name="924 Imagen" descr="seri icono.png">
          <a:extLst>
            <a:ext uri="{FF2B5EF4-FFF2-40B4-BE49-F238E27FC236}">
              <a16:creationId xmlns:a16="http://schemas.microsoft.com/office/drawing/2014/main" id="{D9C0E8C5-2563-4D54-94CE-0BAFABFDD8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9753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60</xdr:row>
      <xdr:rowOff>28575</xdr:rowOff>
    </xdr:from>
    <xdr:ext cx="342900" cy="104775"/>
    <xdr:pic>
      <xdr:nvPicPr>
        <xdr:cNvPr id="1136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9155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285</xdr:row>
      <xdr:rowOff>19050</xdr:rowOff>
    </xdr:from>
    <xdr:ext cx="819150" cy="123825"/>
    <xdr:pic>
      <xdr:nvPicPr>
        <xdr:cNvPr id="1147" name="594 Imagen" descr="laser fibra icono.png">
          <a:extLst>
            <a:ext uri="{FF2B5EF4-FFF2-40B4-BE49-F238E27FC236}">
              <a16:creationId xmlns:a16="http://schemas.microsoft.com/office/drawing/2014/main" id="{94254448-E95B-4D55-94D6-FFC50B0E8B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73868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66675</xdr:colOff>
      <xdr:row>285</xdr:row>
      <xdr:rowOff>19050</xdr:rowOff>
    </xdr:from>
    <xdr:ext cx="502919" cy="121920"/>
    <xdr:pic>
      <xdr:nvPicPr>
        <xdr:cNvPr id="1171" name="Imagen 1170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2450" y="47386875"/>
          <a:ext cx="502919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124</xdr:row>
      <xdr:rowOff>19050</xdr:rowOff>
    </xdr:from>
    <xdr:ext cx="819150" cy="123825"/>
    <xdr:pic>
      <xdr:nvPicPr>
        <xdr:cNvPr id="1336" name="867 Imagen" descr="laser fibra icono.png">
          <a:extLst>
            <a:ext uri="{FF2B5EF4-FFF2-40B4-BE49-F238E27FC236}">
              <a16:creationId xmlns:a16="http://schemas.microsoft.com/office/drawing/2014/main" id="{80DC8A16-3910-4D8D-BEF2-8DFB2210FC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9554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449</xdr:row>
      <xdr:rowOff>19050</xdr:rowOff>
    </xdr:from>
    <xdr:ext cx="819150" cy="123825"/>
    <xdr:pic>
      <xdr:nvPicPr>
        <xdr:cNvPr id="1391" name="337 Imagen" descr="laser fibra icono.png">
          <a:extLst>
            <a:ext uri="{FF2B5EF4-FFF2-40B4-BE49-F238E27FC236}">
              <a16:creationId xmlns:a16="http://schemas.microsoft.com/office/drawing/2014/main" id="{8504D109-95E7-49E6-9F49-7E0269928A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68208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61</xdr:row>
      <xdr:rowOff>19050</xdr:rowOff>
    </xdr:from>
    <xdr:to>
      <xdr:col>24</xdr:col>
      <xdr:colOff>47624</xdr:colOff>
      <xdr:row>61</xdr:row>
      <xdr:rowOff>142875</xdr:rowOff>
    </xdr:to>
    <xdr:pic>
      <xdr:nvPicPr>
        <xdr:cNvPr id="94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00584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528</xdr:row>
      <xdr:rowOff>19050</xdr:rowOff>
    </xdr:from>
    <xdr:ext cx="847346" cy="121920"/>
    <xdr:pic>
      <xdr:nvPicPr>
        <xdr:cNvPr id="1059" name="Imagen 1058"/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0" y="806196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253</xdr:row>
      <xdr:rowOff>19050</xdr:rowOff>
    </xdr:from>
    <xdr:ext cx="819150" cy="123825"/>
    <xdr:pic>
      <xdr:nvPicPr>
        <xdr:cNvPr id="907" name="702 Imagen" descr="laser fibra icono.png">
          <a:extLst>
            <a:ext uri="{FF2B5EF4-FFF2-40B4-BE49-F238E27FC236}">
              <a16:creationId xmlns:a16="http://schemas.microsoft.com/office/drawing/2014/main" id="{A84E498A-D1D2-406F-9CCF-947161A9D7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74808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256</xdr:row>
      <xdr:rowOff>19050</xdr:rowOff>
    </xdr:from>
    <xdr:ext cx="819150" cy="123825"/>
    <xdr:pic>
      <xdr:nvPicPr>
        <xdr:cNvPr id="93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79380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6</xdr:col>
      <xdr:colOff>9525</xdr:colOff>
      <xdr:row>24</xdr:row>
      <xdr:rowOff>19050</xdr:rowOff>
    </xdr:from>
    <xdr:to>
      <xdr:col>9</xdr:col>
      <xdr:colOff>9526</xdr:colOff>
      <xdr:row>24</xdr:row>
      <xdr:rowOff>142875</xdr:rowOff>
    </xdr:to>
    <xdr:pic>
      <xdr:nvPicPr>
        <xdr:cNvPr id="1007" name="825 Imagen" descr="CONSULTAR ICONO.png">
          <a:extLst>
            <a:ext uri="{FF2B5EF4-FFF2-40B4-BE49-F238E27FC236}">
              <a16:creationId xmlns:a16="http://schemas.microsoft.com/office/drawing/2014/main" id="{5543434B-8549-4E44-8AAB-AB2922A57B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267200"/>
          <a:ext cx="809626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24</xdr:row>
      <xdr:rowOff>19050</xdr:rowOff>
    </xdr:from>
    <xdr:ext cx="819149" cy="123825"/>
    <xdr:pic>
      <xdr:nvPicPr>
        <xdr:cNvPr id="111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2672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213</xdr:row>
      <xdr:rowOff>19050</xdr:rowOff>
    </xdr:from>
    <xdr:to>
      <xdr:col>24</xdr:col>
      <xdr:colOff>75821</xdr:colOff>
      <xdr:row>213</xdr:row>
      <xdr:rowOff>140970</xdr:rowOff>
    </xdr:to>
    <xdr:pic>
      <xdr:nvPicPr>
        <xdr:cNvPr id="1205" name="Imagen 1204"/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0" y="32565975"/>
          <a:ext cx="847346" cy="121920"/>
        </a:xfrm>
        <a:prstGeom prst="rect">
          <a:avLst/>
        </a:prstGeom>
      </xdr:spPr>
    </xdr:pic>
    <xdr:clientData/>
  </xdr:twoCellAnchor>
  <xdr:twoCellAnchor editAs="oneCell">
    <xdr:from>
      <xdr:col>23</xdr:col>
      <xdr:colOff>9525</xdr:colOff>
      <xdr:row>210</xdr:row>
      <xdr:rowOff>19050</xdr:rowOff>
    </xdr:from>
    <xdr:to>
      <xdr:col>24</xdr:col>
      <xdr:colOff>47624</xdr:colOff>
      <xdr:row>210</xdr:row>
      <xdr:rowOff>142875</xdr:rowOff>
    </xdr:to>
    <xdr:pic>
      <xdr:nvPicPr>
        <xdr:cNvPr id="120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19563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211</xdr:row>
      <xdr:rowOff>19050</xdr:rowOff>
    </xdr:from>
    <xdr:to>
      <xdr:col>24</xdr:col>
      <xdr:colOff>47624</xdr:colOff>
      <xdr:row>211</xdr:row>
      <xdr:rowOff>142875</xdr:rowOff>
    </xdr:to>
    <xdr:pic>
      <xdr:nvPicPr>
        <xdr:cNvPr id="123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21087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305</xdr:row>
      <xdr:rowOff>19050</xdr:rowOff>
    </xdr:from>
    <xdr:to>
      <xdr:col>24</xdr:col>
      <xdr:colOff>47625</xdr:colOff>
      <xdr:row>305</xdr:row>
      <xdr:rowOff>142875</xdr:rowOff>
    </xdr:to>
    <xdr:pic>
      <xdr:nvPicPr>
        <xdr:cNvPr id="125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7996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11</xdr:row>
      <xdr:rowOff>19050</xdr:rowOff>
    </xdr:from>
    <xdr:to>
      <xdr:col>24</xdr:col>
      <xdr:colOff>47624</xdr:colOff>
      <xdr:row>11</xdr:row>
      <xdr:rowOff>142875</xdr:rowOff>
    </xdr:to>
    <xdr:pic>
      <xdr:nvPicPr>
        <xdr:cNvPr id="125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21336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115</xdr:row>
      <xdr:rowOff>19050</xdr:rowOff>
    </xdr:from>
    <xdr:ext cx="819150" cy="123825"/>
    <xdr:pic>
      <xdr:nvPicPr>
        <xdr:cNvPr id="1289" name="908 Imagen" descr="sublimacion icono.png">
          <a:extLst>
            <a:ext uri="{FF2B5EF4-FFF2-40B4-BE49-F238E27FC236}">
              <a16:creationId xmlns:a16="http://schemas.microsoft.com/office/drawing/2014/main" id="{581B4560-5234-4583-9549-4B5B1FCDC9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8183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120</xdr:row>
      <xdr:rowOff>19050</xdr:rowOff>
    </xdr:from>
    <xdr:ext cx="819150" cy="123825"/>
    <xdr:pic>
      <xdr:nvPicPr>
        <xdr:cNvPr id="1312" name="872 Imagen" descr="sublimacion icono.png">
          <a:extLst>
            <a:ext uri="{FF2B5EF4-FFF2-40B4-BE49-F238E27FC236}">
              <a16:creationId xmlns:a16="http://schemas.microsoft.com/office/drawing/2014/main" id="{1700A12B-4AB9-4FBB-B4E2-9EB014A27A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8792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66675</xdr:colOff>
      <xdr:row>120</xdr:row>
      <xdr:rowOff>19050</xdr:rowOff>
    </xdr:from>
    <xdr:ext cx="819149" cy="123825"/>
    <xdr:pic>
      <xdr:nvPicPr>
        <xdr:cNvPr id="1381" name="909 Imagen" descr="FULL PRINT ICONO.png">
          <a:extLst>
            <a:ext uri="{FF2B5EF4-FFF2-40B4-BE49-F238E27FC236}">
              <a16:creationId xmlns:a16="http://schemas.microsoft.com/office/drawing/2014/main" id="{4FAFE7D2-32CF-451E-95AF-33288D67F6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1879282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116</xdr:row>
      <xdr:rowOff>19050</xdr:rowOff>
    </xdr:from>
    <xdr:ext cx="819150" cy="123825"/>
    <xdr:pic>
      <xdr:nvPicPr>
        <xdr:cNvPr id="1397" name="908 Imagen" descr="sublimacion icono.png">
          <a:extLst>
            <a:ext uri="{FF2B5EF4-FFF2-40B4-BE49-F238E27FC236}">
              <a16:creationId xmlns:a16="http://schemas.microsoft.com/office/drawing/2014/main" id="{581B4560-5234-4583-9549-4B5B1FCDC9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8335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121</xdr:row>
      <xdr:rowOff>19050</xdr:rowOff>
    </xdr:from>
    <xdr:ext cx="819150" cy="123825"/>
    <xdr:pic>
      <xdr:nvPicPr>
        <xdr:cNvPr id="1401" name="872 Imagen" descr="sublimacion icono.png">
          <a:extLst>
            <a:ext uri="{FF2B5EF4-FFF2-40B4-BE49-F238E27FC236}">
              <a16:creationId xmlns:a16="http://schemas.microsoft.com/office/drawing/2014/main" id="{1700A12B-4AB9-4FBB-B4E2-9EB014A27A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9097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66675</xdr:colOff>
      <xdr:row>121</xdr:row>
      <xdr:rowOff>19050</xdr:rowOff>
    </xdr:from>
    <xdr:ext cx="819149" cy="123825"/>
    <xdr:pic>
      <xdr:nvPicPr>
        <xdr:cNvPr id="1402" name="909 Imagen" descr="FULL PRINT ICONO.png">
          <a:extLst>
            <a:ext uri="{FF2B5EF4-FFF2-40B4-BE49-F238E27FC236}">
              <a16:creationId xmlns:a16="http://schemas.microsoft.com/office/drawing/2014/main" id="{4FAFE7D2-32CF-451E-95AF-33288D67F6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1909762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116</xdr:row>
      <xdr:rowOff>28575</xdr:rowOff>
    </xdr:from>
    <xdr:ext cx="342900" cy="104775"/>
    <xdr:pic>
      <xdr:nvPicPr>
        <xdr:cNvPr id="1407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4975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121</xdr:row>
      <xdr:rowOff>28575</xdr:rowOff>
    </xdr:from>
    <xdr:ext cx="342900" cy="104775"/>
    <xdr:pic>
      <xdr:nvPicPr>
        <xdr:cNvPr id="1409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2595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345</xdr:row>
      <xdr:rowOff>19050</xdr:rowOff>
    </xdr:from>
    <xdr:to>
      <xdr:col>24</xdr:col>
      <xdr:colOff>47625</xdr:colOff>
      <xdr:row>345</xdr:row>
      <xdr:rowOff>142875</xdr:rowOff>
    </xdr:to>
    <xdr:pic>
      <xdr:nvPicPr>
        <xdr:cNvPr id="1411" name="512 Imagen" descr="tampo icono.png">
          <a:extLst>
            <a:ext uri="{FF2B5EF4-FFF2-40B4-BE49-F238E27FC236}">
              <a16:creationId xmlns:a16="http://schemas.microsoft.com/office/drawing/2014/main" id="{39EBC17B-715A-4F85-AEA2-41BC191703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3987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344</xdr:row>
      <xdr:rowOff>19050</xdr:rowOff>
    </xdr:from>
    <xdr:to>
      <xdr:col>24</xdr:col>
      <xdr:colOff>47625</xdr:colOff>
      <xdr:row>344</xdr:row>
      <xdr:rowOff>142875</xdr:rowOff>
    </xdr:to>
    <xdr:pic>
      <xdr:nvPicPr>
        <xdr:cNvPr id="1459" name="512 Imagen" descr="tampo icono.png">
          <a:extLst>
            <a:ext uri="{FF2B5EF4-FFF2-40B4-BE49-F238E27FC236}">
              <a16:creationId xmlns:a16="http://schemas.microsoft.com/office/drawing/2014/main" id="{39EBC17B-715A-4F85-AEA2-41BC191703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3835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308</xdr:row>
      <xdr:rowOff>19050</xdr:rowOff>
    </xdr:from>
    <xdr:to>
      <xdr:col>24</xdr:col>
      <xdr:colOff>47625</xdr:colOff>
      <xdr:row>308</xdr:row>
      <xdr:rowOff>142875</xdr:rowOff>
    </xdr:to>
    <xdr:pic>
      <xdr:nvPicPr>
        <xdr:cNvPr id="146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9415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309</xdr:row>
      <xdr:rowOff>19050</xdr:rowOff>
    </xdr:from>
    <xdr:to>
      <xdr:col>24</xdr:col>
      <xdr:colOff>47625</xdr:colOff>
      <xdr:row>309</xdr:row>
      <xdr:rowOff>142875</xdr:rowOff>
    </xdr:to>
    <xdr:pic>
      <xdr:nvPicPr>
        <xdr:cNvPr id="146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9720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367</xdr:row>
      <xdr:rowOff>19050</xdr:rowOff>
    </xdr:from>
    <xdr:to>
      <xdr:col>24</xdr:col>
      <xdr:colOff>47625</xdr:colOff>
      <xdr:row>367</xdr:row>
      <xdr:rowOff>142875</xdr:rowOff>
    </xdr:to>
    <xdr:pic>
      <xdr:nvPicPr>
        <xdr:cNvPr id="146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6426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283</xdr:row>
      <xdr:rowOff>19050</xdr:rowOff>
    </xdr:from>
    <xdr:ext cx="819150" cy="123825"/>
    <xdr:pic>
      <xdr:nvPicPr>
        <xdr:cNvPr id="1511" name="594 Imagen" descr="laser fibra icono.png">
          <a:extLst>
            <a:ext uri="{FF2B5EF4-FFF2-40B4-BE49-F238E27FC236}">
              <a16:creationId xmlns:a16="http://schemas.microsoft.com/office/drawing/2014/main" id="{94254448-E95B-4D55-94D6-FFC50B0E8B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4948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284</xdr:row>
      <xdr:rowOff>19050</xdr:rowOff>
    </xdr:from>
    <xdr:ext cx="819150" cy="123825"/>
    <xdr:pic>
      <xdr:nvPicPr>
        <xdr:cNvPr id="1513" name="594 Imagen" descr="laser fibra icono.png">
          <a:extLst>
            <a:ext uri="{FF2B5EF4-FFF2-40B4-BE49-F238E27FC236}">
              <a16:creationId xmlns:a16="http://schemas.microsoft.com/office/drawing/2014/main" id="{94254448-E95B-4D55-94D6-FFC50B0E8B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51008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199</xdr:row>
      <xdr:rowOff>19050</xdr:rowOff>
    </xdr:from>
    <xdr:ext cx="819150" cy="123825"/>
    <xdr:pic>
      <xdr:nvPicPr>
        <xdr:cNvPr id="90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0279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289</xdr:row>
      <xdr:rowOff>19050</xdr:rowOff>
    </xdr:from>
    <xdr:ext cx="828675" cy="123825"/>
    <xdr:pic>
      <xdr:nvPicPr>
        <xdr:cNvPr id="902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61676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289</xdr:row>
      <xdr:rowOff>19050</xdr:rowOff>
    </xdr:from>
    <xdr:ext cx="502919" cy="121920"/>
    <xdr:pic>
      <xdr:nvPicPr>
        <xdr:cNvPr id="973" name="Imagen 972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1450" y="46167675"/>
          <a:ext cx="502919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196</xdr:row>
      <xdr:rowOff>19050</xdr:rowOff>
    </xdr:from>
    <xdr:ext cx="819150" cy="123825"/>
    <xdr:pic>
      <xdr:nvPicPr>
        <xdr:cNvPr id="98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0279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196</xdr:row>
      <xdr:rowOff>28575</xdr:rowOff>
    </xdr:from>
    <xdr:ext cx="342900" cy="104775"/>
    <xdr:pic>
      <xdr:nvPicPr>
        <xdr:cNvPr id="991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4419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452</xdr:row>
      <xdr:rowOff>19050</xdr:rowOff>
    </xdr:from>
    <xdr:ext cx="819150" cy="123825"/>
    <xdr:pic>
      <xdr:nvPicPr>
        <xdr:cNvPr id="915" name="337 Imagen" descr="laser fibra icono.png">
          <a:extLst>
            <a:ext uri="{FF2B5EF4-FFF2-40B4-BE49-F238E27FC236}">
              <a16:creationId xmlns:a16="http://schemas.microsoft.com/office/drawing/2014/main" id="{8504D109-95E7-49E6-9F49-7E0269928A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686657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128</xdr:row>
      <xdr:rowOff>19050</xdr:rowOff>
    </xdr:from>
    <xdr:ext cx="819150" cy="123825"/>
    <xdr:pic>
      <xdr:nvPicPr>
        <xdr:cNvPr id="978" name="867 Imagen" descr="laser fibra icono.png">
          <a:extLst>
            <a:ext uri="{FF2B5EF4-FFF2-40B4-BE49-F238E27FC236}">
              <a16:creationId xmlns:a16="http://schemas.microsoft.com/office/drawing/2014/main" id="{80DC8A16-3910-4D8D-BEF2-8DFB2210FC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20012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128</xdr:row>
      <xdr:rowOff>28575</xdr:rowOff>
    </xdr:from>
    <xdr:ext cx="342900" cy="104775"/>
    <xdr:pic>
      <xdr:nvPicPr>
        <xdr:cNvPr id="1015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1739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434</xdr:row>
      <xdr:rowOff>19050</xdr:rowOff>
    </xdr:from>
    <xdr:ext cx="819150" cy="123825"/>
    <xdr:pic>
      <xdr:nvPicPr>
        <xdr:cNvPr id="1092" name="365 Imagen" descr="laser fibra icono.png">
          <a:extLst>
            <a:ext uri="{FF2B5EF4-FFF2-40B4-BE49-F238E27FC236}">
              <a16:creationId xmlns:a16="http://schemas.microsoft.com/office/drawing/2014/main" id="{6239FBFC-C360-4BB2-83CA-3710A8BAD1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66836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250</xdr:row>
      <xdr:rowOff>19050</xdr:rowOff>
    </xdr:from>
    <xdr:ext cx="819149" cy="123825"/>
    <xdr:pic>
      <xdr:nvPicPr>
        <xdr:cNvPr id="111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77856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342</xdr:row>
      <xdr:rowOff>19050</xdr:rowOff>
    </xdr:from>
    <xdr:ext cx="819150" cy="123825"/>
    <xdr:pic>
      <xdr:nvPicPr>
        <xdr:cNvPr id="112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3682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342</xdr:row>
      <xdr:rowOff>28575</xdr:rowOff>
    </xdr:from>
    <xdr:ext cx="342900" cy="104775"/>
    <xdr:pic>
      <xdr:nvPicPr>
        <xdr:cNvPr id="1127" name="258 Imagen" descr="nuevo icono.png">
          <a:extLst>
            <a:ext uri="{FF2B5EF4-FFF2-40B4-BE49-F238E27FC236}">
              <a16:creationId xmlns:a16="http://schemas.microsoft.com/office/drawing/2014/main" id="{3C2A2AD4-685E-42C3-B5B0-480D96EAB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36924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6</xdr:col>
      <xdr:colOff>9525</xdr:colOff>
      <xdr:row>620</xdr:row>
      <xdr:rowOff>19050</xdr:rowOff>
    </xdr:from>
    <xdr:to>
      <xdr:col>10</xdr:col>
      <xdr:colOff>1</xdr:colOff>
      <xdr:row>620</xdr:row>
      <xdr:rowOff>142875</xdr:rowOff>
    </xdr:to>
    <xdr:pic>
      <xdr:nvPicPr>
        <xdr:cNvPr id="1052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037647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621</xdr:row>
      <xdr:rowOff>19050</xdr:rowOff>
    </xdr:from>
    <xdr:to>
      <xdr:col>10</xdr:col>
      <xdr:colOff>1</xdr:colOff>
      <xdr:row>621</xdr:row>
      <xdr:rowOff>142875</xdr:rowOff>
    </xdr:to>
    <xdr:pic>
      <xdr:nvPicPr>
        <xdr:cNvPr id="1130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052887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622</xdr:row>
      <xdr:rowOff>19050</xdr:rowOff>
    </xdr:from>
    <xdr:to>
      <xdr:col>10</xdr:col>
      <xdr:colOff>1</xdr:colOff>
      <xdr:row>622</xdr:row>
      <xdr:rowOff>142875</xdr:rowOff>
    </xdr:to>
    <xdr:pic>
      <xdr:nvPicPr>
        <xdr:cNvPr id="1135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068127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623</xdr:row>
      <xdr:rowOff>19050</xdr:rowOff>
    </xdr:from>
    <xdr:to>
      <xdr:col>10</xdr:col>
      <xdr:colOff>1</xdr:colOff>
      <xdr:row>623</xdr:row>
      <xdr:rowOff>142875</xdr:rowOff>
    </xdr:to>
    <xdr:pic>
      <xdr:nvPicPr>
        <xdr:cNvPr id="1142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083367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624</xdr:row>
      <xdr:rowOff>19050</xdr:rowOff>
    </xdr:from>
    <xdr:to>
      <xdr:col>10</xdr:col>
      <xdr:colOff>1</xdr:colOff>
      <xdr:row>624</xdr:row>
      <xdr:rowOff>142875</xdr:rowOff>
    </xdr:to>
    <xdr:pic>
      <xdr:nvPicPr>
        <xdr:cNvPr id="1182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098607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625</xdr:row>
      <xdr:rowOff>19050</xdr:rowOff>
    </xdr:from>
    <xdr:to>
      <xdr:col>10</xdr:col>
      <xdr:colOff>1</xdr:colOff>
      <xdr:row>625</xdr:row>
      <xdr:rowOff>142875</xdr:rowOff>
    </xdr:to>
    <xdr:pic>
      <xdr:nvPicPr>
        <xdr:cNvPr id="1196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113847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626</xdr:row>
      <xdr:rowOff>19050</xdr:rowOff>
    </xdr:from>
    <xdr:to>
      <xdr:col>10</xdr:col>
      <xdr:colOff>1</xdr:colOff>
      <xdr:row>626</xdr:row>
      <xdr:rowOff>142875</xdr:rowOff>
    </xdr:to>
    <xdr:pic>
      <xdr:nvPicPr>
        <xdr:cNvPr id="1216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129087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619</xdr:row>
      <xdr:rowOff>19050</xdr:rowOff>
    </xdr:from>
    <xdr:to>
      <xdr:col>10</xdr:col>
      <xdr:colOff>1</xdr:colOff>
      <xdr:row>619</xdr:row>
      <xdr:rowOff>142875</xdr:rowOff>
    </xdr:to>
    <xdr:pic>
      <xdr:nvPicPr>
        <xdr:cNvPr id="1239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007167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24</xdr:col>
      <xdr:colOff>57150</xdr:colOff>
      <xdr:row>300</xdr:row>
      <xdr:rowOff>19050</xdr:rowOff>
    </xdr:from>
    <xdr:ext cx="438150" cy="123825"/>
    <xdr:pic>
      <xdr:nvPicPr>
        <xdr:cNvPr id="1202" name="571 Imagen" descr="UN LADO ICONO.png">
          <a:extLst>
            <a:ext uri="{FF2B5EF4-FFF2-40B4-BE49-F238E27FC236}">
              <a16:creationId xmlns:a16="http://schemas.microsoft.com/office/drawing/2014/main" id="{822A2817-1BEA-4713-B476-6570D88127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4814887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300</xdr:row>
      <xdr:rowOff>19050</xdr:rowOff>
    </xdr:from>
    <xdr:ext cx="819150" cy="123825"/>
    <xdr:pic>
      <xdr:nvPicPr>
        <xdr:cNvPr id="124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81488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348</xdr:row>
      <xdr:rowOff>28575</xdr:rowOff>
    </xdr:from>
    <xdr:ext cx="342900" cy="104775"/>
    <xdr:pic>
      <xdr:nvPicPr>
        <xdr:cNvPr id="1251" name="258 Imagen" descr="nuevo icono.png">
          <a:extLst>
            <a:ext uri="{FF2B5EF4-FFF2-40B4-BE49-F238E27FC236}">
              <a16:creationId xmlns:a16="http://schemas.microsoft.com/office/drawing/2014/main" id="{3C2A2AD4-685E-42C3-B5B0-480D96EAB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47592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348</xdr:row>
      <xdr:rowOff>19050</xdr:rowOff>
    </xdr:from>
    <xdr:to>
      <xdr:col>24</xdr:col>
      <xdr:colOff>47625</xdr:colOff>
      <xdr:row>348</xdr:row>
      <xdr:rowOff>142875</xdr:rowOff>
    </xdr:to>
    <xdr:pic>
      <xdr:nvPicPr>
        <xdr:cNvPr id="126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4749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349</xdr:row>
      <xdr:rowOff>28575</xdr:rowOff>
    </xdr:from>
    <xdr:ext cx="342900" cy="104775"/>
    <xdr:pic>
      <xdr:nvPicPr>
        <xdr:cNvPr id="1284" name="258 Imagen" descr="nuevo icono.png">
          <a:extLst>
            <a:ext uri="{FF2B5EF4-FFF2-40B4-BE49-F238E27FC236}">
              <a16:creationId xmlns:a16="http://schemas.microsoft.com/office/drawing/2014/main" id="{3C2A2AD4-685E-42C3-B5B0-480D96EAB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49116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8283</xdr:colOff>
      <xdr:row>352</xdr:row>
      <xdr:rowOff>16566</xdr:rowOff>
    </xdr:from>
    <xdr:ext cx="819150" cy="123825"/>
    <xdr:pic>
      <xdr:nvPicPr>
        <xdr:cNvPr id="128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3008" y="54899616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8283</xdr:colOff>
      <xdr:row>346</xdr:row>
      <xdr:rowOff>16566</xdr:rowOff>
    </xdr:from>
    <xdr:ext cx="819150" cy="123825"/>
    <xdr:pic>
      <xdr:nvPicPr>
        <xdr:cNvPr id="129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3008" y="55052016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340</xdr:row>
      <xdr:rowOff>19050</xdr:rowOff>
    </xdr:from>
    <xdr:ext cx="819150" cy="123825"/>
    <xdr:pic>
      <xdr:nvPicPr>
        <xdr:cNvPr id="130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3987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341</xdr:row>
      <xdr:rowOff>19050</xdr:rowOff>
    </xdr:from>
    <xdr:ext cx="819150" cy="123825"/>
    <xdr:pic>
      <xdr:nvPicPr>
        <xdr:cNvPr id="130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4140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426</xdr:row>
      <xdr:rowOff>19050</xdr:rowOff>
    </xdr:from>
    <xdr:ext cx="819150" cy="123825"/>
    <xdr:pic>
      <xdr:nvPicPr>
        <xdr:cNvPr id="951" name="365 Imagen" descr="laser fibra icono.png">
          <a:extLst>
            <a:ext uri="{FF2B5EF4-FFF2-40B4-BE49-F238E27FC236}">
              <a16:creationId xmlns:a16="http://schemas.microsoft.com/office/drawing/2014/main" id="{6239FBFC-C360-4BB2-83CA-3710A8BAD1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6532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412</xdr:row>
      <xdr:rowOff>19050</xdr:rowOff>
    </xdr:from>
    <xdr:ext cx="819150" cy="123825"/>
    <xdr:pic>
      <xdr:nvPicPr>
        <xdr:cNvPr id="95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64246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8283</xdr:colOff>
      <xdr:row>354</xdr:row>
      <xdr:rowOff>16566</xdr:rowOff>
    </xdr:from>
    <xdr:ext cx="819150" cy="123825"/>
    <xdr:pic>
      <xdr:nvPicPr>
        <xdr:cNvPr id="92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2483" y="55204416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354</xdr:row>
      <xdr:rowOff>28575</xdr:rowOff>
    </xdr:from>
    <xdr:ext cx="342900" cy="104775"/>
    <xdr:pic>
      <xdr:nvPicPr>
        <xdr:cNvPr id="1036" name="258 Imagen" descr="nuevo icono.png">
          <a:extLst>
            <a:ext uri="{FF2B5EF4-FFF2-40B4-BE49-F238E27FC236}">
              <a16:creationId xmlns:a16="http://schemas.microsoft.com/office/drawing/2014/main" id="{3C2A2AD4-685E-42C3-B5B0-480D96EAB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2164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370</xdr:row>
      <xdr:rowOff>19050</xdr:rowOff>
    </xdr:from>
    <xdr:to>
      <xdr:col>24</xdr:col>
      <xdr:colOff>47625</xdr:colOff>
      <xdr:row>370</xdr:row>
      <xdr:rowOff>142875</xdr:rowOff>
    </xdr:to>
    <xdr:pic>
      <xdr:nvPicPr>
        <xdr:cNvPr id="116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8102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371</xdr:row>
      <xdr:rowOff>19050</xdr:rowOff>
    </xdr:from>
    <xdr:to>
      <xdr:col>24</xdr:col>
      <xdr:colOff>47625</xdr:colOff>
      <xdr:row>371</xdr:row>
      <xdr:rowOff>142875</xdr:rowOff>
    </xdr:to>
    <xdr:pic>
      <xdr:nvPicPr>
        <xdr:cNvPr id="120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8254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374</xdr:row>
      <xdr:rowOff>19050</xdr:rowOff>
    </xdr:from>
    <xdr:to>
      <xdr:col>24</xdr:col>
      <xdr:colOff>47625</xdr:colOff>
      <xdr:row>374</xdr:row>
      <xdr:rowOff>142875</xdr:rowOff>
    </xdr:to>
    <xdr:pic>
      <xdr:nvPicPr>
        <xdr:cNvPr id="135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8407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349</xdr:row>
      <xdr:rowOff>19050</xdr:rowOff>
    </xdr:from>
    <xdr:to>
      <xdr:col>24</xdr:col>
      <xdr:colOff>47625</xdr:colOff>
      <xdr:row>349</xdr:row>
      <xdr:rowOff>142875</xdr:rowOff>
    </xdr:to>
    <xdr:pic>
      <xdr:nvPicPr>
        <xdr:cNvPr id="135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4597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350</xdr:row>
      <xdr:rowOff>19050</xdr:rowOff>
    </xdr:from>
    <xdr:to>
      <xdr:col>24</xdr:col>
      <xdr:colOff>47625</xdr:colOff>
      <xdr:row>350</xdr:row>
      <xdr:rowOff>142875</xdr:rowOff>
    </xdr:to>
    <xdr:pic>
      <xdr:nvPicPr>
        <xdr:cNvPr id="137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4749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313</xdr:row>
      <xdr:rowOff>19050</xdr:rowOff>
    </xdr:from>
    <xdr:to>
      <xdr:col>24</xdr:col>
      <xdr:colOff>47625</xdr:colOff>
      <xdr:row>313</xdr:row>
      <xdr:rowOff>142875</xdr:rowOff>
    </xdr:to>
    <xdr:pic>
      <xdr:nvPicPr>
        <xdr:cNvPr id="139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0330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319</xdr:row>
      <xdr:rowOff>19050</xdr:rowOff>
    </xdr:from>
    <xdr:to>
      <xdr:col>24</xdr:col>
      <xdr:colOff>47625</xdr:colOff>
      <xdr:row>319</xdr:row>
      <xdr:rowOff>142875</xdr:rowOff>
    </xdr:to>
    <xdr:pic>
      <xdr:nvPicPr>
        <xdr:cNvPr id="140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0482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262</xdr:row>
      <xdr:rowOff>19050</xdr:rowOff>
    </xdr:from>
    <xdr:to>
      <xdr:col>24</xdr:col>
      <xdr:colOff>47625</xdr:colOff>
      <xdr:row>262</xdr:row>
      <xdr:rowOff>142875</xdr:rowOff>
    </xdr:to>
    <xdr:pic>
      <xdr:nvPicPr>
        <xdr:cNvPr id="146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93096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247</xdr:row>
      <xdr:rowOff>19050</xdr:rowOff>
    </xdr:from>
    <xdr:to>
      <xdr:col>24</xdr:col>
      <xdr:colOff>47625</xdr:colOff>
      <xdr:row>247</xdr:row>
      <xdr:rowOff>142875</xdr:rowOff>
    </xdr:to>
    <xdr:pic>
      <xdr:nvPicPr>
        <xdr:cNvPr id="151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71760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248</xdr:row>
      <xdr:rowOff>19050</xdr:rowOff>
    </xdr:from>
    <xdr:to>
      <xdr:col>24</xdr:col>
      <xdr:colOff>47625</xdr:colOff>
      <xdr:row>248</xdr:row>
      <xdr:rowOff>142875</xdr:rowOff>
    </xdr:to>
    <xdr:pic>
      <xdr:nvPicPr>
        <xdr:cNvPr id="151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7328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627</xdr:row>
      <xdr:rowOff>19050</xdr:rowOff>
    </xdr:from>
    <xdr:ext cx="847346" cy="121920"/>
    <xdr:pic>
      <xdr:nvPicPr>
        <xdr:cNvPr id="912" name="Imagen 911"/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40986075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628</xdr:row>
      <xdr:rowOff>19050</xdr:rowOff>
    </xdr:from>
    <xdr:ext cx="847346" cy="121920"/>
    <xdr:pic>
      <xdr:nvPicPr>
        <xdr:cNvPr id="1174" name="Imagen 1173"/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41138475"/>
          <a:ext cx="847346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52</xdr:row>
      <xdr:rowOff>19050</xdr:rowOff>
    </xdr:from>
    <xdr:to>
      <xdr:col>24</xdr:col>
      <xdr:colOff>47624</xdr:colOff>
      <xdr:row>52</xdr:row>
      <xdr:rowOff>142875</xdr:rowOff>
    </xdr:to>
    <xdr:pic>
      <xdr:nvPicPr>
        <xdr:cNvPr id="117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85344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184</xdr:row>
      <xdr:rowOff>19050</xdr:rowOff>
    </xdr:from>
    <xdr:to>
      <xdr:col>24</xdr:col>
      <xdr:colOff>47625</xdr:colOff>
      <xdr:row>184</xdr:row>
      <xdr:rowOff>142875</xdr:rowOff>
    </xdr:to>
    <xdr:pic>
      <xdr:nvPicPr>
        <xdr:cNvPr id="120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8603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186</xdr:row>
      <xdr:rowOff>19050</xdr:rowOff>
    </xdr:from>
    <xdr:to>
      <xdr:col>24</xdr:col>
      <xdr:colOff>47625</xdr:colOff>
      <xdr:row>186</xdr:row>
      <xdr:rowOff>142875</xdr:rowOff>
    </xdr:to>
    <xdr:pic>
      <xdr:nvPicPr>
        <xdr:cNvPr id="123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8755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187</xdr:row>
      <xdr:rowOff>19050</xdr:rowOff>
    </xdr:from>
    <xdr:to>
      <xdr:col>24</xdr:col>
      <xdr:colOff>47625</xdr:colOff>
      <xdr:row>187</xdr:row>
      <xdr:rowOff>142875</xdr:rowOff>
    </xdr:to>
    <xdr:pic>
      <xdr:nvPicPr>
        <xdr:cNvPr id="125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8908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440</xdr:row>
      <xdr:rowOff>19050</xdr:rowOff>
    </xdr:from>
    <xdr:to>
      <xdr:col>24</xdr:col>
      <xdr:colOff>47624</xdr:colOff>
      <xdr:row>440</xdr:row>
      <xdr:rowOff>142875</xdr:rowOff>
    </xdr:to>
    <xdr:pic>
      <xdr:nvPicPr>
        <xdr:cNvPr id="126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6805612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439</xdr:row>
      <xdr:rowOff>19050</xdr:rowOff>
    </xdr:from>
    <xdr:to>
      <xdr:col>24</xdr:col>
      <xdr:colOff>47624</xdr:colOff>
      <xdr:row>439</xdr:row>
      <xdr:rowOff>142875</xdr:rowOff>
    </xdr:to>
    <xdr:pic>
      <xdr:nvPicPr>
        <xdr:cNvPr id="141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6790372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388</xdr:row>
      <xdr:rowOff>19050</xdr:rowOff>
    </xdr:from>
    <xdr:ext cx="819150" cy="125505"/>
    <xdr:pic>
      <xdr:nvPicPr>
        <xdr:cNvPr id="1176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605409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230</xdr:row>
      <xdr:rowOff>19050</xdr:rowOff>
    </xdr:from>
    <xdr:ext cx="819149" cy="123825"/>
    <xdr:pic>
      <xdr:nvPicPr>
        <xdr:cNvPr id="151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53091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229</xdr:row>
      <xdr:rowOff>19050</xdr:rowOff>
    </xdr:from>
    <xdr:ext cx="819149" cy="123825"/>
    <xdr:pic>
      <xdr:nvPicPr>
        <xdr:cNvPr id="151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51567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239</xdr:row>
      <xdr:rowOff>19050</xdr:rowOff>
    </xdr:from>
    <xdr:ext cx="819150" cy="123825"/>
    <xdr:pic>
      <xdr:nvPicPr>
        <xdr:cNvPr id="1528" name="659 Imagen" descr="seri icono.png">
          <a:extLst>
            <a:ext uri="{FF2B5EF4-FFF2-40B4-BE49-F238E27FC236}">
              <a16:creationId xmlns:a16="http://schemas.microsoft.com/office/drawing/2014/main" id="{CFC55181-40DC-4BCF-8415-11762553D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5461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239</xdr:row>
      <xdr:rowOff>19050</xdr:rowOff>
    </xdr:from>
    <xdr:ext cx="819149" cy="123825"/>
    <xdr:pic>
      <xdr:nvPicPr>
        <xdr:cNvPr id="153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359187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609</xdr:row>
      <xdr:rowOff>19050</xdr:rowOff>
    </xdr:from>
    <xdr:ext cx="847346" cy="121920"/>
    <xdr:pic>
      <xdr:nvPicPr>
        <xdr:cNvPr id="898" name="Imagen 897"/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5200" y="921448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610</xdr:row>
      <xdr:rowOff>19050</xdr:rowOff>
    </xdr:from>
    <xdr:ext cx="847346" cy="121920"/>
    <xdr:pic>
      <xdr:nvPicPr>
        <xdr:cNvPr id="899" name="Imagen 898"/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5200" y="922972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547</xdr:row>
      <xdr:rowOff>19050</xdr:rowOff>
    </xdr:from>
    <xdr:ext cx="847346" cy="121920"/>
    <xdr:pic>
      <xdr:nvPicPr>
        <xdr:cNvPr id="870" name="Imagen 869"/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5200" y="83210400"/>
          <a:ext cx="847346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364</xdr:row>
      <xdr:rowOff>19050</xdr:rowOff>
    </xdr:from>
    <xdr:to>
      <xdr:col>24</xdr:col>
      <xdr:colOff>47624</xdr:colOff>
      <xdr:row>364</xdr:row>
      <xdr:rowOff>142875</xdr:rowOff>
    </xdr:to>
    <xdr:pic>
      <xdr:nvPicPr>
        <xdr:cNvPr id="87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547497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365</xdr:row>
      <xdr:rowOff>19050</xdr:rowOff>
    </xdr:from>
    <xdr:ext cx="819149" cy="123825"/>
    <xdr:pic>
      <xdr:nvPicPr>
        <xdr:cNvPr id="87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549021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363</xdr:row>
      <xdr:rowOff>19050</xdr:rowOff>
    </xdr:from>
    <xdr:ext cx="819149" cy="123825"/>
    <xdr:pic>
      <xdr:nvPicPr>
        <xdr:cNvPr id="87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545973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324</xdr:row>
      <xdr:rowOff>19050</xdr:rowOff>
    </xdr:from>
    <xdr:to>
      <xdr:col>24</xdr:col>
      <xdr:colOff>47624</xdr:colOff>
      <xdr:row>324</xdr:row>
      <xdr:rowOff>142875</xdr:rowOff>
    </xdr:to>
    <xdr:pic>
      <xdr:nvPicPr>
        <xdr:cNvPr id="88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483012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567</xdr:row>
      <xdr:rowOff>19050</xdr:rowOff>
    </xdr:from>
    <xdr:ext cx="847346" cy="121920"/>
    <xdr:pic>
      <xdr:nvPicPr>
        <xdr:cNvPr id="865" name="Imagen 864"/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62825" y="8442960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567</xdr:row>
      <xdr:rowOff>28575</xdr:rowOff>
    </xdr:from>
    <xdr:ext cx="342900" cy="104775"/>
    <xdr:pic>
      <xdr:nvPicPr>
        <xdr:cNvPr id="867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44391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264</xdr:row>
      <xdr:rowOff>28575</xdr:rowOff>
    </xdr:from>
    <xdr:ext cx="342900" cy="104775"/>
    <xdr:pic>
      <xdr:nvPicPr>
        <xdr:cNvPr id="868" name="261 Imagen" descr="nuevo icono.png">
          <a:extLst>
            <a:ext uri="{FF2B5EF4-FFF2-40B4-BE49-F238E27FC236}">
              <a16:creationId xmlns:a16="http://schemas.microsoft.com/office/drawing/2014/main" id="{204D8D91-A921-45D4-8F26-5DB5B202B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8620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264</xdr:row>
      <xdr:rowOff>19050</xdr:rowOff>
    </xdr:from>
    <xdr:ext cx="819150" cy="123825"/>
    <xdr:pic>
      <xdr:nvPicPr>
        <xdr:cNvPr id="86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38852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185</xdr:row>
      <xdr:rowOff>19050</xdr:rowOff>
    </xdr:from>
    <xdr:ext cx="819150" cy="123825"/>
    <xdr:pic>
      <xdr:nvPicPr>
        <xdr:cNvPr id="88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28603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185</xdr:row>
      <xdr:rowOff>28575</xdr:rowOff>
    </xdr:from>
    <xdr:ext cx="342900" cy="104775"/>
    <xdr:pic>
      <xdr:nvPicPr>
        <xdr:cNvPr id="882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4607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275</xdr:row>
      <xdr:rowOff>19050</xdr:rowOff>
    </xdr:from>
    <xdr:ext cx="502919" cy="121920"/>
    <xdr:pic>
      <xdr:nvPicPr>
        <xdr:cNvPr id="859" name="Imagen 858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10550" y="41748075"/>
          <a:ext cx="502919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275</xdr:row>
      <xdr:rowOff>19050</xdr:rowOff>
    </xdr:from>
    <xdr:ext cx="819149" cy="123825"/>
    <xdr:pic>
      <xdr:nvPicPr>
        <xdr:cNvPr id="86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417480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245</xdr:row>
      <xdr:rowOff>19050</xdr:rowOff>
    </xdr:from>
    <xdr:to>
      <xdr:col>24</xdr:col>
      <xdr:colOff>47625</xdr:colOff>
      <xdr:row>245</xdr:row>
      <xdr:rowOff>142875</xdr:rowOff>
    </xdr:to>
    <xdr:pic>
      <xdr:nvPicPr>
        <xdr:cNvPr id="87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370236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246</xdr:row>
      <xdr:rowOff>19050</xdr:rowOff>
    </xdr:from>
    <xdr:to>
      <xdr:col>24</xdr:col>
      <xdr:colOff>47625</xdr:colOff>
      <xdr:row>246</xdr:row>
      <xdr:rowOff>142875</xdr:rowOff>
    </xdr:to>
    <xdr:pic>
      <xdr:nvPicPr>
        <xdr:cNvPr id="88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371760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297</xdr:row>
      <xdr:rowOff>28575</xdr:rowOff>
    </xdr:from>
    <xdr:to>
      <xdr:col>1</xdr:col>
      <xdr:colOff>0</xdr:colOff>
      <xdr:row>297</xdr:row>
      <xdr:rowOff>133350</xdr:rowOff>
    </xdr:to>
    <xdr:pic>
      <xdr:nvPicPr>
        <xdr:cNvPr id="886" name="222 Imagen" descr="oferta icono.png">
          <a:extLst>
            <a:ext uri="{FF2B5EF4-FFF2-40B4-BE49-F238E27FC236}">
              <a16:creationId xmlns:a16="http://schemas.microsoft.com/office/drawing/2014/main" id="{3E96CCA1-0FD5-4D0A-BD9D-85B022678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9580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359</xdr:row>
      <xdr:rowOff>28575</xdr:rowOff>
    </xdr:from>
    <xdr:to>
      <xdr:col>1</xdr:col>
      <xdr:colOff>0</xdr:colOff>
      <xdr:row>359</xdr:row>
      <xdr:rowOff>133350</xdr:rowOff>
    </xdr:to>
    <xdr:pic>
      <xdr:nvPicPr>
        <xdr:cNvPr id="888" name="222 Imagen" descr="oferta icono.png">
          <a:extLst>
            <a:ext uri="{FF2B5EF4-FFF2-40B4-BE49-F238E27FC236}">
              <a16:creationId xmlns:a16="http://schemas.microsoft.com/office/drawing/2014/main" id="{3E96CCA1-0FD5-4D0A-BD9D-85B022678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43020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404</xdr:row>
      <xdr:rowOff>19050</xdr:rowOff>
    </xdr:from>
    <xdr:ext cx="819150" cy="125505"/>
    <xdr:pic>
      <xdr:nvPicPr>
        <xdr:cNvPr id="854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602361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404</xdr:row>
      <xdr:rowOff>28575</xdr:rowOff>
    </xdr:from>
    <xdr:ext cx="342900" cy="104775"/>
    <xdr:pic>
      <xdr:nvPicPr>
        <xdr:cNvPr id="891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0932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123</xdr:row>
      <xdr:rowOff>28575</xdr:rowOff>
    </xdr:from>
    <xdr:ext cx="342900" cy="104775"/>
    <xdr:pic>
      <xdr:nvPicPr>
        <xdr:cNvPr id="864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7167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123</xdr:row>
      <xdr:rowOff>19050</xdr:rowOff>
    </xdr:from>
    <xdr:ext cx="819150" cy="123825"/>
    <xdr:pic>
      <xdr:nvPicPr>
        <xdr:cNvPr id="89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9250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649</xdr:row>
      <xdr:rowOff>19050</xdr:rowOff>
    </xdr:from>
    <xdr:ext cx="819150" cy="123825"/>
    <xdr:pic>
      <xdr:nvPicPr>
        <xdr:cNvPr id="901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45832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650</xdr:row>
      <xdr:rowOff>19050</xdr:rowOff>
    </xdr:from>
    <xdr:ext cx="819150" cy="123825"/>
    <xdr:pic>
      <xdr:nvPicPr>
        <xdr:cNvPr id="913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58024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343</xdr:row>
      <xdr:rowOff>19050</xdr:rowOff>
    </xdr:from>
    <xdr:ext cx="819150" cy="123825"/>
    <xdr:pic>
      <xdr:nvPicPr>
        <xdr:cNvPr id="84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51549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343</xdr:row>
      <xdr:rowOff>28575</xdr:rowOff>
    </xdr:from>
    <xdr:ext cx="342900" cy="104775"/>
    <xdr:pic>
      <xdr:nvPicPr>
        <xdr:cNvPr id="846" name="258 Imagen" descr="nuevo icono.png">
          <a:extLst>
            <a:ext uri="{FF2B5EF4-FFF2-40B4-BE49-F238E27FC236}">
              <a16:creationId xmlns:a16="http://schemas.microsoft.com/office/drawing/2014/main" id="{3C2A2AD4-685E-42C3-B5B0-480D96EAB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15588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649</xdr:row>
      <xdr:rowOff>28575</xdr:rowOff>
    </xdr:from>
    <xdr:ext cx="342900" cy="104775"/>
    <xdr:pic>
      <xdr:nvPicPr>
        <xdr:cNvPr id="847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9643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650</xdr:row>
      <xdr:rowOff>28575</xdr:rowOff>
    </xdr:from>
    <xdr:ext cx="342900" cy="104775"/>
    <xdr:pic>
      <xdr:nvPicPr>
        <xdr:cNvPr id="848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61167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259</xdr:row>
      <xdr:rowOff>19050</xdr:rowOff>
    </xdr:from>
    <xdr:ext cx="819150" cy="123825"/>
    <xdr:pic>
      <xdr:nvPicPr>
        <xdr:cNvPr id="85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90048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259</xdr:row>
      <xdr:rowOff>28575</xdr:rowOff>
    </xdr:from>
    <xdr:ext cx="342900" cy="104775"/>
    <xdr:pic>
      <xdr:nvPicPr>
        <xdr:cNvPr id="852" name="261 Imagen" descr="nuevo icono.png">
          <a:extLst>
            <a:ext uri="{FF2B5EF4-FFF2-40B4-BE49-F238E27FC236}">
              <a16:creationId xmlns:a16="http://schemas.microsoft.com/office/drawing/2014/main" id="{204D8D91-A921-45D4-8F26-5DB5B202B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0144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328</xdr:row>
      <xdr:rowOff>19050</xdr:rowOff>
    </xdr:from>
    <xdr:ext cx="819150" cy="123825"/>
    <xdr:pic>
      <xdr:nvPicPr>
        <xdr:cNvPr id="85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49568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328</xdr:row>
      <xdr:rowOff>28575</xdr:rowOff>
    </xdr:from>
    <xdr:ext cx="342900" cy="104775"/>
    <xdr:pic>
      <xdr:nvPicPr>
        <xdr:cNvPr id="858" name="258 Imagen" descr="nuevo icono.png">
          <a:extLst>
            <a:ext uri="{FF2B5EF4-FFF2-40B4-BE49-F238E27FC236}">
              <a16:creationId xmlns:a16="http://schemas.microsoft.com/office/drawing/2014/main" id="{3C2A2AD4-685E-42C3-B5B0-480D96EAB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97300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326</xdr:row>
      <xdr:rowOff>19050</xdr:rowOff>
    </xdr:from>
    <xdr:to>
      <xdr:col>24</xdr:col>
      <xdr:colOff>47625</xdr:colOff>
      <xdr:row>326</xdr:row>
      <xdr:rowOff>142875</xdr:rowOff>
    </xdr:to>
    <xdr:pic>
      <xdr:nvPicPr>
        <xdr:cNvPr id="87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49415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278</xdr:row>
      <xdr:rowOff>19050</xdr:rowOff>
    </xdr:from>
    <xdr:ext cx="828675" cy="123825"/>
    <xdr:pic>
      <xdr:nvPicPr>
        <xdr:cNvPr id="850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419004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24</xdr:col>
      <xdr:colOff>76200</xdr:colOff>
      <xdr:row>278</xdr:row>
      <xdr:rowOff>19050</xdr:rowOff>
    </xdr:from>
    <xdr:to>
      <xdr:col>25</xdr:col>
      <xdr:colOff>83819</xdr:colOff>
      <xdr:row>278</xdr:row>
      <xdr:rowOff>140970</xdr:rowOff>
    </xdr:to>
    <xdr:pic>
      <xdr:nvPicPr>
        <xdr:cNvPr id="885" name="Imagen 884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62925" y="41900475"/>
          <a:ext cx="502919" cy="121920"/>
        </a:xfrm>
        <a:prstGeom prst="rect">
          <a:avLst/>
        </a:prstGeom>
      </xdr:spPr>
    </xdr:pic>
    <xdr:clientData/>
  </xdr:twoCellAnchor>
  <xdr:oneCellAnchor>
    <xdr:from>
      <xdr:col>23</xdr:col>
      <xdr:colOff>9525</xdr:colOff>
      <xdr:row>570</xdr:row>
      <xdr:rowOff>19050</xdr:rowOff>
    </xdr:from>
    <xdr:ext cx="847346" cy="121920"/>
    <xdr:pic>
      <xdr:nvPicPr>
        <xdr:cNvPr id="839" name="Imagen 838"/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8420100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614</xdr:row>
      <xdr:rowOff>28575</xdr:rowOff>
    </xdr:from>
    <xdr:ext cx="342900" cy="104775"/>
    <xdr:pic>
      <xdr:nvPicPr>
        <xdr:cNvPr id="841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15447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614</xdr:row>
      <xdr:rowOff>19050</xdr:rowOff>
    </xdr:from>
    <xdr:ext cx="847346" cy="121920"/>
    <xdr:pic>
      <xdr:nvPicPr>
        <xdr:cNvPr id="861" name="Imagen 860"/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916876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244</xdr:row>
      <xdr:rowOff>19050</xdr:rowOff>
    </xdr:from>
    <xdr:ext cx="819150" cy="123825"/>
    <xdr:pic>
      <xdr:nvPicPr>
        <xdr:cNvPr id="876" name="659 Imagen" descr="seri icono.png">
          <a:extLst>
            <a:ext uri="{FF2B5EF4-FFF2-40B4-BE49-F238E27FC236}">
              <a16:creationId xmlns:a16="http://schemas.microsoft.com/office/drawing/2014/main" id="{CFC55181-40DC-4BCF-8415-11762553D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36071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244</xdr:row>
      <xdr:rowOff>19050</xdr:rowOff>
    </xdr:from>
    <xdr:ext cx="819150" cy="123825"/>
    <xdr:pic>
      <xdr:nvPicPr>
        <xdr:cNvPr id="88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36071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244</xdr:row>
      <xdr:rowOff>28575</xdr:rowOff>
    </xdr:from>
    <xdr:ext cx="342900" cy="104775"/>
    <xdr:pic>
      <xdr:nvPicPr>
        <xdr:cNvPr id="896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0332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273</xdr:row>
      <xdr:rowOff>19050</xdr:rowOff>
    </xdr:from>
    <xdr:ext cx="502919" cy="121920"/>
    <xdr:pic>
      <xdr:nvPicPr>
        <xdr:cNvPr id="910" name="Imagen 909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91500" y="41290875"/>
          <a:ext cx="502919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273</xdr:row>
      <xdr:rowOff>19050</xdr:rowOff>
    </xdr:from>
    <xdr:ext cx="819149" cy="123825"/>
    <xdr:pic>
      <xdr:nvPicPr>
        <xdr:cNvPr id="92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412908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251</xdr:row>
      <xdr:rowOff>19050</xdr:rowOff>
    </xdr:from>
    <xdr:ext cx="819149" cy="123825"/>
    <xdr:pic>
      <xdr:nvPicPr>
        <xdr:cNvPr id="92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380904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291</xdr:row>
      <xdr:rowOff>19050</xdr:rowOff>
    </xdr:from>
    <xdr:ext cx="828675" cy="123825"/>
    <xdr:pic>
      <xdr:nvPicPr>
        <xdr:cNvPr id="890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441864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291</xdr:row>
      <xdr:rowOff>19050</xdr:rowOff>
    </xdr:from>
    <xdr:ext cx="502919" cy="121920"/>
    <xdr:pic>
      <xdr:nvPicPr>
        <xdr:cNvPr id="909" name="Imagen 908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91500" y="44186475"/>
          <a:ext cx="502919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159</xdr:row>
      <xdr:rowOff>19050</xdr:rowOff>
    </xdr:from>
    <xdr:to>
      <xdr:col>24</xdr:col>
      <xdr:colOff>47625</xdr:colOff>
      <xdr:row>159</xdr:row>
      <xdr:rowOff>142875</xdr:rowOff>
    </xdr:to>
    <xdr:pic>
      <xdr:nvPicPr>
        <xdr:cNvPr id="92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3822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127</xdr:row>
      <xdr:rowOff>19050</xdr:rowOff>
    </xdr:from>
    <xdr:ext cx="819150" cy="123825"/>
    <xdr:pic>
      <xdr:nvPicPr>
        <xdr:cNvPr id="939" name="867 Imagen" descr="laser fibra icono.png">
          <a:extLst>
            <a:ext uri="{FF2B5EF4-FFF2-40B4-BE49-F238E27FC236}">
              <a16:creationId xmlns:a16="http://schemas.microsoft.com/office/drawing/2014/main" id="{80DC8A16-3910-4D8D-BEF2-8DFB2210FC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0012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127</xdr:row>
      <xdr:rowOff>28575</xdr:rowOff>
    </xdr:from>
    <xdr:ext cx="342900" cy="104775"/>
    <xdr:pic>
      <xdr:nvPicPr>
        <xdr:cNvPr id="944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0215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612</xdr:row>
      <xdr:rowOff>19050</xdr:rowOff>
    </xdr:from>
    <xdr:ext cx="847346" cy="121920"/>
    <xdr:pic>
      <xdr:nvPicPr>
        <xdr:cNvPr id="974" name="Imagen 973"/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91687650"/>
          <a:ext cx="847346" cy="121920"/>
        </a:xfrm>
        <a:prstGeom prst="rect">
          <a:avLst/>
        </a:prstGeom>
      </xdr:spPr>
    </xdr:pic>
    <xdr:clientData/>
  </xdr:oneCellAnchor>
  <xdr:twoCellAnchor editAs="oneCell">
    <xdr:from>
      <xdr:col>24</xdr:col>
      <xdr:colOff>95250</xdr:colOff>
      <xdr:row>612</xdr:row>
      <xdr:rowOff>19050</xdr:rowOff>
    </xdr:from>
    <xdr:to>
      <xdr:col>26</xdr:col>
      <xdr:colOff>38100</xdr:colOff>
      <xdr:row>612</xdr:row>
      <xdr:rowOff>142875</xdr:rowOff>
    </xdr:to>
    <xdr:pic>
      <xdr:nvPicPr>
        <xdr:cNvPr id="975" name="488 Imagen" descr="laser fibra icono.png">
          <a:extLst>
            <a:ext uri="{FF2B5EF4-FFF2-40B4-BE49-F238E27FC236}">
              <a16:creationId xmlns:a16="http://schemas.microsoft.com/office/drawing/2014/main" id="{4557523D-76BE-4B3D-A708-8950DE944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10550" y="916876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634</xdr:row>
      <xdr:rowOff>19050</xdr:rowOff>
    </xdr:from>
    <xdr:ext cx="819150" cy="123825"/>
    <xdr:pic>
      <xdr:nvPicPr>
        <xdr:cNvPr id="979" name="488 Imagen" descr="laser fibra icono.png">
          <a:extLst>
            <a:ext uri="{FF2B5EF4-FFF2-40B4-BE49-F238E27FC236}">
              <a16:creationId xmlns:a16="http://schemas.microsoft.com/office/drawing/2014/main" id="{4557523D-76BE-4B3D-A708-8950DE944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951928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231</xdr:row>
      <xdr:rowOff>28575</xdr:rowOff>
    </xdr:from>
    <xdr:ext cx="342900" cy="104775"/>
    <xdr:pic>
      <xdr:nvPicPr>
        <xdr:cNvPr id="992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3380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231</xdr:row>
      <xdr:rowOff>19050</xdr:rowOff>
    </xdr:from>
    <xdr:ext cx="819149" cy="123825"/>
    <xdr:pic>
      <xdr:nvPicPr>
        <xdr:cNvPr id="99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354615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373</xdr:row>
      <xdr:rowOff>19050</xdr:rowOff>
    </xdr:from>
    <xdr:ext cx="819150" cy="123825"/>
    <xdr:pic>
      <xdr:nvPicPr>
        <xdr:cNvPr id="100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54444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373</xdr:row>
      <xdr:rowOff>28575</xdr:rowOff>
    </xdr:from>
    <xdr:ext cx="342900" cy="104775"/>
    <xdr:pic>
      <xdr:nvPicPr>
        <xdr:cNvPr id="1020" name="258 Imagen" descr="nuevo icono.png">
          <a:extLst>
            <a:ext uri="{FF2B5EF4-FFF2-40B4-BE49-F238E27FC236}">
              <a16:creationId xmlns:a16="http://schemas.microsoft.com/office/drawing/2014/main" id="{3C2A2AD4-685E-42C3-B5B0-480D96EAB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67404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372</xdr:row>
      <xdr:rowOff>19050</xdr:rowOff>
    </xdr:from>
    <xdr:ext cx="819150" cy="123825"/>
    <xdr:pic>
      <xdr:nvPicPr>
        <xdr:cNvPr id="102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56883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372</xdr:row>
      <xdr:rowOff>28575</xdr:rowOff>
    </xdr:from>
    <xdr:ext cx="342900" cy="104775"/>
    <xdr:pic>
      <xdr:nvPicPr>
        <xdr:cNvPr id="1030" name="258 Imagen" descr="nuevo icono.png">
          <a:extLst>
            <a:ext uri="{FF2B5EF4-FFF2-40B4-BE49-F238E27FC236}">
              <a16:creationId xmlns:a16="http://schemas.microsoft.com/office/drawing/2014/main" id="{3C2A2AD4-685E-42C3-B5B0-480D96EAB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68928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517</xdr:row>
      <xdr:rowOff>19050</xdr:rowOff>
    </xdr:from>
    <xdr:ext cx="847346" cy="121920"/>
    <xdr:pic>
      <xdr:nvPicPr>
        <xdr:cNvPr id="1042" name="Imagen 1041"/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016240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517</xdr:row>
      <xdr:rowOff>28575</xdr:rowOff>
    </xdr:from>
    <xdr:ext cx="342900" cy="104775"/>
    <xdr:pic>
      <xdr:nvPicPr>
        <xdr:cNvPr id="1057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95623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534</xdr:row>
      <xdr:rowOff>19050</xdr:rowOff>
    </xdr:from>
    <xdr:ext cx="847346" cy="121920"/>
    <xdr:pic>
      <xdr:nvPicPr>
        <xdr:cNvPr id="883" name="Imagen 882"/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8122920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534</xdr:row>
      <xdr:rowOff>28575</xdr:rowOff>
    </xdr:from>
    <xdr:ext cx="342900" cy="104775"/>
    <xdr:pic>
      <xdr:nvPicPr>
        <xdr:cNvPr id="936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10863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518</xdr:row>
      <xdr:rowOff>19050</xdr:rowOff>
    </xdr:from>
    <xdr:ext cx="847346" cy="121920"/>
    <xdr:pic>
      <xdr:nvPicPr>
        <xdr:cNvPr id="954" name="Imagen 953"/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7985760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518</xdr:row>
      <xdr:rowOff>28575</xdr:rowOff>
    </xdr:from>
    <xdr:ext cx="342900" cy="104775"/>
    <xdr:pic>
      <xdr:nvPicPr>
        <xdr:cNvPr id="983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97147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519</xdr:row>
      <xdr:rowOff>19050</xdr:rowOff>
    </xdr:from>
    <xdr:ext cx="847346" cy="121920"/>
    <xdr:pic>
      <xdr:nvPicPr>
        <xdr:cNvPr id="990" name="Imagen 989"/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7970520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519</xdr:row>
      <xdr:rowOff>28575</xdr:rowOff>
    </xdr:from>
    <xdr:ext cx="342900" cy="104775"/>
    <xdr:pic>
      <xdr:nvPicPr>
        <xdr:cNvPr id="1003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97147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520</xdr:row>
      <xdr:rowOff>19050</xdr:rowOff>
    </xdr:from>
    <xdr:ext cx="847346" cy="121920"/>
    <xdr:pic>
      <xdr:nvPicPr>
        <xdr:cNvPr id="1005" name="Imagen 1004"/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7985760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520</xdr:row>
      <xdr:rowOff>28575</xdr:rowOff>
    </xdr:from>
    <xdr:ext cx="342900" cy="104775"/>
    <xdr:pic>
      <xdr:nvPicPr>
        <xdr:cNvPr id="1051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98671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529</xdr:row>
      <xdr:rowOff>19050</xdr:rowOff>
    </xdr:from>
    <xdr:ext cx="847346" cy="121920"/>
    <xdr:pic>
      <xdr:nvPicPr>
        <xdr:cNvPr id="1060" name="Imagen 1059"/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8138160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529</xdr:row>
      <xdr:rowOff>28575</xdr:rowOff>
    </xdr:from>
    <xdr:ext cx="342900" cy="104775"/>
    <xdr:pic>
      <xdr:nvPicPr>
        <xdr:cNvPr id="1061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12387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386</xdr:row>
      <xdr:rowOff>19050</xdr:rowOff>
    </xdr:from>
    <xdr:to>
      <xdr:col>24</xdr:col>
      <xdr:colOff>47625</xdr:colOff>
      <xdr:row>386</xdr:row>
      <xdr:rowOff>144555</xdr:rowOff>
    </xdr:to>
    <xdr:pic>
      <xdr:nvPicPr>
        <xdr:cNvPr id="1066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90169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386</xdr:row>
      <xdr:rowOff>28575</xdr:rowOff>
    </xdr:from>
    <xdr:ext cx="342900" cy="104775"/>
    <xdr:pic>
      <xdr:nvPicPr>
        <xdr:cNvPr id="1067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90264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295</xdr:row>
      <xdr:rowOff>19050</xdr:rowOff>
    </xdr:from>
    <xdr:to>
      <xdr:col>24</xdr:col>
      <xdr:colOff>47625</xdr:colOff>
      <xdr:row>295</xdr:row>
      <xdr:rowOff>142875</xdr:rowOff>
    </xdr:to>
    <xdr:pic>
      <xdr:nvPicPr>
        <xdr:cNvPr id="1074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51008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76200</xdr:colOff>
      <xdr:row>295</xdr:row>
      <xdr:rowOff>19050</xdr:rowOff>
    </xdr:from>
    <xdr:to>
      <xdr:col>25</xdr:col>
      <xdr:colOff>83819</xdr:colOff>
      <xdr:row>295</xdr:row>
      <xdr:rowOff>140970</xdr:rowOff>
    </xdr:to>
    <xdr:pic>
      <xdr:nvPicPr>
        <xdr:cNvPr id="1077" name="Imagen 1076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5100875"/>
          <a:ext cx="502919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293</xdr:row>
      <xdr:rowOff>28575</xdr:rowOff>
    </xdr:from>
    <xdr:to>
      <xdr:col>25</xdr:col>
      <xdr:colOff>83819</xdr:colOff>
      <xdr:row>293</xdr:row>
      <xdr:rowOff>150495</xdr:rowOff>
    </xdr:to>
    <xdr:pic>
      <xdr:nvPicPr>
        <xdr:cNvPr id="1080" name="Imagen 1079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4805600"/>
          <a:ext cx="502919" cy="121920"/>
        </a:xfrm>
        <a:prstGeom prst="rect">
          <a:avLst/>
        </a:prstGeom>
      </xdr:spPr>
    </xdr:pic>
    <xdr:clientData/>
  </xdr:twoCellAnchor>
  <xdr:twoCellAnchor editAs="oneCell">
    <xdr:from>
      <xdr:col>23</xdr:col>
      <xdr:colOff>9525</xdr:colOff>
      <xdr:row>293</xdr:row>
      <xdr:rowOff>19050</xdr:rowOff>
    </xdr:from>
    <xdr:to>
      <xdr:col>24</xdr:col>
      <xdr:colOff>47625</xdr:colOff>
      <xdr:row>293</xdr:row>
      <xdr:rowOff>142875</xdr:rowOff>
    </xdr:to>
    <xdr:pic>
      <xdr:nvPicPr>
        <xdr:cNvPr id="1090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47960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368</xdr:row>
      <xdr:rowOff>19050</xdr:rowOff>
    </xdr:from>
    <xdr:to>
      <xdr:col>24</xdr:col>
      <xdr:colOff>47625</xdr:colOff>
      <xdr:row>368</xdr:row>
      <xdr:rowOff>142875</xdr:rowOff>
    </xdr:to>
    <xdr:pic>
      <xdr:nvPicPr>
        <xdr:cNvPr id="90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6273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369</xdr:row>
      <xdr:rowOff>19050</xdr:rowOff>
    </xdr:from>
    <xdr:to>
      <xdr:col>24</xdr:col>
      <xdr:colOff>47625</xdr:colOff>
      <xdr:row>369</xdr:row>
      <xdr:rowOff>142875</xdr:rowOff>
    </xdr:to>
    <xdr:pic>
      <xdr:nvPicPr>
        <xdr:cNvPr id="103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6426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222</xdr:row>
      <xdr:rowOff>28575</xdr:rowOff>
    </xdr:from>
    <xdr:to>
      <xdr:col>1</xdr:col>
      <xdr:colOff>0</xdr:colOff>
      <xdr:row>222</xdr:row>
      <xdr:rowOff>133350</xdr:rowOff>
    </xdr:to>
    <xdr:pic>
      <xdr:nvPicPr>
        <xdr:cNvPr id="1113" name="235 Imagen" descr="oferta icono.png">
          <a:extLst>
            <a:ext uri="{FF2B5EF4-FFF2-40B4-BE49-F238E27FC236}">
              <a16:creationId xmlns:a16="http://schemas.microsoft.com/office/drawing/2014/main" id="{9E3CA306-CFC8-4AA4-8FCC-5F7C665FB7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4043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360</xdr:row>
      <xdr:rowOff>19050</xdr:rowOff>
    </xdr:from>
    <xdr:ext cx="819150" cy="123825"/>
    <xdr:pic>
      <xdr:nvPicPr>
        <xdr:cNvPr id="112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3987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360</xdr:row>
      <xdr:rowOff>28575</xdr:rowOff>
    </xdr:from>
    <xdr:ext cx="342900" cy="104775"/>
    <xdr:pic>
      <xdr:nvPicPr>
        <xdr:cNvPr id="1126" name="258 Imagen" descr="nuevo icono.png">
          <a:extLst>
            <a:ext uri="{FF2B5EF4-FFF2-40B4-BE49-F238E27FC236}">
              <a16:creationId xmlns:a16="http://schemas.microsoft.com/office/drawing/2014/main" id="{3C2A2AD4-685E-42C3-B5B0-480D96EAB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0640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226</xdr:row>
      <xdr:rowOff>19050</xdr:rowOff>
    </xdr:from>
    <xdr:ext cx="819149" cy="123825"/>
    <xdr:pic>
      <xdr:nvPicPr>
        <xdr:cNvPr id="103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82428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226</xdr:row>
      <xdr:rowOff>19050</xdr:rowOff>
    </xdr:from>
    <xdr:ext cx="342900" cy="104775"/>
    <xdr:pic>
      <xdr:nvPicPr>
        <xdr:cNvPr id="1129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1567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265</xdr:row>
      <xdr:rowOff>28575</xdr:rowOff>
    </xdr:from>
    <xdr:ext cx="342900" cy="104775"/>
    <xdr:pic>
      <xdr:nvPicPr>
        <xdr:cNvPr id="1134" name="261 Imagen" descr="nuevo icono.png">
          <a:extLst>
            <a:ext uri="{FF2B5EF4-FFF2-40B4-BE49-F238E27FC236}">
              <a16:creationId xmlns:a16="http://schemas.microsoft.com/office/drawing/2014/main" id="{204D8D91-A921-45D4-8F26-5DB5B202B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6908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265</xdr:row>
      <xdr:rowOff>19050</xdr:rowOff>
    </xdr:from>
    <xdr:ext cx="819150" cy="123825"/>
    <xdr:pic>
      <xdr:nvPicPr>
        <xdr:cNvPr id="115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06812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548</xdr:row>
      <xdr:rowOff>19050</xdr:rowOff>
    </xdr:from>
    <xdr:ext cx="847346" cy="121920"/>
    <xdr:pic>
      <xdr:nvPicPr>
        <xdr:cNvPr id="933" name="Imagen 932"/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0" y="8397240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548</xdr:row>
      <xdr:rowOff>28575</xdr:rowOff>
    </xdr:from>
    <xdr:ext cx="342900" cy="104775"/>
    <xdr:pic>
      <xdr:nvPicPr>
        <xdr:cNvPr id="935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38295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537</xdr:row>
      <xdr:rowOff>19050</xdr:rowOff>
    </xdr:from>
    <xdr:ext cx="847346" cy="121920"/>
    <xdr:pic>
      <xdr:nvPicPr>
        <xdr:cNvPr id="953" name="Imagen 952"/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0" y="8183880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537</xdr:row>
      <xdr:rowOff>28575</xdr:rowOff>
    </xdr:from>
    <xdr:ext cx="342900" cy="104775"/>
    <xdr:pic>
      <xdr:nvPicPr>
        <xdr:cNvPr id="1028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18483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552</xdr:row>
      <xdr:rowOff>19050</xdr:rowOff>
    </xdr:from>
    <xdr:ext cx="847346" cy="121920"/>
    <xdr:pic>
      <xdr:nvPicPr>
        <xdr:cNvPr id="1043" name="Imagen 1042"/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0" y="844296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530</xdr:row>
      <xdr:rowOff>19050</xdr:rowOff>
    </xdr:from>
    <xdr:ext cx="847346" cy="121920"/>
    <xdr:pic>
      <xdr:nvPicPr>
        <xdr:cNvPr id="1157" name="Imagen 1156"/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0" y="8275320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530</xdr:row>
      <xdr:rowOff>28575</xdr:rowOff>
    </xdr:from>
    <xdr:ext cx="342900" cy="104775"/>
    <xdr:pic>
      <xdr:nvPicPr>
        <xdr:cNvPr id="1158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15435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554</xdr:row>
      <xdr:rowOff>19050</xdr:rowOff>
    </xdr:from>
    <xdr:ext cx="847346" cy="121920"/>
    <xdr:pic>
      <xdr:nvPicPr>
        <xdr:cNvPr id="937" name="Imagen 936"/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0" y="8519160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554</xdr:row>
      <xdr:rowOff>28575</xdr:rowOff>
    </xdr:from>
    <xdr:ext cx="342900" cy="104775"/>
    <xdr:pic>
      <xdr:nvPicPr>
        <xdr:cNvPr id="1097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50487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647</xdr:row>
      <xdr:rowOff>19050</xdr:rowOff>
    </xdr:from>
    <xdr:to>
      <xdr:col>24</xdr:col>
      <xdr:colOff>47624</xdr:colOff>
      <xdr:row>647</xdr:row>
      <xdr:rowOff>142875</xdr:rowOff>
    </xdr:to>
    <xdr:pic>
      <xdr:nvPicPr>
        <xdr:cNvPr id="115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9956482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8283</xdr:colOff>
      <xdr:row>347</xdr:row>
      <xdr:rowOff>16566</xdr:rowOff>
    </xdr:from>
    <xdr:ext cx="819150" cy="123825"/>
    <xdr:pic>
      <xdr:nvPicPr>
        <xdr:cNvPr id="116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2058" y="53070816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347</xdr:row>
      <xdr:rowOff>28575</xdr:rowOff>
    </xdr:from>
    <xdr:ext cx="342900" cy="104775"/>
    <xdr:pic>
      <xdr:nvPicPr>
        <xdr:cNvPr id="1170" name="258 Imagen" descr="nuevo icono.png">
          <a:extLst>
            <a:ext uri="{FF2B5EF4-FFF2-40B4-BE49-F238E27FC236}">
              <a16:creationId xmlns:a16="http://schemas.microsoft.com/office/drawing/2014/main" id="{3C2A2AD4-685E-42C3-B5B0-480D96EAB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32352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240</xdr:row>
      <xdr:rowOff>19050</xdr:rowOff>
    </xdr:from>
    <xdr:ext cx="819150" cy="123825"/>
    <xdr:pic>
      <xdr:nvPicPr>
        <xdr:cNvPr id="1175" name="659 Imagen" descr="seri icono.png">
          <a:extLst>
            <a:ext uri="{FF2B5EF4-FFF2-40B4-BE49-F238E27FC236}">
              <a16:creationId xmlns:a16="http://schemas.microsoft.com/office/drawing/2014/main" id="{CFC55181-40DC-4BCF-8415-11762553D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371665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240</xdr:row>
      <xdr:rowOff>19050</xdr:rowOff>
    </xdr:from>
    <xdr:ext cx="819150" cy="123825"/>
    <xdr:pic>
      <xdr:nvPicPr>
        <xdr:cNvPr id="117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371665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240</xdr:row>
      <xdr:rowOff>28575</xdr:rowOff>
    </xdr:from>
    <xdr:ext cx="342900" cy="104775"/>
    <xdr:pic>
      <xdr:nvPicPr>
        <xdr:cNvPr id="1180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0332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435</xdr:row>
      <xdr:rowOff>19050</xdr:rowOff>
    </xdr:from>
    <xdr:to>
      <xdr:col>24</xdr:col>
      <xdr:colOff>47624</xdr:colOff>
      <xdr:row>435</xdr:row>
      <xdr:rowOff>142875</xdr:rowOff>
    </xdr:to>
    <xdr:pic>
      <xdr:nvPicPr>
        <xdr:cNvPr id="119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6637972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164</xdr:row>
      <xdr:rowOff>19050</xdr:rowOff>
    </xdr:from>
    <xdr:ext cx="819150" cy="123825"/>
    <xdr:pic>
      <xdr:nvPicPr>
        <xdr:cNvPr id="1193" name="799 Imagen" descr="laser fibra icono.png">
          <a:extLst>
            <a:ext uri="{FF2B5EF4-FFF2-40B4-BE49-F238E27FC236}">
              <a16:creationId xmlns:a16="http://schemas.microsoft.com/office/drawing/2014/main" id="{EDD32002-13BF-4860-8699-927BE30451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5860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164</xdr:row>
      <xdr:rowOff>28575</xdr:rowOff>
    </xdr:from>
    <xdr:ext cx="342900" cy="104775"/>
    <xdr:pic>
      <xdr:nvPicPr>
        <xdr:cNvPr id="1195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5651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435</xdr:row>
      <xdr:rowOff>28575</xdr:rowOff>
    </xdr:from>
    <xdr:ext cx="342900" cy="104775"/>
    <xdr:pic>
      <xdr:nvPicPr>
        <xdr:cNvPr id="1198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5416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429</xdr:row>
      <xdr:rowOff>19050</xdr:rowOff>
    </xdr:from>
    <xdr:ext cx="819150" cy="125505"/>
    <xdr:pic>
      <xdr:nvPicPr>
        <xdr:cNvPr id="1186" name="307 Imagen" descr="laser icono.png">
          <a:extLst>
            <a:ext uri="{FF2B5EF4-FFF2-40B4-BE49-F238E27FC236}">
              <a16:creationId xmlns:a16="http://schemas.microsoft.com/office/drawing/2014/main" id="{B46A3E30-272A-4AF5-A52A-8526A01587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657701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429</xdr:row>
      <xdr:rowOff>28575</xdr:rowOff>
    </xdr:from>
    <xdr:ext cx="342900" cy="104775"/>
    <xdr:pic>
      <xdr:nvPicPr>
        <xdr:cNvPr id="1212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6272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428</xdr:row>
      <xdr:rowOff>19050</xdr:rowOff>
    </xdr:from>
    <xdr:ext cx="819150" cy="125505"/>
    <xdr:pic>
      <xdr:nvPicPr>
        <xdr:cNvPr id="1214" name="307 Imagen" descr="laser icono.png">
          <a:extLst>
            <a:ext uri="{FF2B5EF4-FFF2-40B4-BE49-F238E27FC236}">
              <a16:creationId xmlns:a16="http://schemas.microsoft.com/office/drawing/2014/main" id="{B46A3E30-272A-4AF5-A52A-8526A01587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657701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428</xdr:row>
      <xdr:rowOff>28575</xdr:rowOff>
    </xdr:from>
    <xdr:ext cx="342900" cy="104775"/>
    <xdr:pic>
      <xdr:nvPicPr>
        <xdr:cNvPr id="1215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7796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399</xdr:row>
      <xdr:rowOff>19050</xdr:rowOff>
    </xdr:from>
    <xdr:to>
      <xdr:col>24</xdr:col>
      <xdr:colOff>47625</xdr:colOff>
      <xdr:row>399</xdr:row>
      <xdr:rowOff>144555</xdr:rowOff>
    </xdr:to>
    <xdr:pic>
      <xdr:nvPicPr>
        <xdr:cNvPr id="1219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605409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335</xdr:row>
      <xdr:rowOff>19050</xdr:rowOff>
    </xdr:from>
    <xdr:to>
      <xdr:col>24</xdr:col>
      <xdr:colOff>47625</xdr:colOff>
      <xdr:row>335</xdr:row>
      <xdr:rowOff>144555</xdr:rowOff>
    </xdr:to>
    <xdr:pic>
      <xdr:nvPicPr>
        <xdr:cNvPr id="1224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17017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336</xdr:row>
      <xdr:rowOff>19050</xdr:rowOff>
    </xdr:from>
    <xdr:to>
      <xdr:col>24</xdr:col>
      <xdr:colOff>47625</xdr:colOff>
      <xdr:row>336</xdr:row>
      <xdr:rowOff>144555</xdr:rowOff>
    </xdr:to>
    <xdr:pic>
      <xdr:nvPicPr>
        <xdr:cNvPr id="1238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18541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546</xdr:row>
      <xdr:rowOff>19050</xdr:rowOff>
    </xdr:from>
    <xdr:ext cx="847346" cy="121920"/>
    <xdr:pic>
      <xdr:nvPicPr>
        <xdr:cNvPr id="1241" name="Imagen 1240"/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847344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545</xdr:row>
      <xdr:rowOff>19050</xdr:rowOff>
    </xdr:from>
    <xdr:ext cx="847346" cy="121920"/>
    <xdr:pic>
      <xdr:nvPicPr>
        <xdr:cNvPr id="1244" name="Imagen 1243"/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845820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532</xdr:row>
      <xdr:rowOff>19050</xdr:rowOff>
    </xdr:from>
    <xdr:ext cx="847346" cy="121920"/>
    <xdr:pic>
      <xdr:nvPicPr>
        <xdr:cNvPr id="1247" name="Imagen 1246"/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826008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533</xdr:row>
      <xdr:rowOff>19050</xdr:rowOff>
    </xdr:from>
    <xdr:ext cx="847346" cy="121920"/>
    <xdr:pic>
      <xdr:nvPicPr>
        <xdr:cNvPr id="1253" name="Imagen 1252"/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827532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521</xdr:row>
      <xdr:rowOff>19050</xdr:rowOff>
    </xdr:from>
    <xdr:ext cx="847346" cy="121920"/>
    <xdr:pic>
      <xdr:nvPicPr>
        <xdr:cNvPr id="1264" name="Imagen 1263"/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810768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522</xdr:row>
      <xdr:rowOff>19050</xdr:rowOff>
    </xdr:from>
    <xdr:ext cx="847346" cy="121920"/>
    <xdr:pic>
      <xdr:nvPicPr>
        <xdr:cNvPr id="1268" name="Imagen 1267"/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812292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526</xdr:row>
      <xdr:rowOff>19050</xdr:rowOff>
    </xdr:from>
    <xdr:ext cx="847346" cy="121920"/>
    <xdr:pic>
      <xdr:nvPicPr>
        <xdr:cNvPr id="1269" name="Imagen 1268"/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816864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524</xdr:row>
      <xdr:rowOff>19050</xdr:rowOff>
    </xdr:from>
    <xdr:ext cx="847346" cy="121920"/>
    <xdr:pic>
      <xdr:nvPicPr>
        <xdr:cNvPr id="1272" name="Imagen 1271"/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813816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525</xdr:row>
      <xdr:rowOff>19050</xdr:rowOff>
    </xdr:from>
    <xdr:ext cx="847346" cy="121920"/>
    <xdr:pic>
      <xdr:nvPicPr>
        <xdr:cNvPr id="1282" name="Imagen 1281"/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815340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391</xdr:row>
      <xdr:rowOff>19050</xdr:rowOff>
    </xdr:from>
    <xdr:ext cx="819150" cy="123825"/>
    <xdr:pic>
      <xdr:nvPicPr>
        <xdr:cNvPr id="1293" name="306 Imagen" descr="laser icono.png">
          <a:extLst>
            <a:ext uri="{FF2B5EF4-FFF2-40B4-BE49-F238E27FC236}">
              <a16:creationId xmlns:a16="http://schemas.microsoft.com/office/drawing/2014/main" id="{154362FE-74D2-4FE9-BCA8-1BFDFA4EB7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60388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391</xdr:row>
      <xdr:rowOff>28575</xdr:rowOff>
    </xdr:from>
    <xdr:ext cx="342900" cy="104775"/>
    <xdr:pic>
      <xdr:nvPicPr>
        <xdr:cNvPr id="1297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2456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457</xdr:row>
      <xdr:rowOff>19050</xdr:rowOff>
    </xdr:from>
    <xdr:ext cx="847346" cy="121920"/>
    <xdr:pic>
      <xdr:nvPicPr>
        <xdr:cNvPr id="1313" name="Imagen 1312"/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70342125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457</xdr:row>
      <xdr:rowOff>28575</xdr:rowOff>
    </xdr:from>
    <xdr:ext cx="342900" cy="104775"/>
    <xdr:pic>
      <xdr:nvPicPr>
        <xdr:cNvPr id="1315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01992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228</xdr:row>
      <xdr:rowOff>19050</xdr:rowOff>
    </xdr:from>
    <xdr:ext cx="819149" cy="123825"/>
    <xdr:pic>
      <xdr:nvPicPr>
        <xdr:cNvPr id="131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350043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228</xdr:row>
      <xdr:rowOff>19050</xdr:rowOff>
    </xdr:from>
    <xdr:ext cx="342900" cy="104775"/>
    <xdr:pic>
      <xdr:nvPicPr>
        <xdr:cNvPr id="1317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0043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523</xdr:row>
      <xdr:rowOff>19050</xdr:rowOff>
    </xdr:from>
    <xdr:ext cx="847346" cy="121920"/>
    <xdr:pic>
      <xdr:nvPicPr>
        <xdr:cNvPr id="1318" name="Imagen 1317"/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8031480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523</xdr:row>
      <xdr:rowOff>28575</xdr:rowOff>
    </xdr:from>
    <xdr:ext cx="342900" cy="104775"/>
    <xdr:pic>
      <xdr:nvPicPr>
        <xdr:cNvPr id="1322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04767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390</xdr:row>
      <xdr:rowOff>19050</xdr:rowOff>
    </xdr:from>
    <xdr:ext cx="819150" cy="123825"/>
    <xdr:pic>
      <xdr:nvPicPr>
        <xdr:cNvPr id="955" name="306 Imagen" descr="laser icono.png">
          <a:extLst>
            <a:ext uri="{FF2B5EF4-FFF2-40B4-BE49-F238E27FC236}">
              <a16:creationId xmlns:a16="http://schemas.microsoft.com/office/drawing/2014/main" id="{154362FE-74D2-4FE9-BCA8-1BFDFA4EB7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60236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390</xdr:row>
      <xdr:rowOff>28575</xdr:rowOff>
    </xdr:from>
    <xdr:ext cx="342900" cy="104775"/>
    <xdr:pic>
      <xdr:nvPicPr>
        <xdr:cNvPr id="1033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99408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411</xdr:row>
      <xdr:rowOff>19050</xdr:rowOff>
    </xdr:from>
    <xdr:ext cx="819150" cy="125505"/>
    <xdr:pic>
      <xdr:nvPicPr>
        <xdr:cNvPr id="1048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630269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411</xdr:row>
      <xdr:rowOff>28575</xdr:rowOff>
    </xdr:from>
    <xdr:ext cx="342900" cy="104775"/>
    <xdr:pic>
      <xdr:nvPicPr>
        <xdr:cNvPr id="1065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31888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252</xdr:row>
      <xdr:rowOff>19050</xdr:rowOff>
    </xdr:from>
    <xdr:ext cx="819150" cy="123825"/>
    <xdr:pic>
      <xdr:nvPicPr>
        <xdr:cNvPr id="107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390048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252</xdr:row>
      <xdr:rowOff>28575</xdr:rowOff>
    </xdr:from>
    <xdr:ext cx="342900" cy="104775"/>
    <xdr:pic>
      <xdr:nvPicPr>
        <xdr:cNvPr id="1153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7952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Concurrencia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jivi.com.ar/ficha.php?id=780" TargetMode="External"/><Relationship Id="rId21" Type="http://schemas.openxmlformats.org/officeDocument/2006/relationships/hyperlink" Target="https://www.jivi.com.ar/ficha.php?id=99" TargetMode="External"/><Relationship Id="rId324" Type="http://schemas.openxmlformats.org/officeDocument/2006/relationships/hyperlink" Target="https://www.jivi.com.ar/ficha.php?id=1495" TargetMode="External"/><Relationship Id="rId531" Type="http://schemas.openxmlformats.org/officeDocument/2006/relationships/hyperlink" Target="https://www.jivi.com.ar/ficha.php?id=1377" TargetMode="External"/><Relationship Id="rId170" Type="http://schemas.openxmlformats.org/officeDocument/2006/relationships/hyperlink" Target="https://www.jivi.com.ar/ficha.php?id=1108" TargetMode="External"/><Relationship Id="rId268" Type="http://schemas.openxmlformats.org/officeDocument/2006/relationships/hyperlink" Target="https://www.jivi.com.ar/ficha.php?id=1356" TargetMode="External"/><Relationship Id="rId475" Type="http://schemas.openxmlformats.org/officeDocument/2006/relationships/hyperlink" Target="https://www.jivi.com.ar/ficha.php?id=1721" TargetMode="External"/><Relationship Id="rId32" Type="http://schemas.openxmlformats.org/officeDocument/2006/relationships/hyperlink" Target="https://www.jivi.com.ar/ficha.php?id=110" TargetMode="External"/><Relationship Id="rId128" Type="http://schemas.openxmlformats.org/officeDocument/2006/relationships/hyperlink" Target="https://www.jivi.com.ar/ficha.php?id=882" TargetMode="External"/><Relationship Id="rId335" Type="http://schemas.openxmlformats.org/officeDocument/2006/relationships/hyperlink" Target="https://www.jivi.com.ar/ficha.php?id=1508" TargetMode="External"/><Relationship Id="rId542" Type="http://schemas.openxmlformats.org/officeDocument/2006/relationships/hyperlink" Target="https://www.jivi.com.ar/ficha.php?id=1491" TargetMode="External"/><Relationship Id="rId181" Type="http://schemas.openxmlformats.org/officeDocument/2006/relationships/hyperlink" Target="https://www.jivi.com.ar/ficha.php?id=1168" TargetMode="External"/><Relationship Id="rId402" Type="http://schemas.openxmlformats.org/officeDocument/2006/relationships/hyperlink" Target="https://www.jivi.com.ar/ficha.php?id=1590" TargetMode="External"/><Relationship Id="rId279" Type="http://schemas.openxmlformats.org/officeDocument/2006/relationships/hyperlink" Target="https://www.jivi.com.ar/ficha.php?id=1426" TargetMode="External"/><Relationship Id="rId486" Type="http://schemas.openxmlformats.org/officeDocument/2006/relationships/hyperlink" Target="https://www.jivi.com.ar/ficha.php?id=1738" TargetMode="External"/><Relationship Id="rId43" Type="http://schemas.openxmlformats.org/officeDocument/2006/relationships/hyperlink" Target="https://www.jivi.com.ar/ficha.php?id=402" TargetMode="External"/><Relationship Id="rId139" Type="http://schemas.openxmlformats.org/officeDocument/2006/relationships/hyperlink" Target="https://www.jivi.com.ar/ficha.php?id=955" TargetMode="External"/><Relationship Id="rId346" Type="http://schemas.openxmlformats.org/officeDocument/2006/relationships/hyperlink" Target="https://www.jivi.com.ar/ficha.php?id=1535" TargetMode="External"/><Relationship Id="rId553" Type="http://schemas.openxmlformats.org/officeDocument/2006/relationships/hyperlink" Target="https://www.jivi.com.ar/ficha.php?id=1864" TargetMode="External"/><Relationship Id="rId192" Type="http://schemas.openxmlformats.org/officeDocument/2006/relationships/hyperlink" Target="https://www.jivi.com.ar/ficha.php?id=1181" TargetMode="External"/><Relationship Id="rId206" Type="http://schemas.openxmlformats.org/officeDocument/2006/relationships/hyperlink" Target="https://www.jivi.com.ar/ficha.php?id=883" TargetMode="External"/><Relationship Id="rId413" Type="http://schemas.openxmlformats.org/officeDocument/2006/relationships/hyperlink" Target="https://www.jivi.com.ar/ficha.php?id=1604" TargetMode="External"/><Relationship Id="rId497" Type="http://schemas.openxmlformats.org/officeDocument/2006/relationships/hyperlink" Target="https://www.jivi.com.ar/ficha.php?id=1787" TargetMode="External"/><Relationship Id="rId357" Type="http://schemas.openxmlformats.org/officeDocument/2006/relationships/hyperlink" Target="https://www.jivi.com.ar/ficha.php?id=1551" TargetMode="External"/><Relationship Id="rId54" Type="http://schemas.openxmlformats.org/officeDocument/2006/relationships/hyperlink" Target="https://www.jivi.com.ar/ficha.php?id=118" TargetMode="External"/><Relationship Id="rId217" Type="http://schemas.openxmlformats.org/officeDocument/2006/relationships/hyperlink" Target="https://www.jivi.com.ar/ficha.php?id=378" TargetMode="External"/><Relationship Id="rId564" Type="http://schemas.openxmlformats.org/officeDocument/2006/relationships/hyperlink" Target="https://www.jivi.com.ar/ficha.php?id=1579" TargetMode="External"/><Relationship Id="rId424" Type="http://schemas.openxmlformats.org/officeDocument/2006/relationships/hyperlink" Target="https://www.jivi.com.ar/ficha.php?id=1614" TargetMode="External"/><Relationship Id="rId270" Type="http://schemas.openxmlformats.org/officeDocument/2006/relationships/hyperlink" Target="https://www.jivi.com.ar/ficha.php?id=1353" TargetMode="External"/><Relationship Id="rId65" Type="http://schemas.openxmlformats.org/officeDocument/2006/relationships/hyperlink" Target="https://www.jivi.com.ar/ficha.php?id=209" TargetMode="External"/><Relationship Id="rId130" Type="http://schemas.openxmlformats.org/officeDocument/2006/relationships/hyperlink" Target="https://www.jivi.com.ar/ficha.php?id=903" TargetMode="External"/><Relationship Id="rId368" Type="http://schemas.openxmlformats.org/officeDocument/2006/relationships/hyperlink" Target="https://www.jivi.com.ar/ficha.php?id=1066" TargetMode="External"/><Relationship Id="rId575" Type="http://schemas.openxmlformats.org/officeDocument/2006/relationships/hyperlink" Target="https://www.jivi.com.ar/ficha.php?id=2002" TargetMode="External"/><Relationship Id="rId228" Type="http://schemas.openxmlformats.org/officeDocument/2006/relationships/hyperlink" Target="https://www.jivi.com.ar/ficha.php?id=1344" TargetMode="External"/><Relationship Id="rId435" Type="http://schemas.openxmlformats.org/officeDocument/2006/relationships/hyperlink" Target="https://www.jivi.com.ar/ficha.php?id=1635" TargetMode="External"/><Relationship Id="rId281" Type="http://schemas.openxmlformats.org/officeDocument/2006/relationships/hyperlink" Target="https://www.jivi.com.ar/ficha.php?id=1431" TargetMode="External"/><Relationship Id="rId502" Type="http://schemas.openxmlformats.org/officeDocument/2006/relationships/hyperlink" Target="https://www.jivi.com.ar/ficha.php?id=1310" TargetMode="External"/><Relationship Id="rId76" Type="http://schemas.openxmlformats.org/officeDocument/2006/relationships/hyperlink" Target="https://www.jivi.com.ar/ficha.php?id=394" TargetMode="External"/><Relationship Id="rId141" Type="http://schemas.openxmlformats.org/officeDocument/2006/relationships/hyperlink" Target="https://www.jivi.com.ar/ficha.php?id=957" TargetMode="External"/><Relationship Id="rId379" Type="http://schemas.openxmlformats.org/officeDocument/2006/relationships/hyperlink" Target="https://www.jivi.com.ar/ficha.php?id=1568" TargetMode="External"/><Relationship Id="rId586" Type="http://schemas.openxmlformats.org/officeDocument/2006/relationships/hyperlink" Target="https://www.jivi.com.ar/ficha.php?id=2010" TargetMode="External"/><Relationship Id="rId7" Type="http://schemas.openxmlformats.org/officeDocument/2006/relationships/hyperlink" Target="https://www.jivi.com.ar/ficha.php?id=724" TargetMode="External"/><Relationship Id="rId239" Type="http://schemas.openxmlformats.org/officeDocument/2006/relationships/hyperlink" Target="https://www.jivi.com.ar/ficha.php?id=1372" TargetMode="External"/><Relationship Id="rId446" Type="http://schemas.openxmlformats.org/officeDocument/2006/relationships/hyperlink" Target="https://www.jivi.com.ar/ficha.php?id=1657" TargetMode="External"/><Relationship Id="rId292" Type="http://schemas.openxmlformats.org/officeDocument/2006/relationships/hyperlink" Target="https://www.jivi.com.ar/ficha.php?id=1335" TargetMode="External"/><Relationship Id="rId306" Type="http://schemas.openxmlformats.org/officeDocument/2006/relationships/hyperlink" Target="https://www.jivi.com.ar/ficha.php?id=1468" TargetMode="External"/><Relationship Id="rId87" Type="http://schemas.openxmlformats.org/officeDocument/2006/relationships/hyperlink" Target="https://www.jivi.com.ar/ficha.php?id=245" TargetMode="External"/><Relationship Id="rId513" Type="http://schemas.openxmlformats.org/officeDocument/2006/relationships/hyperlink" Target="https://www.jivi.com.ar/ficha.php?id=1781" TargetMode="External"/><Relationship Id="rId152" Type="http://schemas.openxmlformats.org/officeDocument/2006/relationships/hyperlink" Target="https://www.jivi.com.ar/ficha.php?id=1052" TargetMode="External"/><Relationship Id="rId194" Type="http://schemas.openxmlformats.org/officeDocument/2006/relationships/hyperlink" Target="https://www.jivi.com.ar/ficha.php?id=1218" TargetMode="External"/><Relationship Id="rId208" Type="http://schemas.openxmlformats.org/officeDocument/2006/relationships/hyperlink" Target="https://jivi.com.ar/ficha.php?id=89" TargetMode="External"/><Relationship Id="rId415" Type="http://schemas.openxmlformats.org/officeDocument/2006/relationships/hyperlink" Target="https://www.jivi.com.ar/ficha.php?id=1424" TargetMode="External"/><Relationship Id="rId457" Type="http://schemas.openxmlformats.org/officeDocument/2006/relationships/hyperlink" Target="https://www.jivi.com.ar/ficha.php?id=1690" TargetMode="External"/><Relationship Id="rId261" Type="http://schemas.openxmlformats.org/officeDocument/2006/relationships/hyperlink" Target="https://www.jivi.com.ar/ficha.php?id=477" TargetMode="External"/><Relationship Id="rId499" Type="http://schemas.openxmlformats.org/officeDocument/2006/relationships/hyperlink" Target="https://www.jivi.com.ar/ficha.php?id=1751" TargetMode="External"/><Relationship Id="rId14" Type="http://schemas.openxmlformats.org/officeDocument/2006/relationships/hyperlink" Target="https://www.jivi.com.ar/ficha.php?id=164" TargetMode="External"/><Relationship Id="rId56" Type="http://schemas.openxmlformats.org/officeDocument/2006/relationships/hyperlink" Target="https://www.jivi.com.ar/ficha.php?id=120" TargetMode="External"/><Relationship Id="rId317" Type="http://schemas.openxmlformats.org/officeDocument/2006/relationships/hyperlink" Target="https://www.jivi.com.ar/ficha.php?id=1481" TargetMode="External"/><Relationship Id="rId359" Type="http://schemas.openxmlformats.org/officeDocument/2006/relationships/hyperlink" Target="https://www.jivi.com.ar/ficha.php?id=1311" TargetMode="External"/><Relationship Id="rId524" Type="http://schemas.openxmlformats.org/officeDocument/2006/relationships/hyperlink" Target="https://www.jivi.com.ar/ficha.php?id=1087" TargetMode="External"/><Relationship Id="rId566" Type="http://schemas.openxmlformats.org/officeDocument/2006/relationships/hyperlink" Target="https://www.jivi.com.ar/ficha.php?id=1911" TargetMode="External"/><Relationship Id="rId98" Type="http://schemas.openxmlformats.org/officeDocument/2006/relationships/hyperlink" Target="https://www.jivi.com.ar/ficha.php?id=431" TargetMode="External"/><Relationship Id="rId121" Type="http://schemas.openxmlformats.org/officeDocument/2006/relationships/hyperlink" Target="https://www.jivi.com.ar/ficha.php?id=709" TargetMode="External"/><Relationship Id="rId163" Type="http://schemas.openxmlformats.org/officeDocument/2006/relationships/hyperlink" Target="https://www.jivi.com.ar/ficha.php?id=1095" TargetMode="External"/><Relationship Id="rId219" Type="http://schemas.openxmlformats.org/officeDocument/2006/relationships/hyperlink" Target="https://www.jivi.com.ar/ficha.php?id=1302" TargetMode="External"/><Relationship Id="rId370" Type="http://schemas.openxmlformats.org/officeDocument/2006/relationships/hyperlink" Target="https://www.jivi.com.ar/ficha.php?id=1563" TargetMode="External"/><Relationship Id="rId426" Type="http://schemas.openxmlformats.org/officeDocument/2006/relationships/hyperlink" Target="https://www.jivi.com.ar/ficha.php?id=608" TargetMode="External"/><Relationship Id="rId230" Type="http://schemas.openxmlformats.org/officeDocument/2006/relationships/hyperlink" Target="https://www.jivi.com.ar/ficha.php?id=1346" TargetMode="External"/><Relationship Id="rId468" Type="http://schemas.openxmlformats.org/officeDocument/2006/relationships/hyperlink" Target="https://www.jivi.com.ar/ficha.php?id=1528" TargetMode="External"/><Relationship Id="rId25" Type="http://schemas.openxmlformats.org/officeDocument/2006/relationships/hyperlink" Target="https://www.jivi.com.ar/ficha.php?id=103" TargetMode="External"/><Relationship Id="rId67" Type="http://schemas.openxmlformats.org/officeDocument/2006/relationships/hyperlink" Target="https://www.jivi.com.ar/ficha.php?id=60" TargetMode="External"/><Relationship Id="rId272" Type="http://schemas.openxmlformats.org/officeDocument/2006/relationships/hyperlink" Target="https://www.jivi.com.ar/ficha.php?id=1418" TargetMode="External"/><Relationship Id="rId328" Type="http://schemas.openxmlformats.org/officeDocument/2006/relationships/hyperlink" Target="https://www.jivi.com.ar/ficha.php?id=1499" TargetMode="External"/><Relationship Id="rId535" Type="http://schemas.openxmlformats.org/officeDocument/2006/relationships/hyperlink" Target="https://www.jivi.com.ar/ficha.php?id=1131" TargetMode="External"/><Relationship Id="rId577" Type="http://schemas.openxmlformats.org/officeDocument/2006/relationships/hyperlink" Target="https://www.jivi.com.ar/ficha.php?id=1577" TargetMode="External"/><Relationship Id="rId132" Type="http://schemas.openxmlformats.org/officeDocument/2006/relationships/hyperlink" Target="https://www.jivi.com.ar/ficha.php?id=916" TargetMode="External"/><Relationship Id="rId174" Type="http://schemas.openxmlformats.org/officeDocument/2006/relationships/hyperlink" Target="https://www.jivi.com.ar/ficha.php?id=1154" TargetMode="External"/><Relationship Id="rId381" Type="http://schemas.openxmlformats.org/officeDocument/2006/relationships/hyperlink" Target="https://www.jivi.com.ar/ficha.php?id=1570" TargetMode="External"/><Relationship Id="rId241" Type="http://schemas.openxmlformats.org/officeDocument/2006/relationships/hyperlink" Target="https://www.jivi.com.ar/ficha.php?id=1382" TargetMode="External"/><Relationship Id="rId437" Type="http://schemas.openxmlformats.org/officeDocument/2006/relationships/hyperlink" Target="https://www.jivi.com.ar/ficha.php?id=1643" TargetMode="External"/><Relationship Id="rId479" Type="http://schemas.openxmlformats.org/officeDocument/2006/relationships/hyperlink" Target="https://www.jivi.com.ar/ficha.php?id=1727" TargetMode="External"/><Relationship Id="rId36" Type="http://schemas.openxmlformats.org/officeDocument/2006/relationships/hyperlink" Target="https://www.jivi.com.ar/ficha.php?id=114" TargetMode="External"/><Relationship Id="rId283" Type="http://schemas.openxmlformats.org/officeDocument/2006/relationships/hyperlink" Target="https://www.jivi.com.ar/ficha.php?id=1436" TargetMode="External"/><Relationship Id="rId339" Type="http://schemas.openxmlformats.org/officeDocument/2006/relationships/hyperlink" Target="https://www.jivi.com.ar/ficha.php?id=1516" TargetMode="External"/><Relationship Id="rId490" Type="http://schemas.openxmlformats.org/officeDocument/2006/relationships/hyperlink" Target="https://www.jivi.com.ar/ficha.php?id=1743" TargetMode="External"/><Relationship Id="rId504" Type="http://schemas.openxmlformats.org/officeDocument/2006/relationships/hyperlink" Target="https://www.jivi.com.ar/ficha.php?id=76" TargetMode="External"/><Relationship Id="rId546" Type="http://schemas.openxmlformats.org/officeDocument/2006/relationships/hyperlink" Target="https://www.jivi.com.ar/ficha.php?id=1799" TargetMode="External"/><Relationship Id="rId78" Type="http://schemas.openxmlformats.org/officeDocument/2006/relationships/hyperlink" Target="https://www.jivi.com.ar/ficha.php?id=18" TargetMode="External"/><Relationship Id="rId101" Type="http://schemas.openxmlformats.org/officeDocument/2006/relationships/hyperlink" Target="https://www.jivi.com.ar/ficha.php?id=181" TargetMode="External"/><Relationship Id="rId143" Type="http://schemas.openxmlformats.org/officeDocument/2006/relationships/hyperlink" Target="https://www.jivi.com.ar/ficha.php?id=973" TargetMode="External"/><Relationship Id="rId185" Type="http://schemas.openxmlformats.org/officeDocument/2006/relationships/hyperlink" Target="https://www.jivi.com.ar/ficha.php?id=1175" TargetMode="External"/><Relationship Id="rId350" Type="http://schemas.openxmlformats.org/officeDocument/2006/relationships/hyperlink" Target="https://www.jivi.com.ar/ficha.php?id=1541" TargetMode="External"/><Relationship Id="rId406" Type="http://schemas.openxmlformats.org/officeDocument/2006/relationships/hyperlink" Target="https://www.jivi.com.ar/ficha.php?id=1595" TargetMode="External"/><Relationship Id="rId588" Type="http://schemas.openxmlformats.org/officeDocument/2006/relationships/hyperlink" Target="https://www.jivi.com.ar/ficha.php?id=2012" TargetMode="External"/><Relationship Id="rId9" Type="http://schemas.openxmlformats.org/officeDocument/2006/relationships/hyperlink" Target="https://www.jivi.com.ar/ficha.php?id=718" TargetMode="External"/><Relationship Id="rId210" Type="http://schemas.openxmlformats.org/officeDocument/2006/relationships/hyperlink" Target="https://www.jivi.com.ar/ficha.php?id=1253" TargetMode="External"/><Relationship Id="rId392" Type="http://schemas.openxmlformats.org/officeDocument/2006/relationships/hyperlink" Target="https://www.jivi.com.ar/ficha.php?id=1576" TargetMode="External"/><Relationship Id="rId448" Type="http://schemas.openxmlformats.org/officeDocument/2006/relationships/hyperlink" Target="https://www.jivi.com.ar/ficha.php?id=1663" TargetMode="External"/><Relationship Id="rId252" Type="http://schemas.openxmlformats.org/officeDocument/2006/relationships/hyperlink" Target="https://www.jivi.com.ar/ficha.php?id=872" TargetMode="External"/><Relationship Id="rId294" Type="http://schemas.openxmlformats.org/officeDocument/2006/relationships/hyperlink" Target="https://www.jivi.com.ar/ficha.php?id=1354" TargetMode="External"/><Relationship Id="rId308" Type="http://schemas.openxmlformats.org/officeDocument/2006/relationships/hyperlink" Target="https://www.jivi.com.ar/ficha.php?id=1471" TargetMode="External"/><Relationship Id="rId515" Type="http://schemas.openxmlformats.org/officeDocument/2006/relationships/hyperlink" Target="https://www.jivi.com.ar/ficha.php?id=1340" TargetMode="External"/><Relationship Id="rId47" Type="http://schemas.openxmlformats.org/officeDocument/2006/relationships/hyperlink" Target="https://www.jivi.com.ar/ficha.php?id=714" TargetMode="External"/><Relationship Id="rId89" Type="http://schemas.openxmlformats.org/officeDocument/2006/relationships/hyperlink" Target="https://www.jivi.com.ar/ficha.php?id=171" TargetMode="External"/><Relationship Id="rId112" Type="http://schemas.openxmlformats.org/officeDocument/2006/relationships/hyperlink" Target="https://www.jivi.com.ar/ficha.php?id=534" TargetMode="External"/><Relationship Id="rId154" Type="http://schemas.openxmlformats.org/officeDocument/2006/relationships/hyperlink" Target="https://www.jivi.com.ar/ficha.php?id=1061" TargetMode="External"/><Relationship Id="rId361" Type="http://schemas.openxmlformats.org/officeDocument/2006/relationships/hyperlink" Target="https://www.jivi.com.ar/ficha.php?id=1554" TargetMode="External"/><Relationship Id="rId557" Type="http://schemas.openxmlformats.org/officeDocument/2006/relationships/hyperlink" Target="https://www.jivi.com.ar/ficha.php?id=1739" TargetMode="External"/><Relationship Id="rId196" Type="http://schemas.openxmlformats.org/officeDocument/2006/relationships/hyperlink" Target="https://www.jivi.com.ar/ficha.php?id=1220" TargetMode="External"/><Relationship Id="rId417" Type="http://schemas.openxmlformats.org/officeDocument/2006/relationships/hyperlink" Target="https://www.jivi.com.ar/ficha.php?id=1459" TargetMode="External"/><Relationship Id="rId459" Type="http://schemas.openxmlformats.org/officeDocument/2006/relationships/hyperlink" Target="https://www.jivi.com.ar/ficha.php?id=1438" TargetMode="External"/><Relationship Id="rId16" Type="http://schemas.openxmlformats.org/officeDocument/2006/relationships/hyperlink" Target="https://www.jivi.com.ar/ficha.php?id=92" TargetMode="External"/><Relationship Id="rId221" Type="http://schemas.openxmlformats.org/officeDocument/2006/relationships/hyperlink" Target="https://www.jivi.com.ar/ficha.php?id=1305" TargetMode="External"/><Relationship Id="rId263" Type="http://schemas.openxmlformats.org/officeDocument/2006/relationships/hyperlink" Target="https://www.jivi.com.ar/ficha.php?id=1402" TargetMode="External"/><Relationship Id="rId319" Type="http://schemas.openxmlformats.org/officeDocument/2006/relationships/hyperlink" Target="https://www.jivi.com.ar/ficha.php?id=1486" TargetMode="External"/><Relationship Id="rId470" Type="http://schemas.openxmlformats.org/officeDocument/2006/relationships/hyperlink" Target="https://www.jivi.com.ar/ficha.php?id=977" TargetMode="External"/><Relationship Id="rId526" Type="http://schemas.openxmlformats.org/officeDocument/2006/relationships/hyperlink" Target="https://www.jivi.com.ar/ficha.php?id=1451" TargetMode="External"/><Relationship Id="rId58" Type="http://schemas.openxmlformats.org/officeDocument/2006/relationships/hyperlink" Target="https://www.jivi.com.ar/ficha.php?id=122" TargetMode="External"/><Relationship Id="rId123" Type="http://schemas.openxmlformats.org/officeDocument/2006/relationships/hyperlink" Target="https://www.jivi.com.ar/ficha.php?id=846" TargetMode="External"/><Relationship Id="rId330" Type="http://schemas.openxmlformats.org/officeDocument/2006/relationships/hyperlink" Target="https://www.jivi.com.ar/ficha.php?id=1502" TargetMode="External"/><Relationship Id="rId568" Type="http://schemas.openxmlformats.org/officeDocument/2006/relationships/hyperlink" Target="https://www.jivi.com.ar/ficha.php?id=1912" TargetMode="External"/><Relationship Id="rId165" Type="http://schemas.openxmlformats.org/officeDocument/2006/relationships/hyperlink" Target="https://www.jivi.com.ar/ficha.php?id=297" TargetMode="External"/><Relationship Id="rId372" Type="http://schemas.openxmlformats.org/officeDocument/2006/relationships/hyperlink" Target="https://www.jivi.com.ar/ficha.php?id=790" TargetMode="External"/><Relationship Id="rId428" Type="http://schemas.openxmlformats.org/officeDocument/2006/relationships/hyperlink" Target="https://www.jivi.com.ar/ficha.php?id=1617" TargetMode="External"/><Relationship Id="rId232" Type="http://schemas.openxmlformats.org/officeDocument/2006/relationships/hyperlink" Target="https://www.jivi.com.ar/ficha.php?id=1348" TargetMode="External"/><Relationship Id="rId274" Type="http://schemas.openxmlformats.org/officeDocument/2006/relationships/hyperlink" Target="https://www.jivi.com.ar/ficha.php?id=1420" TargetMode="External"/><Relationship Id="rId481" Type="http://schemas.openxmlformats.org/officeDocument/2006/relationships/hyperlink" Target="https://www.jivi.com.ar/ficha.php?id=1729" TargetMode="External"/><Relationship Id="rId27" Type="http://schemas.openxmlformats.org/officeDocument/2006/relationships/hyperlink" Target="https://www.jivi.com.ar/ficha.php?id=105" TargetMode="External"/><Relationship Id="rId69" Type="http://schemas.openxmlformats.org/officeDocument/2006/relationships/hyperlink" Target="https://www.jivi.com.ar/ficha.php?id=548" TargetMode="External"/><Relationship Id="rId134" Type="http://schemas.openxmlformats.org/officeDocument/2006/relationships/hyperlink" Target="https://www.jivi.com.ar/ficha.php?id=926" TargetMode="External"/><Relationship Id="rId537" Type="http://schemas.openxmlformats.org/officeDocument/2006/relationships/hyperlink" Target="https://www.jivi.com.ar/ficha.php?id=1820" TargetMode="External"/><Relationship Id="rId579" Type="http://schemas.openxmlformats.org/officeDocument/2006/relationships/hyperlink" Target="https://www.jivi.com.ar/ficha.php?id=2003" TargetMode="External"/><Relationship Id="rId80" Type="http://schemas.openxmlformats.org/officeDocument/2006/relationships/hyperlink" Target="https://www.jivi.com.ar/ficha.php?id=142" TargetMode="External"/><Relationship Id="rId176" Type="http://schemas.openxmlformats.org/officeDocument/2006/relationships/hyperlink" Target="https://www.jivi.com.ar/ficha.php?id=1158" TargetMode="External"/><Relationship Id="rId341" Type="http://schemas.openxmlformats.org/officeDocument/2006/relationships/hyperlink" Target="https://www.jivi.com.ar/ficha.php?id=1523" TargetMode="External"/><Relationship Id="rId383" Type="http://schemas.openxmlformats.org/officeDocument/2006/relationships/hyperlink" Target="https://www.jivi.com.ar/ficha.php?id=1518" TargetMode="External"/><Relationship Id="rId439" Type="http://schemas.openxmlformats.org/officeDocument/2006/relationships/hyperlink" Target="https://www.jivi.com.ar/ficha.php?id=1644" TargetMode="External"/><Relationship Id="rId590" Type="http://schemas.openxmlformats.org/officeDocument/2006/relationships/hyperlink" Target="https://www.jivi.com.ar/ficha.php?id=2017" TargetMode="External"/><Relationship Id="rId201" Type="http://schemas.openxmlformats.org/officeDocument/2006/relationships/hyperlink" Target="https://www.jivi.com.ar/ficha.php?id=1225" TargetMode="External"/><Relationship Id="rId243" Type="http://schemas.openxmlformats.org/officeDocument/2006/relationships/hyperlink" Target="https://www.jivi.com.ar/ficha.php?id=1384" TargetMode="External"/><Relationship Id="rId285" Type="http://schemas.openxmlformats.org/officeDocument/2006/relationships/hyperlink" Target="https://www.jivi.com.ar/ficha.php?id=1702" TargetMode="External"/><Relationship Id="rId450" Type="http://schemas.openxmlformats.org/officeDocument/2006/relationships/hyperlink" Target="https://www.jivi.com.ar/ficha.php?id=1664" TargetMode="External"/><Relationship Id="rId506" Type="http://schemas.openxmlformats.org/officeDocument/2006/relationships/hyperlink" Target="https://www.jivi.com.ar/ficha.php?id=1778" TargetMode="External"/><Relationship Id="rId38" Type="http://schemas.openxmlformats.org/officeDocument/2006/relationships/hyperlink" Target="https://www.jivi.com.ar/ficha.php?id=116" TargetMode="External"/><Relationship Id="rId103" Type="http://schemas.openxmlformats.org/officeDocument/2006/relationships/hyperlink" Target="https://www.jivi.com.ar/ficha.php?id=473" TargetMode="External"/><Relationship Id="rId310" Type="http://schemas.openxmlformats.org/officeDocument/2006/relationships/hyperlink" Target="htthttps://www.jivi.com.ar/ficha.php?id=1476" TargetMode="External"/><Relationship Id="rId492" Type="http://schemas.openxmlformats.org/officeDocument/2006/relationships/hyperlink" Target="https://www.jivi.com.ar/ficha.php?id=1745" TargetMode="External"/><Relationship Id="rId548" Type="http://schemas.openxmlformats.org/officeDocument/2006/relationships/hyperlink" Target="https://www.jivi.com.ar/ficha.php?id=666" TargetMode="External"/><Relationship Id="rId91" Type="http://schemas.openxmlformats.org/officeDocument/2006/relationships/hyperlink" Target="https://www.jivi.com.ar/ficha.php?id=169" TargetMode="External"/><Relationship Id="rId145" Type="http://schemas.openxmlformats.org/officeDocument/2006/relationships/hyperlink" Target="https://www.jivi.com.ar/ficha.php?id=1006" TargetMode="External"/><Relationship Id="rId187" Type="http://schemas.openxmlformats.org/officeDocument/2006/relationships/hyperlink" Target="https://www.jivi.com.ar/ficha.php?id=1182" TargetMode="External"/><Relationship Id="rId352" Type="http://schemas.openxmlformats.org/officeDocument/2006/relationships/hyperlink" Target="https://www.jivi.com.ar/ficha.php?id=1545" TargetMode="External"/><Relationship Id="rId394" Type="http://schemas.openxmlformats.org/officeDocument/2006/relationships/hyperlink" Target="https://www.jivi.com.ar/ficha.php?id=1581" TargetMode="External"/><Relationship Id="rId408" Type="http://schemas.openxmlformats.org/officeDocument/2006/relationships/hyperlink" Target="https://www.jivi.com.ar/ficha.php?id=1598" TargetMode="External"/><Relationship Id="rId212" Type="http://schemas.openxmlformats.org/officeDocument/2006/relationships/hyperlink" Target="https://www.jivi.com.ar/ficha.php?id=1261" TargetMode="External"/><Relationship Id="rId254" Type="http://schemas.openxmlformats.org/officeDocument/2006/relationships/hyperlink" Target="https://www.jivi.com.ar/ficha.php?id=1262" TargetMode="External"/><Relationship Id="rId49" Type="http://schemas.openxmlformats.org/officeDocument/2006/relationships/hyperlink" Target="https://www.jivi.com.ar/ficha.php?id=405" TargetMode="External"/><Relationship Id="rId114" Type="http://schemas.openxmlformats.org/officeDocument/2006/relationships/hyperlink" Target="https://www.jivi.com.ar/ficha.php?id=215" TargetMode="External"/><Relationship Id="rId296" Type="http://schemas.openxmlformats.org/officeDocument/2006/relationships/hyperlink" Target="https://www.jivi.com.ar/ficha.php?id=1450" TargetMode="External"/><Relationship Id="rId461" Type="http://schemas.openxmlformats.org/officeDocument/2006/relationships/hyperlink" Target="https://www.jivi.com.ar/ficha.php?id=36" TargetMode="External"/><Relationship Id="rId517" Type="http://schemas.openxmlformats.org/officeDocument/2006/relationships/hyperlink" Target="https://www.jivi.com.ar/ficha.php?id=1487" TargetMode="External"/><Relationship Id="rId559" Type="http://schemas.openxmlformats.org/officeDocument/2006/relationships/hyperlink" Target="https://www.jivi.com.ar/ficha.php?id=1379" TargetMode="External"/><Relationship Id="rId60" Type="http://schemas.openxmlformats.org/officeDocument/2006/relationships/hyperlink" Target="https://www.jivi.com.ar/ficha.php?id=124" TargetMode="External"/><Relationship Id="rId156" Type="http://schemas.openxmlformats.org/officeDocument/2006/relationships/hyperlink" Target="https://www.jivi.com.ar/ficha.php?id=364" TargetMode="External"/><Relationship Id="rId198" Type="http://schemas.openxmlformats.org/officeDocument/2006/relationships/hyperlink" Target="https://www.jivi.com.ar/ficha.php?id=1223" TargetMode="External"/><Relationship Id="rId321" Type="http://schemas.openxmlformats.org/officeDocument/2006/relationships/hyperlink" Target="https://www.jivi.com.ar/ficha.php?id=1492" TargetMode="External"/><Relationship Id="rId363" Type="http://schemas.openxmlformats.org/officeDocument/2006/relationships/hyperlink" Target="https://www.jivi.com.ar/ficha.php?id=1557" TargetMode="External"/><Relationship Id="rId419" Type="http://schemas.openxmlformats.org/officeDocument/2006/relationships/hyperlink" Target="https://www.jivi.com.ar/ficha.php?id=1609" TargetMode="External"/><Relationship Id="rId570" Type="http://schemas.openxmlformats.org/officeDocument/2006/relationships/hyperlink" Target="https://www.jivi.com.ar/ficha.php?id=1880" TargetMode="External"/><Relationship Id="rId223" Type="http://schemas.openxmlformats.org/officeDocument/2006/relationships/hyperlink" Target="https://www.jivi.com.ar/ficha.php?id=1287" TargetMode="External"/><Relationship Id="rId430" Type="http://schemas.openxmlformats.org/officeDocument/2006/relationships/hyperlink" Target="https://www.jivi.com.ar/ficha.php?id=1619" TargetMode="External"/><Relationship Id="rId18" Type="http://schemas.openxmlformats.org/officeDocument/2006/relationships/hyperlink" Target="https://www.jivi.com.ar/ficha.php?id=96" TargetMode="External"/><Relationship Id="rId265" Type="http://schemas.openxmlformats.org/officeDocument/2006/relationships/hyperlink" Target="https://www.jivi.com.ar/ficha.php?id=1405" TargetMode="External"/><Relationship Id="rId472" Type="http://schemas.openxmlformats.org/officeDocument/2006/relationships/hyperlink" Target="https://www.jivi.com.ar/ficha.php?id=1456" TargetMode="External"/><Relationship Id="rId528" Type="http://schemas.openxmlformats.org/officeDocument/2006/relationships/hyperlink" Target="https://www.jivi.com.ar/ficha.php?id=1805" TargetMode="External"/><Relationship Id="rId125" Type="http://schemas.openxmlformats.org/officeDocument/2006/relationships/hyperlink" Target="https://www.jivi.com.ar/ficha.php?id=854" TargetMode="External"/><Relationship Id="rId167" Type="http://schemas.openxmlformats.org/officeDocument/2006/relationships/hyperlink" Target="https://www.jivi.com.ar/ficha.php?id=1098" TargetMode="External"/><Relationship Id="rId332" Type="http://schemas.openxmlformats.org/officeDocument/2006/relationships/hyperlink" Target="https://www.jivi.com.ar/ficha.php?id=1505" TargetMode="External"/><Relationship Id="rId374" Type="http://schemas.openxmlformats.org/officeDocument/2006/relationships/hyperlink" Target="https://www.jivi.com.ar/ficha.php?id=1409" TargetMode="External"/><Relationship Id="rId581" Type="http://schemas.openxmlformats.org/officeDocument/2006/relationships/hyperlink" Target="https://www.jivi.com.ar/ficha.php?id=1258" TargetMode="External"/><Relationship Id="rId71" Type="http://schemas.openxmlformats.org/officeDocument/2006/relationships/hyperlink" Target="https://www.jivi.com.ar/ficha.php?id=719" TargetMode="External"/><Relationship Id="rId234" Type="http://schemas.openxmlformats.org/officeDocument/2006/relationships/hyperlink" Target="https://www.jivi.com.ar/ficha.php?id=1360" TargetMode="External"/><Relationship Id="rId2" Type="http://schemas.openxmlformats.org/officeDocument/2006/relationships/hyperlink" Target="https://www.jivi.com.ar/ficha.php?id=660" TargetMode="External"/><Relationship Id="rId29" Type="http://schemas.openxmlformats.org/officeDocument/2006/relationships/hyperlink" Target="https://www.jivi.com.ar/ficha.php?id=107" TargetMode="External"/><Relationship Id="rId276" Type="http://schemas.openxmlformats.org/officeDocument/2006/relationships/hyperlink" Target="https://www.jivi.com.ar/ficha.php?id=1422" TargetMode="External"/><Relationship Id="rId441" Type="http://schemas.openxmlformats.org/officeDocument/2006/relationships/hyperlink" Target="https://www.jivi.com.ar/ficha.php?id=1639" TargetMode="External"/><Relationship Id="rId483" Type="http://schemas.openxmlformats.org/officeDocument/2006/relationships/hyperlink" Target="https://www.jivi.com.ar/ficha.php?id=1731" TargetMode="External"/><Relationship Id="rId539" Type="http://schemas.openxmlformats.org/officeDocument/2006/relationships/hyperlink" Target="https://www.jivi.com.ar/ficha.php?id=1533" TargetMode="External"/><Relationship Id="rId40" Type="http://schemas.openxmlformats.org/officeDocument/2006/relationships/hyperlink" Target="https://www.jivi.com.ar/ficha.php?id=399" TargetMode="External"/><Relationship Id="rId136" Type="http://schemas.openxmlformats.org/officeDocument/2006/relationships/hyperlink" Target="https://www.jivi.com.ar/ficha.php?id=247" TargetMode="External"/><Relationship Id="rId178" Type="http://schemas.openxmlformats.org/officeDocument/2006/relationships/hyperlink" Target="hhttps://www.jivi.com.ar/ficha.php?id=1155" TargetMode="External"/><Relationship Id="rId301" Type="http://schemas.openxmlformats.org/officeDocument/2006/relationships/hyperlink" Target="https://www.jivi.com.ar/ficha.php?id=969" TargetMode="External"/><Relationship Id="rId343" Type="http://schemas.openxmlformats.org/officeDocument/2006/relationships/hyperlink" Target="https://www.jivi.com.ar/ficha.php?id=1527" TargetMode="External"/><Relationship Id="rId550" Type="http://schemas.openxmlformats.org/officeDocument/2006/relationships/hyperlink" Target="https://www.jivi.com.ar/ficha.php?id=1847" TargetMode="External"/><Relationship Id="rId82" Type="http://schemas.openxmlformats.org/officeDocument/2006/relationships/hyperlink" Target="https://www.jivi.com.ar/ficha.php?id=393" TargetMode="External"/><Relationship Id="rId203" Type="http://schemas.openxmlformats.org/officeDocument/2006/relationships/hyperlink" Target="https://www.jivi.com.ar/ficha.php?id=919" TargetMode="External"/><Relationship Id="rId385" Type="http://schemas.openxmlformats.org/officeDocument/2006/relationships/hyperlink" Target="https://www.jivi.com.ar/ficha.php?id=1573" TargetMode="External"/><Relationship Id="rId592" Type="http://schemas.openxmlformats.org/officeDocument/2006/relationships/hyperlink" Target="https://www.jivi.com.ar/ficha.php?id=1339" TargetMode="External"/><Relationship Id="rId245" Type="http://schemas.openxmlformats.org/officeDocument/2006/relationships/hyperlink" Target="https://www.jivi.com.ar/ficha.php?id=1385" TargetMode="External"/><Relationship Id="rId287" Type="http://schemas.openxmlformats.org/officeDocument/2006/relationships/hyperlink" Target="https://www.jivi.com.ar/ficha.php?id=1442" TargetMode="External"/><Relationship Id="rId410" Type="http://schemas.openxmlformats.org/officeDocument/2006/relationships/hyperlink" Target="https://www.jivi.com.ar/ficha.php?id=1602" TargetMode="External"/><Relationship Id="rId452" Type="http://schemas.openxmlformats.org/officeDocument/2006/relationships/hyperlink" Target="https://www.jivi.com.ar/ficha.php?id=1667" TargetMode="External"/><Relationship Id="rId494" Type="http://schemas.openxmlformats.org/officeDocument/2006/relationships/hyperlink" Target="https://www.jivi.com.ar/ficha.php?id=1747" TargetMode="External"/><Relationship Id="rId508" Type="http://schemas.openxmlformats.org/officeDocument/2006/relationships/hyperlink" Target="https://www.jivi.com.ar/ficha.php?id=1710" TargetMode="External"/><Relationship Id="rId105" Type="http://schemas.openxmlformats.org/officeDocument/2006/relationships/hyperlink" Target="https://www.jivi.com.ar/ficha.php?id=252" TargetMode="External"/><Relationship Id="rId147" Type="http://schemas.openxmlformats.org/officeDocument/2006/relationships/hyperlink" Target="https://www.jivi.com.ar/ficha.php?id=251" TargetMode="External"/><Relationship Id="rId312" Type="http://schemas.openxmlformats.org/officeDocument/2006/relationships/hyperlink" Target="https://www.jivi.com.ar/ficha.php?id=996" TargetMode="External"/><Relationship Id="rId354" Type="http://schemas.openxmlformats.org/officeDocument/2006/relationships/hyperlink" Target="https://www.jivi.com.ar/ficha.php?id=981" TargetMode="External"/><Relationship Id="rId51" Type="http://schemas.openxmlformats.org/officeDocument/2006/relationships/hyperlink" Target="https://www.jivi.com.ar/ficha.php?id=407" TargetMode="External"/><Relationship Id="rId93" Type="http://schemas.openxmlformats.org/officeDocument/2006/relationships/hyperlink" Target="https://www.jivi.com.ar/ficha.php?id=158" TargetMode="External"/><Relationship Id="rId189" Type="http://schemas.openxmlformats.org/officeDocument/2006/relationships/hyperlink" Target="https://www.jivi.com.ar/ficha.php?id=1185" TargetMode="External"/><Relationship Id="rId396" Type="http://schemas.openxmlformats.org/officeDocument/2006/relationships/hyperlink" Target="https://www.jivi.com.ar/ficha.php?id=1584" TargetMode="External"/><Relationship Id="rId561" Type="http://schemas.openxmlformats.org/officeDocument/2006/relationships/hyperlink" Target="https://www.jivi.com.ar/ficha.php?id=1840" TargetMode="External"/><Relationship Id="rId214" Type="http://schemas.openxmlformats.org/officeDocument/2006/relationships/hyperlink" Target="https://www.jivi.com.ar/ficha.php?id=1268" TargetMode="External"/><Relationship Id="rId256" Type="http://schemas.openxmlformats.org/officeDocument/2006/relationships/hyperlink" Target="https://www.jivi.com.ar/ficha.php?id=1401" TargetMode="External"/><Relationship Id="rId298" Type="http://schemas.openxmlformats.org/officeDocument/2006/relationships/hyperlink" Target="https://www.jivi.com.ar/ficha.php?id=1064" TargetMode="External"/><Relationship Id="rId421" Type="http://schemas.openxmlformats.org/officeDocument/2006/relationships/hyperlink" Target="https://www.jivi.com.ar/ficha.php?id=1610" TargetMode="External"/><Relationship Id="rId463" Type="http://schemas.openxmlformats.org/officeDocument/2006/relationships/hyperlink" Target="https://www.jivi.com.ar/ficha.php?id=1698" TargetMode="External"/><Relationship Id="rId519" Type="http://schemas.openxmlformats.org/officeDocument/2006/relationships/hyperlink" Target="https://www.jivi.com.ar/ficha.php?id=1186" TargetMode="External"/><Relationship Id="rId116" Type="http://schemas.openxmlformats.org/officeDocument/2006/relationships/hyperlink" Target="https://www.jivi.com.ar/ficha.php?id=51" TargetMode="External"/><Relationship Id="rId158" Type="http://schemas.openxmlformats.org/officeDocument/2006/relationships/hyperlink" Target="https://www.jivi.com.ar/ficha.php?id=1079" TargetMode="External"/><Relationship Id="rId323" Type="http://schemas.openxmlformats.org/officeDocument/2006/relationships/hyperlink" Target="https://www.jivi.com.ar/ficha.php?id=1494" TargetMode="External"/><Relationship Id="rId530" Type="http://schemas.openxmlformats.org/officeDocument/2006/relationships/hyperlink" Target="https://www.jivi.com.ar/ficha.php?id=1070" TargetMode="External"/><Relationship Id="rId20" Type="http://schemas.openxmlformats.org/officeDocument/2006/relationships/hyperlink" Target="https://www.jivi.com.ar/ficha.php?id=98" TargetMode="External"/><Relationship Id="rId62" Type="http://schemas.openxmlformats.org/officeDocument/2006/relationships/hyperlink" Target="https://www.jivi.com.ar/ficha.php?id=187" TargetMode="External"/><Relationship Id="rId365" Type="http://schemas.openxmlformats.org/officeDocument/2006/relationships/hyperlink" Target="https://www.jivi.com.ar/ficha.php?id=518" TargetMode="External"/><Relationship Id="rId572" Type="http://schemas.openxmlformats.org/officeDocument/2006/relationships/hyperlink" Target="https://www.jivi.com.ar/ficha.php?id=1998" TargetMode="External"/><Relationship Id="rId225" Type="http://schemas.openxmlformats.org/officeDocument/2006/relationships/hyperlink" Target="https://www.jivi.com.ar/ficha.php?id=1316" TargetMode="External"/><Relationship Id="rId267" Type="http://schemas.openxmlformats.org/officeDocument/2006/relationships/hyperlink" Target="https://www.jivi.com.ar/ficha.php?id=1415" TargetMode="External"/><Relationship Id="rId432" Type="http://schemas.openxmlformats.org/officeDocument/2006/relationships/hyperlink" Target="https://www.jivi.com.ar/ficha.php?id=1204" TargetMode="External"/><Relationship Id="rId474" Type="http://schemas.openxmlformats.org/officeDocument/2006/relationships/hyperlink" Target="https://www.jivi.com.ar/ficha.php?id=1708" TargetMode="External"/><Relationship Id="rId127" Type="http://schemas.openxmlformats.org/officeDocument/2006/relationships/hyperlink" Target="https://www.jivi.com.ar/ficha.php?id=888" TargetMode="External"/><Relationship Id="rId31" Type="http://schemas.openxmlformats.org/officeDocument/2006/relationships/hyperlink" Target="https://www.jivi.com.ar/ficha.php?id=109" TargetMode="External"/><Relationship Id="rId73" Type="http://schemas.openxmlformats.org/officeDocument/2006/relationships/hyperlink" Target="https://www.jivi.com.ar/ficha.php?id=134" TargetMode="External"/><Relationship Id="rId169" Type="http://schemas.openxmlformats.org/officeDocument/2006/relationships/hyperlink" Target="https://www.jivi.com.ar/ficha.php?id=1104" TargetMode="External"/><Relationship Id="rId334" Type="http://schemas.openxmlformats.org/officeDocument/2006/relationships/hyperlink" Target="https://www.jivi.com.ar/ficha.php?id=1507" TargetMode="External"/><Relationship Id="rId376" Type="http://schemas.openxmlformats.org/officeDocument/2006/relationships/hyperlink" Target="https://www.jivi.com.ar/ficha.php?id=1564" TargetMode="External"/><Relationship Id="rId541" Type="http://schemas.openxmlformats.org/officeDocument/2006/relationships/hyperlink" Target="https://www.jivi.com.ar/ficha.php?id=1825" TargetMode="External"/><Relationship Id="rId583" Type="http://schemas.openxmlformats.org/officeDocument/2006/relationships/hyperlink" Target="https://www.jivi.com.ar/ficha.php?id=1656" TargetMode="External"/><Relationship Id="rId4" Type="http://schemas.openxmlformats.org/officeDocument/2006/relationships/hyperlink" Target="https://www.jivi.com.ar/ficha.php?id=725" TargetMode="External"/><Relationship Id="rId180" Type="http://schemas.openxmlformats.org/officeDocument/2006/relationships/hyperlink" Target="https://www.jivi.com.ar/ficha.php?id=1153" TargetMode="External"/><Relationship Id="rId236" Type="http://schemas.openxmlformats.org/officeDocument/2006/relationships/hyperlink" Target="https://www.jivi.com.ar/ficha.php?id=1366" TargetMode="External"/><Relationship Id="rId278" Type="http://schemas.openxmlformats.org/officeDocument/2006/relationships/hyperlink" Target="https://www.jivi.com.ar/ficha.php?id=1425" TargetMode="External"/><Relationship Id="rId401" Type="http://schemas.openxmlformats.org/officeDocument/2006/relationships/hyperlink" Target="https://www.jivi.com.ar/ficha.php?id=1589" TargetMode="External"/><Relationship Id="rId443" Type="http://schemas.openxmlformats.org/officeDocument/2006/relationships/hyperlink" Target="https://www.jivi.com.ar/ficha.php?id=1652" TargetMode="External"/><Relationship Id="rId303" Type="http://schemas.openxmlformats.org/officeDocument/2006/relationships/hyperlink" Target="https://www.jivi.com.ar/ficha.php?id=1464" TargetMode="External"/><Relationship Id="rId485" Type="http://schemas.openxmlformats.org/officeDocument/2006/relationships/hyperlink" Target="https://www.jivi.com.ar/ficha.php?id=1734" TargetMode="External"/><Relationship Id="rId42" Type="http://schemas.openxmlformats.org/officeDocument/2006/relationships/hyperlink" Target="https://www.jivi.com.ar/ficha.php?id=401" TargetMode="External"/><Relationship Id="rId84" Type="http://schemas.openxmlformats.org/officeDocument/2006/relationships/hyperlink" Target="https://www.jivi.com.ar/ficha.php?id=136" TargetMode="External"/><Relationship Id="rId138" Type="http://schemas.openxmlformats.org/officeDocument/2006/relationships/hyperlink" Target="https://www.jivi.com.ar/ficha.php?id=954" TargetMode="External"/><Relationship Id="rId345" Type="http://schemas.openxmlformats.org/officeDocument/2006/relationships/hyperlink" Target="https://www.jivi.com.ar/ficha.php?id=1534" TargetMode="External"/><Relationship Id="rId387" Type="http://schemas.openxmlformats.org/officeDocument/2006/relationships/hyperlink" Target="https://www.jivi.com.ar/ficha.php?id=1271" TargetMode="External"/><Relationship Id="rId510" Type="http://schemas.openxmlformats.org/officeDocument/2006/relationships/hyperlink" Target="https://www.jivi.com.ar/ficha.php?id=1737" TargetMode="External"/><Relationship Id="rId552" Type="http://schemas.openxmlformats.org/officeDocument/2006/relationships/hyperlink" Target="https://www.jivi.com.ar/ficha.php?id=1520" TargetMode="External"/><Relationship Id="rId594" Type="http://schemas.openxmlformats.org/officeDocument/2006/relationships/drawing" Target="../drawings/drawing1.xml"/><Relationship Id="rId191" Type="http://schemas.openxmlformats.org/officeDocument/2006/relationships/hyperlink" Target="https://www.jivi.com.ar/ficha.php?id=1190" TargetMode="External"/><Relationship Id="rId205" Type="http://schemas.openxmlformats.org/officeDocument/2006/relationships/hyperlink" Target="https://www.jivi.com.ar/ficha.php?id=1232" TargetMode="External"/><Relationship Id="rId247" Type="http://schemas.openxmlformats.org/officeDocument/2006/relationships/hyperlink" Target="https://www.jivi.com.ar/ficha.php?id=1389" TargetMode="External"/><Relationship Id="rId412" Type="http://schemas.openxmlformats.org/officeDocument/2006/relationships/hyperlink" Target="https://www.jivi.com.ar/ficha.php?id=1701" TargetMode="External"/><Relationship Id="rId107" Type="http://schemas.openxmlformats.org/officeDocument/2006/relationships/hyperlink" Target="https://www.jivi.com.ar/ficha.php?id=220" TargetMode="External"/><Relationship Id="rId289" Type="http://schemas.openxmlformats.org/officeDocument/2006/relationships/hyperlink" Target="https://www.jivi.com.ar/ficha.php?id=216" TargetMode="External"/><Relationship Id="rId454" Type="http://schemas.openxmlformats.org/officeDocument/2006/relationships/hyperlink" Target="https://www.jivi.com.ar/ficha.php?id=1272" TargetMode="External"/><Relationship Id="rId496" Type="http://schemas.openxmlformats.org/officeDocument/2006/relationships/hyperlink" Target="https://www.jivi.com.ar/ficha.php?id=1749" TargetMode="External"/><Relationship Id="rId11" Type="http://schemas.openxmlformats.org/officeDocument/2006/relationships/hyperlink" Target="https://www.jivi.com.ar/ficha.php?id=42" TargetMode="External"/><Relationship Id="rId53" Type="http://schemas.openxmlformats.org/officeDocument/2006/relationships/hyperlink" Target="https://www.jivi.com.ar/ficha.php?id=409" TargetMode="External"/><Relationship Id="rId149" Type="http://schemas.openxmlformats.org/officeDocument/2006/relationships/hyperlink" Target="https://www.jivi.com.ar/ficha.php?id=1025" TargetMode="External"/><Relationship Id="rId314" Type="http://schemas.openxmlformats.org/officeDocument/2006/relationships/hyperlink" Target="https://www.jivi.com.ar/ficha.php?id=1478" TargetMode="External"/><Relationship Id="rId356" Type="http://schemas.openxmlformats.org/officeDocument/2006/relationships/hyperlink" Target="https://www.jivi.com.ar/ficha.php?id=1549" TargetMode="External"/><Relationship Id="rId398" Type="http://schemas.openxmlformats.org/officeDocument/2006/relationships/hyperlink" Target="https://www.jivi.com.ar/ficha.php?id=1587" TargetMode="External"/><Relationship Id="rId521" Type="http://schemas.openxmlformats.org/officeDocument/2006/relationships/hyperlink" Target="https://www.jivi.com.ar/ficha.php?id=1319" TargetMode="External"/><Relationship Id="rId563" Type="http://schemas.openxmlformats.org/officeDocument/2006/relationships/hyperlink" Target="https://www.jivi.com.ar/ficha.php?id=1886" TargetMode="External"/><Relationship Id="rId95" Type="http://schemas.openxmlformats.org/officeDocument/2006/relationships/hyperlink" Target="https://www.jivi.com.ar/ficha.php?id=622" TargetMode="External"/><Relationship Id="rId160" Type="http://schemas.openxmlformats.org/officeDocument/2006/relationships/hyperlink" Target="https://www.jivi.com.ar/ficha.php?id=1089" TargetMode="External"/><Relationship Id="rId216" Type="http://schemas.openxmlformats.org/officeDocument/2006/relationships/hyperlink" Target="https://www.jivi.com.ar/ficha.php?id=991" TargetMode="External"/><Relationship Id="rId423" Type="http://schemas.openxmlformats.org/officeDocument/2006/relationships/hyperlink" Target="https://www.jivi.com.ar/ficha.php?id=1612" TargetMode="External"/><Relationship Id="rId258" Type="http://schemas.openxmlformats.org/officeDocument/2006/relationships/hyperlink" Target="https://www.jivi.com.ar/ficha.php?id=1230" TargetMode="External"/><Relationship Id="rId465" Type="http://schemas.openxmlformats.org/officeDocument/2006/relationships/hyperlink" Target="https://www.jivi.com.ar/ficha.php?id=1510" TargetMode="External"/><Relationship Id="rId22" Type="http://schemas.openxmlformats.org/officeDocument/2006/relationships/hyperlink" Target="https://www.jivi.com.ar/ficha.php?id=100" TargetMode="External"/><Relationship Id="rId64" Type="http://schemas.openxmlformats.org/officeDocument/2006/relationships/hyperlink" Target="https://www.jivi.com.ar/ficha.php?id=55" TargetMode="External"/><Relationship Id="rId118" Type="http://schemas.openxmlformats.org/officeDocument/2006/relationships/hyperlink" Target="https://www.jivi.com.ar/ficha.php?id=809" TargetMode="External"/><Relationship Id="rId325" Type="http://schemas.openxmlformats.org/officeDocument/2006/relationships/hyperlink" Target="https://www.jivi.com.ar/ficha.php?id=1496" TargetMode="External"/><Relationship Id="rId367" Type="http://schemas.openxmlformats.org/officeDocument/2006/relationships/hyperlink" Target="https://www.jivi.com.ar/ficha.php?id=26" TargetMode="External"/><Relationship Id="rId532" Type="http://schemas.openxmlformats.org/officeDocument/2006/relationships/hyperlink" Target="https://www.jivi.com.ar/ficha.php?id=1299" TargetMode="External"/><Relationship Id="rId574" Type="http://schemas.openxmlformats.org/officeDocument/2006/relationships/hyperlink" Target="https://www.jivi.com.ar/ficha.php?id=2000" TargetMode="External"/><Relationship Id="rId171" Type="http://schemas.openxmlformats.org/officeDocument/2006/relationships/hyperlink" Target="https://www.jivi.com.ar/ficha.php?id=1116" TargetMode="External"/><Relationship Id="rId227" Type="http://schemas.openxmlformats.org/officeDocument/2006/relationships/hyperlink" Target="https://www.jivi.com.ar/ficha.php?id=1336" TargetMode="External"/><Relationship Id="rId269" Type="http://schemas.openxmlformats.org/officeDocument/2006/relationships/hyperlink" Target="https://www.jivi.com.ar/ficha.php?id=1084" TargetMode="External"/><Relationship Id="rId434" Type="http://schemas.openxmlformats.org/officeDocument/2006/relationships/hyperlink" Target="https://www.jivi.com.ar/ficha.php?id=1634" TargetMode="External"/><Relationship Id="rId476" Type="http://schemas.openxmlformats.org/officeDocument/2006/relationships/hyperlink" Target="https://www.jivi.com.ar/ficha.php?id=1722" TargetMode="External"/><Relationship Id="rId33" Type="http://schemas.openxmlformats.org/officeDocument/2006/relationships/hyperlink" Target="https://www.jivi.com.ar/ficha.php?id=111" TargetMode="External"/><Relationship Id="rId129" Type="http://schemas.openxmlformats.org/officeDocument/2006/relationships/hyperlink" Target="https://www.jivi.com.ar/ficha.php?id=881" TargetMode="External"/><Relationship Id="rId280" Type="http://schemas.openxmlformats.org/officeDocument/2006/relationships/hyperlink" Target="https://www.jivi.com.ar/ficha.php?id=1429" TargetMode="External"/><Relationship Id="rId336" Type="http://schemas.openxmlformats.org/officeDocument/2006/relationships/hyperlink" Target="https://www.jivi.com.ar/ficha.php?id=1509" TargetMode="External"/><Relationship Id="rId501" Type="http://schemas.openxmlformats.org/officeDocument/2006/relationships/hyperlink" Target="https://www.jivi.com.ar/ficha.php?id=1776" TargetMode="External"/><Relationship Id="rId543" Type="http://schemas.openxmlformats.org/officeDocument/2006/relationships/hyperlink" Target="https://www.jivi.com.ar/ficha.php?id=1491" TargetMode="External"/><Relationship Id="rId75" Type="http://schemas.openxmlformats.org/officeDocument/2006/relationships/hyperlink" Target="https://www.jivi.com.ar/ficha.php?id=11" TargetMode="External"/><Relationship Id="rId140" Type="http://schemas.openxmlformats.org/officeDocument/2006/relationships/hyperlink" Target="https://www.jivi.com.ar/ficha.php?id=956" TargetMode="External"/><Relationship Id="rId182" Type="http://schemas.openxmlformats.org/officeDocument/2006/relationships/hyperlink" Target="https://www.jivi.com.ar/ficha.php?id=1172" TargetMode="External"/><Relationship Id="rId378" Type="http://schemas.openxmlformats.org/officeDocument/2006/relationships/hyperlink" Target="https://www.jivi.com.ar/ficha.php?id=1567" TargetMode="External"/><Relationship Id="rId403" Type="http://schemas.openxmlformats.org/officeDocument/2006/relationships/hyperlink" Target="https://www.jivi.com.ar/ficha.php?id=1591" TargetMode="External"/><Relationship Id="rId585" Type="http://schemas.openxmlformats.org/officeDocument/2006/relationships/hyperlink" Target="https://www.jivi.com.ar/ficha.php?id=1720" TargetMode="External"/><Relationship Id="rId6" Type="http://schemas.openxmlformats.org/officeDocument/2006/relationships/hyperlink" Target="https://www.jivi.com.ar/ficha.php?id=726" TargetMode="External"/><Relationship Id="rId238" Type="http://schemas.openxmlformats.org/officeDocument/2006/relationships/hyperlink" Target="https://www.jivi.com.ar/ficha.php?id=864" TargetMode="External"/><Relationship Id="rId445" Type="http://schemas.openxmlformats.org/officeDocument/2006/relationships/hyperlink" Target="https://www.jivi.com.ar/ficha.php?id=1640" TargetMode="External"/><Relationship Id="rId487" Type="http://schemas.openxmlformats.org/officeDocument/2006/relationships/hyperlink" Target="https://www.jivi.com.ar/ficha.php?id=1740" TargetMode="External"/><Relationship Id="rId291" Type="http://schemas.openxmlformats.org/officeDocument/2006/relationships/hyperlink" Target="https://www.jivi.com.ar/ficha.php?id=1334" TargetMode="External"/><Relationship Id="rId305" Type="http://schemas.openxmlformats.org/officeDocument/2006/relationships/hyperlink" Target="https://www.jivi.com.ar/ficha.php?id=1467" TargetMode="External"/><Relationship Id="rId347" Type="http://schemas.openxmlformats.org/officeDocument/2006/relationships/hyperlink" Target="https://www.jivi.com.ar/ficha.php?id=1536" TargetMode="External"/><Relationship Id="rId512" Type="http://schemas.openxmlformats.org/officeDocument/2006/relationships/hyperlink" Target="https://www.jivi.com.ar/ficha.php?id=1780" TargetMode="External"/><Relationship Id="rId44" Type="http://schemas.openxmlformats.org/officeDocument/2006/relationships/hyperlink" Target="https://www.jivi.com.ar/ficha.php?id=403" TargetMode="External"/><Relationship Id="rId86" Type="http://schemas.openxmlformats.org/officeDocument/2006/relationships/hyperlink" Target="https://www.jivi.com.ar/ficha.php?id=138" TargetMode="External"/><Relationship Id="rId151" Type="http://schemas.openxmlformats.org/officeDocument/2006/relationships/hyperlink" Target="https://www.jivi.com.ar/ficha.php?id=1049" TargetMode="External"/><Relationship Id="rId389" Type="http://schemas.openxmlformats.org/officeDocument/2006/relationships/hyperlink" Target="https://www.jivi.com.ar/ficha.php?id=1139" TargetMode="External"/><Relationship Id="rId554" Type="http://schemas.openxmlformats.org/officeDocument/2006/relationships/hyperlink" Target="https://www.jivi.com.ar/ficha.php?id=1443" TargetMode="External"/><Relationship Id="rId596" Type="http://schemas.openxmlformats.org/officeDocument/2006/relationships/comments" Target="../comments1.xml"/><Relationship Id="rId193" Type="http://schemas.openxmlformats.org/officeDocument/2006/relationships/hyperlink" Target="https://www.jivi.com.ar/ficha.php?id=1209" TargetMode="External"/><Relationship Id="rId207" Type="http://schemas.openxmlformats.org/officeDocument/2006/relationships/hyperlink" Target="https://www.jivi.com.ar/ficha.php?id=920" TargetMode="External"/><Relationship Id="rId249" Type="http://schemas.openxmlformats.org/officeDocument/2006/relationships/hyperlink" Target="https://www.jivi.com.ar/ficha.php?id=236" TargetMode="External"/><Relationship Id="rId414" Type="http://schemas.openxmlformats.org/officeDocument/2006/relationships/hyperlink" Target="https://www.jivi.com.ar/ficha.php?id=1606" TargetMode="External"/><Relationship Id="rId456" Type="http://schemas.openxmlformats.org/officeDocument/2006/relationships/hyperlink" Target="https://www.jivi.com.ar/ficha.php?id=1672" TargetMode="External"/><Relationship Id="rId498" Type="http://schemas.openxmlformats.org/officeDocument/2006/relationships/hyperlink" Target="https://www.jivi.com.ar/ficha.php?id=1750" TargetMode="External"/><Relationship Id="rId13" Type="http://schemas.openxmlformats.org/officeDocument/2006/relationships/hyperlink" Target="https://www.jivi.com.ar/ficha.php?id=650" TargetMode="External"/><Relationship Id="rId109" Type="http://schemas.openxmlformats.org/officeDocument/2006/relationships/hyperlink" Target="https://www.jivi.com.ar/ficha.php?id=398" TargetMode="External"/><Relationship Id="rId260" Type="http://schemas.openxmlformats.org/officeDocument/2006/relationships/hyperlink" Target="https://www.jivi.com.ar/ficha.php?id=1111" TargetMode="External"/><Relationship Id="rId316" Type="http://schemas.openxmlformats.org/officeDocument/2006/relationships/hyperlink" Target="https://www.jivi.com.ar/ficha.php?id=1480" TargetMode="External"/><Relationship Id="rId523" Type="http://schemas.openxmlformats.org/officeDocument/2006/relationships/hyperlink" Target="https://www.jivi.com.ar/ficha.php?id=1447" TargetMode="External"/><Relationship Id="rId55" Type="http://schemas.openxmlformats.org/officeDocument/2006/relationships/hyperlink" Target="https://www.jivi.com.ar/ficha.php?id=119" TargetMode="External"/><Relationship Id="rId97" Type="http://schemas.openxmlformats.org/officeDocument/2006/relationships/hyperlink" Target="https://www.jivi.com.ar/ficha.php?id=246" TargetMode="External"/><Relationship Id="rId120" Type="http://schemas.openxmlformats.org/officeDocument/2006/relationships/hyperlink" Target="https://www.jivi.com.ar/ficha.php?id=708" TargetMode="External"/><Relationship Id="rId358" Type="http://schemas.openxmlformats.org/officeDocument/2006/relationships/hyperlink" Target="https://www.jivi.com.ar/ficha.php?id=1552" TargetMode="External"/><Relationship Id="rId565" Type="http://schemas.openxmlformats.org/officeDocument/2006/relationships/hyperlink" Target="https://www.jivi.com.ar/ficha.php?id=1138" TargetMode="External"/><Relationship Id="rId162" Type="http://schemas.openxmlformats.org/officeDocument/2006/relationships/hyperlink" Target="https://www.jivi.com.ar/ficha.php?id=1091" TargetMode="External"/><Relationship Id="rId218" Type="http://schemas.openxmlformats.org/officeDocument/2006/relationships/hyperlink" Target="https://www.jivi.com.ar/ficha.php?id=1607" TargetMode="External"/><Relationship Id="rId425" Type="http://schemas.openxmlformats.org/officeDocument/2006/relationships/hyperlink" Target="https://www.jivi.com.ar/ficha.php?id=1452" TargetMode="External"/><Relationship Id="rId467" Type="http://schemas.openxmlformats.org/officeDocument/2006/relationships/hyperlink" Target="https://www.jivi.com.ar/ficha.php?id=1531" TargetMode="External"/><Relationship Id="rId271" Type="http://schemas.openxmlformats.org/officeDocument/2006/relationships/hyperlink" Target="https://www.jivi.com.ar/ficha.php?id=1419" TargetMode="External"/><Relationship Id="rId24" Type="http://schemas.openxmlformats.org/officeDocument/2006/relationships/hyperlink" Target="https://www.jivi.com.ar/ficha.php?id=102" TargetMode="External"/><Relationship Id="rId66" Type="http://schemas.openxmlformats.org/officeDocument/2006/relationships/hyperlink" Target="https://www.jivi.com.ar/ficha.php?id=284" TargetMode="External"/><Relationship Id="rId131" Type="http://schemas.openxmlformats.org/officeDocument/2006/relationships/hyperlink" Target="https://www.jivi.com.ar/ficha.php?id=886" TargetMode="External"/><Relationship Id="rId327" Type="http://schemas.openxmlformats.org/officeDocument/2006/relationships/hyperlink" Target="httphttps://www.jivi.com.ar/ficha.php?id=1498" TargetMode="External"/><Relationship Id="rId369" Type="http://schemas.openxmlformats.org/officeDocument/2006/relationships/hyperlink" Target="https://www.jivi.com.ar/ficha.php?id=1562" TargetMode="External"/><Relationship Id="rId534" Type="http://schemas.openxmlformats.org/officeDocument/2006/relationships/hyperlink" Target="https://www.jivi.com.ar/ficha.php?id=1597" TargetMode="External"/><Relationship Id="rId576" Type="http://schemas.openxmlformats.org/officeDocument/2006/relationships/hyperlink" Target="https://www.jivi.com.ar/ficha.php?id=1601" TargetMode="External"/><Relationship Id="rId173" Type="http://schemas.openxmlformats.org/officeDocument/2006/relationships/hyperlink" Target="https://www.jivi.com.ar/ficha.php?id=1120" TargetMode="External"/><Relationship Id="rId229" Type="http://schemas.openxmlformats.org/officeDocument/2006/relationships/hyperlink" Target="https://www.jivi.com.ar/ficha.php?id=1333" TargetMode="External"/><Relationship Id="rId380" Type="http://schemas.openxmlformats.org/officeDocument/2006/relationships/hyperlink" Target="https://www.jivi.com.ar/ficha.php?id=1569" TargetMode="External"/><Relationship Id="rId436" Type="http://schemas.openxmlformats.org/officeDocument/2006/relationships/hyperlink" Target="https://www.jivi.com.ar/ficha.php?id=968" TargetMode="External"/><Relationship Id="rId240" Type="http://schemas.openxmlformats.org/officeDocument/2006/relationships/hyperlink" Target="https://www.jivi.com.ar/ficha.php?id=1378" TargetMode="External"/><Relationship Id="rId478" Type="http://schemas.openxmlformats.org/officeDocument/2006/relationships/hyperlink" Target="https://www.jivi.com.ar/ficha.php?id=1725" TargetMode="External"/><Relationship Id="rId35" Type="http://schemas.openxmlformats.org/officeDocument/2006/relationships/hyperlink" Target="https://www.jivi.com.ar/ficha.php?id=112" TargetMode="External"/><Relationship Id="rId77" Type="http://schemas.openxmlformats.org/officeDocument/2006/relationships/hyperlink" Target="https://www.jivi.com.ar/ficha.php?id=145" TargetMode="External"/><Relationship Id="rId100" Type="http://schemas.openxmlformats.org/officeDocument/2006/relationships/hyperlink" Target="https://www.jivi.com.ar/ficha.php?id=48" TargetMode="External"/><Relationship Id="rId282" Type="http://schemas.openxmlformats.org/officeDocument/2006/relationships/hyperlink" Target="https://www.jivi.com.ar/ficha.php?id=1432" TargetMode="External"/><Relationship Id="rId338" Type="http://schemas.openxmlformats.org/officeDocument/2006/relationships/hyperlink" Target="https://www.jivi.com.ar/ficha.php?id=1515" TargetMode="External"/><Relationship Id="rId503" Type="http://schemas.openxmlformats.org/officeDocument/2006/relationships/hyperlink" Target="https://www.jivi.com.ar/ficha.php?id=1304" TargetMode="External"/><Relationship Id="rId545" Type="http://schemas.openxmlformats.org/officeDocument/2006/relationships/hyperlink" Target="https://www.jivi.com.ar/ficha.php?id=1835" TargetMode="External"/><Relationship Id="rId587" Type="http://schemas.openxmlformats.org/officeDocument/2006/relationships/hyperlink" Target="https://www.jivi.com.ar/ficha.php?id=2011" TargetMode="External"/><Relationship Id="rId8" Type="http://schemas.openxmlformats.org/officeDocument/2006/relationships/hyperlink" Target="https://www.jivi.com.ar/ficha.php?id=717" TargetMode="External"/><Relationship Id="rId142" Type="http://schemas.openxmlformats.org/officeDocument/2006/relationships/hyperlink" Target="https://www.jivi.com.ar/ficha.php?id=967" TargetMode="External"/><Relationship Id="rId184" Type="http://schemas.openxmlformats.org/officeDocument/2006/relationships/hyperlink" Target="https://www.jivi.com.ar/ficha.php?id=488" TargetMode="External"/><Relationship Id="rId391" Type="http://schemas.openxmlformats.org/officeDocument/2006/relationships/hyperlink" Target="https://www.jivi.com.ar/ficha.php?id=1574" TargetMode="External"/><Relationship Id="rId405" Type="http://schemas.openxmlformats.org/officeDocument/2006/relationships/hyperlink" Target="https://www.jivi.com.ar/ficha.php?id=1593" TargetMode="External"/><Relationship Id="rId447" Type="http://schemas.openxmlformats.org/officeDocument/2006/relationships/hyperlink" Target="https://www.jivi.com.ar/ficha.php?id=1660" TargetMode="External"/><Relationship Id="rId251" Type="http://schemas.openxmlformats.org/officeDocument/2006/relationships/hyperlink" Target="https://www.jivi.com.ar/ficha.php?id=1394" TargetMode="External"/><Relationship Id="rId489" Type="http://schemas.openxmlformats.org/officeDocument/2006/relationships/hyperlink" Target="https://www.jivi.com.ar/ficha.php?id=1575" TargetMode="External"/><Relationship Id="rId46" Type="http://schemas.openxmlformats.org/officeDocument/2006/relationships/hyperlink" Target="https://www.jivi.com.ar/ficha.php?id=713" TargetMode="External"/><Relationship Id="rId293" Type="http://schemas.openxmlformats.org/officeDocument/2006/relationships/hyperlink" Target="https://www.jivi.com.ar/ficha.php?id=1446" TargetMode="External"/><Relationship Id="rId307" Type="http://schemas.openxmlformats.org/officeDocument/2006/relationships/hyperlink" Target="https://www.jivi.com.ar/ficha.php?id=1470" TargetMode="External"/><Relationship Id="rId349" Type="http://schemas.openxmlformats.org/officeDocument/2006/relationships/hyperlink" Target="https://www.jivi.com.ar/ficha.php?id=1540" TargetMode="External"/><Relationship Id="rId514" Type="http://schemas.openxmlformats.org/officeDocument/2006/relationships/hyperlink" Target="https://www.jivi.com.ar/ficha.php?id=1293" TargetMode="External"/><Relationship Id="rId556" Type="http://schemas.openxmlformats.org/officeDocument/2006/relationships/hyperlink" Target="https://www.jivi.com.ar/ficha.php?id=1733" TargetMode="External"/><Relationship Id="rId88" Type="http://schemas.openxmlformats.org/officeDocument/2006/relationships/hyperlink" Target="https://www.jivi.com.ar/ficha.php?id=166" TargetMode="External"/><Relationship Id="rId111" Type="http://schemas.openxmlformats.org/officeDocument/2006/relationships/hyperlink" Target="https://www.jivi.com.ar/ficha.php?id=566" TargetMode="External"/><Relationship Id="rId153" Type="http://schemas.openxmlformats.org/officeDocument/2006/relationships/hyperlink" Target="https://www.jivi.com.ar/ficha.php?id=1059" TargetMode="External"/><Relationship Id="rId195" Type="http://schemas.openxmlformats.org/officeDocument/2006/relationships/hyperlink" Target="https://www.jivi.com.ar/ficha.php?id=1219" TargetMode="External"/><Relationship Id="rId209" Type="http://schemas.openxmlformats.org/officeDocument/2006/relationships/hyperlink" Target="https://www.jivi.com.ar/ficha.php?id=1248" TargetMode="External"/><Relationship Id="rId360" Type="http://schemas.openxmlformats.org/officeDocument/2006/relationships/hyperlink" Target="https://www.jivi.com.ar/ficha.php?id=1553" TargetMode="External"/><Relationship Id="rId416" Type="http://schemas.openxmlformats.org/officeDocument/2006/relationships/hyperlink" Target="https://www.jivi.com.ar/ficha.php?id=1270" TargetMode="External"/><Relationship Id="rId220" Type="http://schemas.openxmlformats.org/officeDocument/2006/relationships/hyperlink" Target="https://www.jivi.com.ar/ficha.php?id=1303" TargetMode="External"/><Relationship Id="rId458" Type="http://schemas.openxmlformats.org/officeDocument/2006/relationships/hyperlink" Target="https://www.jivi.com.ar/ficha.php?id=1691" TargetMode="External"/><Relationship Id="rId15" Type="http://schemas.openxmlformats.org/officeDocument/2006/relationships/hyperlink" Target="https://www.jivi.com.ar/ficha.php?id=77" TargetMode="External"/><Relationship Id="rId57" Type="http://schemas.openxmlformats.org/officeDocument/2006/relationships/hyperlink" Target="https://www.jivi.com.ar/ficha.php?id=121" TargetMode="External"/><Relationship Id="rId262" Type="http://schemas.openxmlformats.org/officeDocument/2006/relationships/hyperlink" Target="https://www.jivi.com.ar/ficha.php?id=376" TargetMode="External"/><Relationship Id="rId318" Type="http://schemas.openxmlformats.org/officeDocument/2006/relationships/hyperlink" Target="https://www.jivi.com.ar/ficha.php?id=1483" TargetMode="External"/><Relationship Id="rId525" Type="http://schemas.openxmlformats.org/officeDocument/2006/relationships/hyperlink" Target="https://www.jivi.com.ar/ficha.php?id=1128" TargetMode="External"/><Relationship Id="rId567" Type="http://schemas.openxmlformats.org/officeDocument/2006/relationships/hyperlink" Target="https://www.jivi.com.ar/ficha.php?id=1916" TargetMode="External"/><Relationship Id="rId99" Type="http://schemas.openxmlformats.org/officeDocument/2006/relationships/hyperlink" Target="https://www.jivi.com.ar/ficha.php?id=728" TargetMode="External"/><Relationship Id="rId122" Type="http://schemas.openxmlformats.org/officeDocument/2006/relationships/hyperlink" Target="https://www.jivi.com.ar/ficha.php?id=840" TargetMode="External"/><Relationship Id="rId164" Type="http://schemas.openxmlformats.org/officeDocument/2006/relationships/hyperlink" Target="https://www.jivi.com.ar/ficha.php?id=1094" TargetMode="External"/><Relationship Id="rId371" Type="http://schemas.openxmlformats.org/officeDocument/2006/relationships/hyperlink" Target="https://www.jivi.com.ar/ficha.php?id=1414" TargetMode="External"/><Relationship Id="rId427" Type="http://schemas.openxmlformats.org/officeDocument/2006/relationships/hyperlink" Target="https://www.jivi.com.ar/ficha.php?id=1615" TargetMode="External"/><Relationship Id="rId469" Type="http://schemas.openxmlformats.org/officeDocument/2006/relationships/hyperlink" Target="https://www.jivi.com.ar/ficha.php?id=1704" TargetMode="External"/><Relationship Id="rId26" Type="http://schemas.openxmlformats.org/officeDocument/2006/relationships/hyperlink" Target="https://www.jivi.com.ar/ficha.php?id=104" TargetMode="External"/><Relationship Id="rId231" Type="http://schemas.openxmlformats.org/officeDocument/2006/relationships/hyperlink" Target="https://www.jivi.com.ar/ficha.php?id=1347" TargetMode="External"/><Relationship Id="rId273" Type="http://schemas.openxmlformats.org/officeDocument/2006/relationships/hyperlink" Target="https://www.jivi.com.ar/ficha.php?id=1281" TargetMode="External"/><Relationship Id="rId329" Type="http://schemas.openxmlformats.org/officeDocument/2006/relationships/hyperlink" Target="https://www.jivi.com.ar/ficha.php?id=1500" TargetMode="External"/><Relationship Id="rId480" Type="http://schemas.openxmlformats.org/officeDocument/2006/relationships/hyperlink" Target="https://www.jivi.com.ar/ficha.php?id=1728" TargetMode="External"/><Relationship Id="rId536" Type="http://schemas.openxmlformats.org/officeDocument/2006/relationships/hyperlink" Target="https://www.jivi.com.ar/ficha.php?id=1774" TargetMode="External"/><Relationship Id="rId68" Type="http://schemas.openxmlformats.org/officeDocument/2006/relationships/hyperlink" Target="https://www.jivi.com.ar/ficha.php?id=380" TargetMode="External"/><Relationship Id="rId133" Type="http://schemas.openxmlformats.org/officeDocument/2006/relationships/hyperlink" Target="https://www.jivi.com.ar/ficha.php?id=918" TargetMode="External"/><Relationship Id="rId175" Type="http://schemas.openxmlformats.org/officeDocument/2006/relationships/hyperlink" Target="https://www.jivi.com.ar/ficha.php?id=1157" TargetMode="External"/><Relationship Id="rId340" Type="http://schemas.openxmlformats.org/officeDocument/2006/relationships/hyperlink" Target="https://www.jivi.com.ar/ficha.php?id=1517" TargetMode="External"/><Relationship Id="rId578" Type="http://schemas.openxmlformats.org/officeDocument/2006/relationships/hyperlink" Target="https://www.jivi.com.ar/ficha.php?id=1245" TargetMode="External"/><Relationship Id="rId200" Type="http://schemas.openxmlformats.org/officeDocument/2006/relationships/hyperlink" Target="https://www.jivi.com.ar/ficha.php?id=1224" TargetMode="External"/><Relationship Id="rId382" Type="http://schemas.openxmlformats.org/officeDocument/2006/relationships/hyperlink" Target="https://www.jivi.com.ar/ficha.php?id=1571" TargetMode="External"/><Relationship Id="rId438" Type="http://schemas.openxmlformats.org/officeDocument/2006/relationships/hyperlink" Target="https://www.jivi.com.ar/ficha.php?id=1642" TargetMode="External"/><Relationship Id="rId242" Type="http://schemas.openxmlformats.org/officeDocument/2006/relationships/hyperlink" Target="https://www.jivi.com.ar/ficha.php?id=1383" TargetMode="External"/><Relationship Id="rId284" Type="http://schemas.openxmlformats.org/officeDocument/2006/relationships/hyperlink" Target="https://www.jivi.com.ar/ficha.php?id=1437" TargetMode="External"/><Relationship Id="rId491" Type="http://schemas.openxmlformats.org/officeDocument/2006/relationships/hyperlink" Target="https://www.jivi.com.ar/ficha.php?id=1744" TargetMode="External"/><Relationship Id="rId505" Type="http://schemas.openxmlformats.org/officeDocument/2006/relationships/hyperlink" Target="https://www.jivi.com.ar/ficha.php?id=1777" TargetMode="External"/><Relationship Id="rId37" Type="http://schemas.openxmlformats.org/officeDocument/2006/relationships/hyperlink" Target="https://www.jivi.com.ar/ficha.php?id=115" TargetMode="External"/><Relationship Id="rId79" Type="http://schemas.openxmlformats.org/officeDocument/2006/relationships/hyperlink" Target="https://www.jivi.com.ar/ficha.php?id=19" TargetMode="External"/><Relationship Id="rId102" Type="http://schemas.openxmlformats.org/officeDocument/2006/relationships/hyperlink" Target="https://www.jivi.com.ar/ficha.php?id=472" TargetMode="External"/><Relationship Id="rId144" Type="http://schemas.openxmlformats.org/officeDocument/2006/relationships/hyperlink" Target="https://www.jivi.com.ar/ficha.php?id=850" TargetMode="External"/><Relationship Id="rId547" Type="http://schemas.openxmlformats.org/officeDocument/2006/relationships/hyperlink" Target="https://www.jivi.com.ar/ficha.php?id=1152" TargetMode="External"/><Relationship Id="rId589" Type="http://schemas.openxmlformats.org/officeDocument/2006/relationships/hyperlink" Target="https://www.jivi.com.ar/ficha.php?id=2014" TargetMode="External"/><Relationship Id="rId90" Type="http://schemas.openxmlformats.org/officeDocument/2006/relationships/hyperlink" Target="https://www.jivi.com.ar/ficha.php?id=168" TargetMode="External"/><Relationship Id="rId186" Type="http://schemas.openxmlformats.org/officeDocument/2006/relationships/hyperlink" Target="https://www.jivi.com.ar/ficha.php?id=915" TargetMode="External"/><Relationship Id="rId351" Type="http://schemas.openxmlformats.org/officeDocument/2006/relationships/hyperlink" Target="https://www.jivi.com.ar/ficha.php?id=1542" TargetMode="External"/><Relationship Id="rId393" Type="http://schemas.openxmlformats.org/officeDocument/2006/relationships/hyperlink" Target="https://www.jivi.com.ar/ficha.php?id=1580" TargetMode="External"/><Relationship Id="rId407" Type="http://schemas.openxmlformats.org/officeDocument/2006/relationships/hyperlink" Target="https://www.jivi.com.ar/ficha.php?id=1596" TargetMode="External"/><Relationship Id="rId449" Type="http://schemas.openxmlformats.org/officeDocument/2006/relationships/hyperlink" Target="https://www.jivi.com.ar/ficha.php?id=440" TargetMode="External"/><Relationship Id="rId211" Type="http://schemas.openxmlformats.org/officeDocument/2006/relationships/hyperlink" Target="https://www.jivi.com.ar/ficha.php?id=1124" TargetMode="External"/><Relationship Id="rId253" Type="http://schemas.openxmlformats.org/officeDocument/2006/relationships/hyperlink" Target="https://www.jivi.com.ar/ficha.php?id=1399" TargetMode="External"/><Relationship Id="rId295" Type="http://schemas.openxmlformats.org/officeDocument/2006/relationships/hyperlink" Target="https://www.jivi.com.ar/ficha.php?id=1448" TargetMode="External"/><Relationship Id="rId309" Type="http://schemas.openxmlformats.org/officeDocument/2006/relationships/hyperlink" Target="https://www.jivi.com.ar/ficha.php?id=1472" TargetMode="External"/><Relationship Id="rId460" Type="http://schemas.openxmlformats.org/officeDocument/2006/relationships/hyperlink" Target="https://www.jivi.com.ar/ficha.php?id=1695" TargetMode="External"/><Relationship Id="rId516" Type="http://schemas.openxmlformats.org/officeDocument/2006/relationships/hyperlink" Target="https://www.jivi.com.ar/ficha.php?id=1265" TargetMode="External"/><Relationship Id="rId48" Type="http://schemas.openxmlformats.org/officeDocument/2006/relationships/hyperlink" Target="https://www.jivi.com.ar/ficha.php?id=404" TargetMode="External"/><Relationship Id="rId113" Type="http://schemas.openxmlformats.org/officeDocument/2006/relationships/hyperlink" Target="https://www.jivi.com.ar/ficha.php?id=214" TargetMode="External"/><Relationship Id="rId320" Type="http://schemas.openxmlformats.org/officeDocument/2006/relationships/hyperlink" Target="https://www.jivi.com.ar/ficha.php?id=1488" TargetMode="External"/><Relationship Id="rId558" Type="http://schemas.openxmlformats.org/officeDocument/2006/relationships/hyperlink" Target="https://www.jivi.com.ar/ficha.php?id=1530" TargetMode="External"/><Relationship Id="rId155" Type="http://schemas.openxmlformats.org/officeDocument/2006/relationships/hyperlink" Target="https://www.jivi.com.ar/ficha.php?id=1062" TargetMode="External"/><Relationship Id="rId197" Type="http://schemas.openxmlformats.org/officeDocument/2006/relationships/hyperlink" Target="https://www.jivi.com.ar/ficha.php?id=1222" TargetMode="External"/><Relationship Id="rId362" Type="http://schemas.openxmlformats.org/officeDocument/2006/relationships/hyperlink" Target="https://www.jivi.com.ar/ficha.php?id=1555" TargetMode="External"/><Relationship Id="rId418" Type="http://schemas.openxmlformats.org/officeDocument/2006/relationships/hyperlink" Target="https://www.jivi.com.ar/ficha.php?id=1608" TargetMode="External"/><Relationship Id="rId222" Type="http://schemas.openxmlformats.org/officeDocument/2006/relationships/hyperlink" Target="https://www.jivi.com.ar/ficha.php?id=1306" TargetMode="External"/><Relationship Id="rId264" Type="http://schemas.openxmlformats.org/officeDocument/2006/relationships/hyperlink" Target="https://www.jivi.com.ar/ficha.php?id=1393" TargetMode="External"/><Relationship Id="rId471" Type="http://schemas.openxmlformats.org/officeDocument/2006/relationships/hyperlink" Target="https://www.jivi.com.ar/ficha.php?id=1457" TargetMode="External"/><Relationship Id="rId17" Type="http://schemas.openxmlformats.org/officeDocument/2006/relationships/hyperlink" Target="https://www.jivi.com.ar/ficha.php?id=93" TargetMode="External"/><Relationship Id="rId59" Type="http://schemas.openxmlformats.org/officeDocument/2006/relationships/hyperlink" Target="https://www.jivi.com.ar/ficha.php?id=123" TargetMode="External"/><Relationship Id="rId124" Type="http://schemas.openxmlformats.org/officeDocument/2006/relationships/hyperlink" Target="https://www.jivi.com.ar/ficha.php?id=848" TargetMode="External"/><Relationship Id="rId527" Type="http://schemas.openxmlformats.org/officeDocument/2006/relationships/hyperlink" Target="https://www.jivi.com.ar/ficha.php?id=1804" TargetMode="External"/><Relationship Id="rId569" Type="http://schemas.openxmlformats.org/officeDocument/2006/relationships/hyperlink" Target="https://www.jivi.com.ar/ficha.php?id=1386" TargetMode="External"/><Relationship Id="rId70" Type="http://schemas.openxmlformats.org/officeDocument/2006/relationships/hyperlink" Target="https://www.jivi.com.ar/ficha.php?id=501" TargetMode="External"/><Relationship Id="rId166" Type="http://schemas.openxmlformats.org/officeDocument/2006/relationships/hyperlink" Target="https://www.jivi.com.ar/ficha.php?id=1097" TargetMode="External"/><Relationship Id="rId331" Type="http://schemas.openxmlformats.org/officeDocument/2006/relationships/hyperlink" Target="https://www.jivi.com.ar/ficha.php?id=1504" TargetMode="External"/><Relationship Id="rId373" Type="http://schemas.openxmlformats.org/officeDocument/2006/relationships/hyperlink" Target="https://www.jivi.com.ar/ficha.php?id=1407" TargetMode="External"/><Relationship Id="rId429" Type="http://schemas.openxmlformats.org/officeDocument/2006/relationships/hyperlink" Target="https://www.jivi.com.ar/ficha.php?id=1618" TargetMode="External"/><Relationship Id="rId580" Type="http://schemas.openxmlformats.org/officeDocument/2006/relationships/hyperlink" Target="https://www.jivi.com.ar/ficha.php?id=2007" TargetMode="External"/><Relationship Id="rId1" Type="http://schemas.openxmlformats.org/officeDocument/2006/relationships/hyperlink" Target="https://www.jivi.com.ar/ficha.php?id=27" TargetMode="External"/><Relationship Id="rId233" Type="http://schemas.openxmlformats.org/officeDocument/2006/relationships/hyperlink" Target="https://www.jivi.com.ar/ficha.php?id=1359" TargetMode="External"/><Relationship Id="rId440" Type="http://schemas.openxmlformats.org/officeDocument/2006/relationships/hyperlink" Target="https://www.jivi.com.ar/ficha.php?id=1641" TargetMode="External"/><Relationship Id="rId28" Type="http://schemas.openxmlformats.org/officeDocument/2006/relationships/hyperlink" Target="https://www.jivi.com.ar/ficha.php?id=106" TargetMode="External"/><Relationship Id="rId275" Type="http://schemas.openxmlformats.org/officeDocument/2006/relationships/hyperlink" Target="https://www.jivi.com.ar/ficha.php?id=1421" TargetMode="External"/><Relationship Id="rId300" Type="http://schemas.openxmlformats.org/officeDocument/2006/relationships/hyperlink" Target="https://www.jivi.com.ar/ficha.php?id=1454" TargetMode="External"/><Relationship Id="rId482" Type="http://schemas.openxmlformats.org/officeDocument/2006/relationships/hyperlink" Target="https://www.jivi.com.ar/ficha.php?id=1730" TargetMode="External"/><Relationship Id="rId538" Type="http://schemas.openxmlformats.org/officeDocument/2006/relationships/hyperlink" Target="https://www.jivi.com.ar/ficha.php?id=1544" TargetMode="External"/><Relationship Id="rId81" Type="http://schemas.openxmlformats.org/officeDocument/2006/relationships/hyperlink" Target="https://www.jivi.com.ar/ficha.php?id=392" TargetMode="External"/><Relationship Id="rId135" Type="http://schemas.openxmlformats.org/officeDocument/2006/relationships/hyperlink" Target="https://www.jivi.com.ar/ficha.php?id=938" TargetMode="External"/><Relationship Id="rId177" Type="http://schemas.openxmlformats.org/officeDocument/2006/relationships/hyperlink" Target="https://www.jivi.com.ar/ficha.php?id=1141" TargetMode="External"/><Relationship Id="rId342" Type="http://schemas.openxmlformats.org/officeDocument/2006/relationships/hyperlink" Target="https://www.jivi.com.ar/ficha.php?id=1559" TargetMode="External"/><Relationship Id="rId384" Type="http://schemas.openxmlformats.org/officeDocument/2006/relationships/hyperlink" Target="https://www.jivi.com.ar/ficha.php?id=1572" TargetMode="External"/><Relationship Id="rId591" Type="http://schemas.openxmlformats.org/officeDocument/2006/relationships/hyperlink" Target="https://www.jivi.com.ar/ficha.php?id=2018" TargetMode="External"/><Relationship Id="rId202" Type="http://schemas.openxmlformats.org/officeDocument/2006/relationships/hyperlink" Target="https://www.jivi.com.ar/ficha.php?id=1226" TargetMode="External"/><Relationship Id="rId244" Type="http://schemas.openxmlformats.org/officeDocument/2006/relationships/hyperlink" Target="https://www.jivi.com.ar/ficha.php?id=1428" TargetMode="External"/><Relationship Id="rId39" Type="http://schemas.openxmlformats.org/officeDocument/2006/relationships/hyperlink" Target="https://www.jivi.com.ar/ficha.php?id=117" TargetMode="External"/><Relationship Id="rId286" Type="http://schemas.openxmlformats.org/officeDocument/2006/relationships/hyperlink" Target="https://www.jivi.com.ar/ficha.php?id=1439" TargetMode="External"/><Relationship Id="rId451" Type="http://schemas.openxmlformats.org/officeDocument/2006/relationships/hyperlink" Target="https://www.jivi.com.ar/ficha.php?id=1666" TargetMode="External"/><Relationship Id="rId493" Type="http://schemas.openxmlformats.org/officeDocument/2006/relationships/hyperlink" Target="https://www.jivi.com.ar/ficha.php?id=1746" TargetMode="External"/><Relationship Id="rId507" Type="http://schemas.openxmlformats.org/officeDocument/2006/relationships/hyperlink" Target="https://www.jivi.com.ar/ficha.php?id=1709" TargetMode="External"/><Relationship Id="rId549" Type="http://schemas.openxmlformats.org/officeDocument/2006/relationships/hyperlink" Target="https://www.jivi.com.ar/ficha.php?id=1077" TargetMode="External"/><Relationship Id="rId50" Type="http://schemas.openxmlformats.org/officeDocument/2006/relationships/hyperlink" Target="https://www.jivi.com.ar/ficha.php?id=406" TargetMode="External"/><Relationship Id="rId104" Type="http://schemas.openxmlformats.org/officeDocument/2006/relationships/hyperlink" Target="http://whttps/www.jivi.com.ar/ficha.php?id=253" TargetMode="External"/><Relationship Id="rId146" Type="http://schemas.openxmlformats.org/officeDocument/2006/relationships/hyperlink" Target="https://www.jivi.com.ar/ficha.php?id=250" TargetMode="External"/><Relationship Id="rId188" Type="http://schemas.openxmlformats.org/officeDocument/2006/relationships/hyperlink" Target="https://www.jivi.com.ar/ficha.php?id=1183" TargetMode="External"/><Relationship Id="rId311" Type="http://schemas.openxmlformats.org/officeDocument/2006/relationships/hyperlink" Target="https://www.jivi.com.ar/ficha.php?id=995" TargetMode="External"/><Relationship Id="rId353" Type="http://schemas.openxmlformats.org/officeDocument/2006/relationships/hyperlink" Target="https://www.jivi.com.ar/ficha.php?id=1547" TargetMode="External"/><Relationship Id="rId395" Type="http://schemas.openxmlformats.org/officeDocument/2006/relationships/hyperlink" Target="https://www.jivi.com.ar/ficha.php?id=1583" TargetMode="External"/><Relationship Id="rId409" Type="http://schemas.openxmlformats.org/officeDocument/2006/relationships/hyperlink" Target="https://www.jivi.com.ar/ficha.php?id=1599" TargetMode="External"/><Relationship Id="rId560" Type="http://schemas.openxmlformats.org/officeDocument/2006/relationships/hyperlink" Target="https://www.jivi.com.ar/ficha.php?id=1380" TargetMode="External"/><Relationship Id="rId92" Type="http://schemas.openxmlformats.org/officeDocument/2006/relationships/hyperlink" Target="https://www.jivi.com.ar/ficha.php?id=148" TargetMode="External"/><Relationship Id="rId213" Type="http://schemas.openxmlformats.org/officeDocument/2006/relationships/hyperlink" Target="https://www.jivi.com.ar/ficha.php?id=1267" TargetMode="External"/><Relationship Id="rId420" Type="http://schemas.openxmlformats.org/officeDocument/2006/relationships/hyperlink" Target="https://www.jivi.com.ar/ficha.php?id=1274" TargetMode="External"/><Relationship Id="rId255" Type="http://schemas.openxmlformats.org/officeDocument/2006/relationships/hyperlink" Target="https://www.jivi.com.ar/ficha.php?id=1400" TargetMode="External"/><Relationship Id="rId297" Type="http://schemas.openxmlformats.org/officeDocument/2006/relationships/hyperlink" Target="https://www.jivi.com.ar/ficha.php?id=1560" TargetMode="External"/><Relationship Id="rId462" Type="http://schemas.openxmlformats.org/officeDocument/2006/relationships/hyperlink" Target="https://www.jivi.com.ar/ficha.php?id=1697" TargetMode="External"/><Relationship Id="rId518" Type="http://schemas.openxmlformats.org/officeDocument/2006/relationships/hyperlink" Target="https://www.jivi.com.ar/ficha.php?id=1308" TargetMode="External"/><Relationship Id="rId115" Type="http://schemas.openxmlformats.org/officeDocument/2006/relationships/hyperlink" Target="https://www.jivi.com.ar/ficha.php?id=234" TargetMode="External"/><Relationship Id="rId157" Type="http://schemas.openxmlformats.org/officeDocument/2006/relationships/hyperlink" Target="https://www.jivi.com.ar/ficha.php?id=1080" TargetMode="External"/><Relationship Id="rId322" Type="http://schemas.openxmlformats.org/officeDocument/2006/relationships/hyperlink" Target="https://www.jivi.com.ar/ficha.php?id=1493" TargetMode="External"/><Relationship Id="rId364" Type="http://schemas.openxmlformats.org/officeDocument/2006/relationships/hyperlink" Target="https://www.jivi.com.ar/ficha.php?id=1558" TargetMode="External"/><Relationship Id="rId61" Type="http://schemas.openxmlformats.org/officeDocument/2006/relationships/hyperlink" Target="https://www.jivi.com.ar/ficha.php?id=125" TargetMode="External"/><Relationship Id="rId199" Type="http://schemas.openxmlformats.org/officeDocument/2006/relationships/hyperlink" Target="https://www.jivi.com.ar/ficha.php?id=904" TargetMode="External"/><Relationship Id="rId571" Type="http://schemas.openxmlformats.org/officeDocument/2006/relationships/hyperlink" Target="https://www.jivi.com.ar/ficha.php?id=1566" TargetMode="External"/><Relationship Id="rId19" Type="http://schemas.openxmlformats.org/officeDocument/2006/relationships/hyperlink" Target="https://www.jivi.com.ar/ficha.php?id=97" TargetMode="External"/><Relationship Id="rId224" Type="http://schemas.openxmlformats.org/officeDocument/2006/relationships/hyperlink" Target="https://www.jivi.com.ar/ficha.php?id=1290" TargetMode="External"/><Relationship Id="rId266" Type="http://schemas.openxmlformats.org/officeDocument/2006/relationships/hyperlink" Target="https://www.jivi.com.ar/ficha.php?id=1413" TargetMode="External"/><Relationship Id="rId431" Type="http://schemas.openxmlformats.org/officeDocument/2006/relationships/hyperlink" Target="https://www.jivi.com.ar/ficha.php?id=1620" TargetMode="External"/><Relationship Id="rId473" Type="http://schemas.openxmlformats.org/officeDocument/2006/relationships/hyperlink" Target="https://www.jivi.com.ar/ficha.php?id=1707" TargetMode="External"/><Relationship Id="rId529" Type="http://schemas.openxmlformats.org/officeDocument/2006/relationships/hyperlink" Target="https://www.jivi.com.ar/ficha.php?id=1342" TargetMode="External"/><Relationship Id="rId30" Type="http://schemas.openxmlformats.org/officeDocument/2006/relationships/hyperlink" Target="https://www.jivi.com.ar/ficha.php?id=108" TargetMode="External"/><Relationship Id="rId126" Type="http://schemas.openxmlformats.org/officeDocument/2006/relationships/hyperlink" Target="https://www.jivi.com.ar/ficha.php?id=862" TargetMode="External"/><Relationship Id="rId168" Type="http://schemas.openxmlformats.org/officeDocument/2006/relationships/hyperlink" Target="https://www.jivi.com.ar/ficha.php?id=885" TargetMode="External"/><Relationship Id="rId333" Type="http://schemas.openxmlformats.org/officeDocument/2006/relationships/hyperlink" Target="https://www.jivi.com.ar/ficha.php?id=1506" TargetMode="External"/><Relationship Id="rId540" Type="http://schemas.openxmlformats.org/officeDocument/2006/relationships/hyperlink" Target="https://www.jivi.com.ar/ficha.php?id=1556" TargetMode="External"/><Relationship Id="rId72" Type="http://schemas.openxmlformats.org/officeDocument/2006/relationships/hyperlink" Target="https://www.jivi.com.ar/ficha.php?id=326" TargetMode="External"/><Relationship Id="rId375" Type="http://schemas.openxmlformats.org/officeDocument/2006/relationships/hyperlink" Target="https://www.jivi.com.ar/ficha.php?id=1408" TargetMode="External"/><Relationship Id="rId582" Type="http://schemas.openxmlformats.org/officeDocument/2006/relationships/hyperlink" Target="https://www.jivi.com.ar/ficha.php?id=2008" TargetMode="External"/><Relationship Id="rId3" Type="http://schemas.openxmlformats.org/officeDocument/2006/relationships/hyperlink" Target="https://www.jivi.com.ar/ficha.php?id=723" TargetMode="External"/><Relationship Id="rId235" Type="http://schemas.openxmlformats.org/officeDocument/2006/relationships/hyperlink" Target="https://www.jivi.com.ar/ficha.php?id=1365" TargetMode="External"/><Relationship Id="rId277" Type="http://schemas.openxmlformats.org/officeDocument/2006/relationships/hyperlink" Target="https://www.jivi.com.ar/ficha.php?id=1423" TargetMode="External"/><Relationship Id="rId400" Type="http://schemas.openxmlformats.org/officeDocument/2006/relationships/hyperlink" Target="https://www.jivi.com.ar/ficha.php?id=1588" TargetMode="External"/><Relationship Id="rId442" Type="http://schemas.openxmlformats.org/officeDocument/2006/relationships/hyperlink" Target="https://www.jivi.com.ar/ficha.php?id=1637" TargetMode="External"/><Relationship Id="rId484" Type="http://schemas.openxmlformats.org/officeDocument/2006/relationships/hyperlink" Target="https://www.jivi.com.ar/ficha.php?id=1732" TargetMode="External"/><Relationship Id="rId137" Type="http://schemas.openxmlformats.org/officeDocument/2006/relationships/hyperlink" Target="https://www.jivi.com.ar/ficha.php?id=948" TargetMode="External"/><Relationship Id="rId302" Type="http://schemas.openxmlformats.org/officeDocument/2006/relationships/hyperlink" Target="https://www.jivi.com.ar/ficha.php?id=1463" TargetMode="External"/><Relationship Id="rId344" Type="http://schemas.openxmlformats.org/officeDocument/2006/relationships/hyperlink" Target="https://www.jivi.com.ar/ficha.php?id=1532" TargetMode="External"/><Relationship Id="rId41" Type="http://schemas.openxmlformats.org/officeDocument/2006/relationships/hyperlink" Target="https://www.jivi.com.ar/ficha.php?id=400" TargetMode="External"/><Relationship Id="rId83" Type="http://schemas.openxmlformats.org/officeDocument/2006/relationships/hyperlink" Target="https://www.jivi.com.ar/ficha.php?id=135" TargetMode="External"/><Relationship Id="rId179" Type="http://schemas.openxmlformats.org/officeDocument/2006/relationships/hyperlink" Target="https://www.jivi.com.ar/ficha.php?id=1156" TargetMode="External"/><Relationship Id="rId386" Type="http://schemas.openxmlformats.org/officeDocument/2006/relationships/hyperlink" Target="https://www.jivi.com.ar/ficha.php?id=1294" TargetMode="External"/><Relationship Id="rId551" Type="http://schemas.openxmlformats.org/officeDocument/2006/relationships/hyperlink" Target="https://www.jivi.com.ar/ficha.php?id=1616" TargetMode="External"/><Relationship Id="rId593" Type="http://schemas.openxmlformats.org/officeDocument/2006/relationships/printerSettings" Target="../printerSettings/printerSettings1.bin"/><Relationship Id="rId190" Type="http://schemas.openxmlformats.org/officeDocument/2006/relationships/hyperlink" Target="https://www.jivi.com.ar/ficha.php?id=349" TargetMode="External"/><Relationship Id="rId204" Type="http://schemas.openxmlformats.org/officeDocument/2006/relationships/hyperlink" Target="https://www.jivi.com.ar/ficha.php?id=1060" TargetMode="External"/><Relationship Id="rId246" Type="http://schemas.openxmlformats.org/officeDocument/2006/relationships/hyperlink" Target="https://www.jivi.com.ar/ficha.php?id=1387" TargetMode="External"/><Relationship Id="rId288" Type="http://schemas.openxmlformats.org/officeDocument/2006/relationships/hyperlink" Target="https://www.jivi.com.ar/ficha.php?id=1427" TargetMode="External"/><Relationship Id="rId411" Type="http://schemas.openxmlformats.org/officeDocument/2006/relationships/hyperlink" Target="https://www.jivi.com.ar/ficha.php?id=1603" TargetMode="External"/><Relationship Id="rId453" Type="http://schemas.openxmlformats.org/officeDocument/2006/relationships/hyperlink" Target="https://www.jivi.com.ar/ficha.php?id=1684" TargetMode="External"/><Relationship Id="rId509" Type="http://schemas.openxmlformats.org/officeDocument/2006/relationships/hyperlink" Target="https://www.jivi.com.ar/ficha.php?id=1736" TargetMode="External"/><Relationship Id="rId106" Type="http://schemas.openxmlformats.org/officeDocument/2006/relationships/hyperlink" Target="https://www.jivi.com.ar/ficha.php?id=23" TargetMode="External"/><Relationship Id="rId313" Type="http://schemas.openxmlformats.org/officeDocument/2006/relationships/hyperlink" Target="https://www.jivi.com.ar/ficha.php?id=835" TargetMode="External"/><Relationship Id="rId495" Type="http://schemas.openxmlformats.org/officeDocument/2006/relationships/hyperlink" Target="https://www.jivi.com.ar/ficha.php?id=1748" TargetMode="External"/><Relationship Id="rId10" Type="http://schemas.openxmlformats.org/officeDocument/2006/relationships/hyperlink" Target="https://www.jivi.com.ar/ficha.php?id=41" TargetMode="External"/><Relationship Id="rId52" Type="http://schemas.openxmlformats.org/officeDocument/2006/relationships/hyperlink" Target="https://www.jivi.com.ar/ficha.php?id=408" TargetMode="External"/><Relationship Id="rId94" Type="http://schemas.openxmlformats.org/officeDocument/2006/relationships/hyperlink" Target="https://www.jivi.com.ar/ficha.php?id=621" TargetMode="External"/><Relationship Id="rId148" Type="http://schemas.openxmlformats.org/officeDocument/2006/relationships/hyperlink" Target="https://www.jivi.com.ar/ficha.php?id=1023" TargetMode="External"/><Relationship Id="rId355" Type="http://schemas.openxmlformats.org/officeDocument/2006/relationships/hyperlink" Target="https://www.jivi.com.ar/ficha.php?id=1548" TargetMode="External"/><Relationship Id="rId397" Type="http://schemas.openxmlformats.org/officeDocument/2006/relationships/hyperlink" Target="https://www.jivi.com.ar/ficha.php?id=1586" TargetMode="External"/><Relationship Id="rId520" Type="http://schemas.openxmlformats.org/officeDocument/2006/relationships/hyperlink" Target="https://www.jivi.com.ar/ficha.php?id=1790" TargetMode="External"/><Relationship Id="rId562" Type="http://schemas.openxmlformats.org/officeDocument/2006/relationships/hyperlink" Target="https://www.jivi.com.ar/ficha.php?id=1371" TargetMode="External"/><Relationship Id="rId215" Type="http://schemas.openxmlformats.org/officeDocument/2006/relationships/hyperlink" Target="https://www.jivi.com.ar/ficha.php?id=1277" TargetMode="External"/><Relationship Id="rId257" Type="http://schemas.openxmlformats.org/officeDocument/2006/relationships/hyperlink" Target="https://www.jivi.com.ar/ficha.php?id=1392" TargetMode="External"/><Relationship Id="rId422" Type="http://schemas.openxmlformats.org/officeDocument/2006/relationships/hyperlink" Target="https://www.jivi.com.ar/ficha.php?id=1611" TargetMode="External"/><Relationship Id="rId464" Type="http://schemas.openxmlformats.org/officeDocument/2006/relationships/hyperlink" Target="https://www.jivi.com.ar/ficha.php?id=1699" TargetMode="External"/><Relationship Id="rId299" Type="http://schemas.openxmlformats.org/officeDocument/2006/relationships/hyperlink" Target="https://www.jivi.com.ar/ficha.php?id=1063" TargetMode="External"/><Relationship Id="rId63" Type="http://schemas.openxmlformats.org/officeDocument/2006/relationships/hyperlink" Target="https://www.jivi.com.ar/ficha.php?id=4" TargetMode="External"/><Relationship Id="rId159" Type="http://schemas.openxmlformats.org/officeDocument/2006/relationships/hyperlink" Target="https://www.jivi.com.ar/ficha.php?id=1088" TargetMode="External"/><Relationship Id="rId366" Type="http://schemas.openxmlformats.org/officeDocument/2006/relationships/hyperlink" Target="https://www.jivi.com.ar/ficha.php?id=1561" TargetMode="External"/><Relationship Id="rId573" Type="http://schemas.openxmlformats.org/officeDocument/2006/relationships/hyperlink" Target="https://www.jivi.com.ar/ficha.php?id=1411" TargetMode="External"/><Relationship Id="rId226" Type="http://schemas.openxmlformats.org/officeDocument/2006/relationships/hyperlink" Target="https://www.jivi.com.ar/ficha.php?id=1314" TargetMode="External"/><Relationship Id="rId433" Type="http://schemas.openxmlformats.org/officeDocument/2006/relationships/hyperlink" Target="https://www.jivi.com.ar/ficha.php?id=1621" TargetMode="External"/><Relationship Id="rId74" Type="http://schemas.openxmlformats.org/officeDocument/2006/relationships/hyperlink" Target="https://www.jivi.com.ar/ficha.php?id=10" TargetMode="External"/><Relationship Id="rId377" Type="http://schemas.openxmlformats.org/officeDocument/2006/relationships/hyperlink" Target="https://www.jivi.com.ar/ficha.php?id=1434" TargetMode="External"/><Relationship Id="rId500" Type="http://schemas.openxmlformats.org/officeDocument/2006/relationships/hyperlink" Target="https://www.jivi.com.ar/ficha.php?id=1461" TargetMode="External"/><Relationship Id="rId584" Type="http://schemas.openxmlformats.org/officeDocument/2006/relationships/hyperlink" Target="https://www.jivi.com.ar/ficha.php?id=1658" TargetMode="External"/><Relationship Id="rId5" Type="http://schemas.openxmlformats.org/officeDocument/2006/relationships/hyperlink" Target="https://www.jivi.com.ar/ficha.php?id=727" TargetMode="External"/><Relationship Id="rId237" Type="http://schemas.openxmlformats.org/officeDocument/2006/relationships/hyperlink" Target="https://www.jivi.com.ar/registro.php" TargetMode="External"/><Relationship Id="rId444" Type="http://schemas.openxmlformats.org/officeDocument/2006/relationships/hyperlink" Target="https://www.jivi.com.ar/ficha.php?id=1655" TargetMode="External"/><Relationship Id="rId290" Type="http://schemas.openxmlformats.org/officeDocument/2006/relationships/hyperlink" Target="https://www.jivi.com.ar/ficha.php?id=1056" TargetMode="External"/><Relationship Id="rId304" Type="http://schemas.openxmlformats.org/officeDocument/2006/relationships/hyperlink" Target="https://www.jivi.com.ar/ficha.php?id=1466" TargetMode="External"/><Relationship Id="rId388" Type="http://schemas.openxmlformats.org/officeDocument/2006/relationships/hyperlink" Target="https://www.jivi.com.ar/ficha.php?id=1296" TargetMode="External"/><Relationship Id="rId511" Type="http://schemas.openxmlformats.org/officeDocument/2006/relationships/hyperlink" Target="https://www.jivi.com.ar/ficha.php?id=1779" TargetMode="External"/><Relationship Id="rId85" Type="http://schemas.openxmlformats.org/officeDocument/2006/relationships/hyperlink" Target="https://www.jivi.com.ar/ficha.php?id=137" TargetMode="External"/><Relationship Id="rId150" Type="http://schemas.openxmlformats.org/officeDocument/2006/relationships/hyperlink" Target="https://www.jivi.com.ar/ficha.php?id=647" TargetMode="External"/><Relationship Id="rId595" Type="http://schemas.openxmlformats.org/officeDocument/2006/relationships/vmlDrawing" Target="../drawings/vmlDrawing1.vml"/><Relationship Id="rId248" Type="http://schemas.openxmlformats.org/officeDocument/2006/relationships/hyperlink" Target="https://www.jivi.com.ar/ficha.php?id=363" TargetMode="External"/><Relationship Id="rId455" Type="http://schemas.openxmlformats.org/officeDocument/2006/relationships/hyperlink" Target="https://www.jivi.com.ar/ficha.php?id=1687" TargetMode="External"/><Relationship Id="rId12" Type="http://schemas.openxmlformats.org/officeDocument/2006/relationships/hyperlink" Target="https://www.jivi.com.ar/ficha.php?id=649" TargetMode="External"/><Relationship Id="rId108" Type="http://schemas.openxmlformats.org/officeDocument/2006/relationships/hyperlink" Target="https://www.jivi.com.ar/ficha.php?id=221" TargetMode="External"/><Relationship Id="rId315" Type="http://schemas.openxmlformats.org/officeDocument/2006/relationships/hyperlink" Target="https://www.jivi.com.ar/ficha.php?id=1479" TargetMode="External"/><Relationship Id="rId522" Type="http://schemas.openxmlformats.org/officeDocument/2006/relationships/hyperlink" Target="https://www.jivi.com.ar/ficha.php?id=1791" TargetMode="External"/><Relationship Id="rId96" Type="http://schemas.openxmlformats.org/officeDocument/2006/relationships/hyperlink" Target="https://www.jivi.com.ar/ficha.php?id=456" TargetMode="External"/><Relationship Id="rId161" Type="http://schemas.openxmlformats.org/officeDocument/2006/relationships/hyperlink" Target="https://www.jivi.com.ar/ficha.php?id=1090" TargetMode="External"/><Relationship Id="rId399" Type="http://schemas.openxmlformats.org/officeDocument/2006/relationships/hyperlink" Target="https://www.jivi.com.ar/ficha.php?id=1221" TargetMode="External"/><Relationship Id="rId259" Type="http://schemas.openxmlformats.org/officeDocument/2006/relationships/hyperlink" Target="https://www.jivi.com.ar/ficha.php?id=1110" TargetMode="External"/><Relationship Id="rId466" Type="http://schemas.openxmlformats.org/officeDocument/2006/relationships/hyperlink" Target="https://www.jivi.com.ar/ficha.php?id=1462" TargetMode="External"/><Relationship Id="rId23" Type="http://schemas.openxmlformats.org/officeDocument/2006/relationships/hyperlink" Target="https://www.jivi.com.ar/ficha.php?id=101" TargetMode="External"/><Relationship Id="rId119" Type="http://schemas.openxmlformats.org/officeDocument/2006/relationships/hyperlink" Target="https://www.jivi.com.ar/ficha.php?id=707" TargetMode="External"/><Relationship Id="rId326" Type="http://schemas.openxmlformats.org/officeDocument/2006/relationships/hyperlink" Target="https://www.jivi.com.ar/ficha.php?id=1497" TargetMode="External"/><Relationship Id="rId533" Type="http://schemas.openxmlformats.org/officeDocument/2006/relationships/hyperlink" Target="https://www.jivi.com.ar/ficha.php?id=1453" TargetMode="External"/><Relationship Id="rId172" Type="http://schemas.openxmlformats.org/officeDocument/2006/relationships/hyperlink" Target="https://www.jivi.com.ar/ficha.php?id=1119" TargetMode="External"/><Relationship Id="rId477" Type="http://schemas.openxmlformats.org/officeDocument/2006/relationships/hyperlink" Target="https://www.jivi.com.ar/ficha.php?id=1723" TargetMode="External"/><Relationship Id="rId337" Type="http://schemas.openxmlformats.org/officeDocument/2006/relationships/hyperlink" Target="https://www.jivi.com.ar/ficha.php?id=1511" TargetMode="External"/><Relationship Id="rId34" Type="http://schemas.openxmlformats.org/officeDocument/2006/relationships/hyperlink" Target="https://www.jivi.com.ar/ficha.php?id=113" TargetMode="External"/><Relationship Id="rId544" Type="http://schemas.openxmlformats.org/officeDocument/2006/relationships/hyperlink" Target="https://www.jivi.com.ar/ficha.php?id=1594" TargetMode="External"/><Relationship Id="rId183" Type="http://schemas.openxmlformats.org/officeDocument/2006/relationships/hyperlink" Target="https://www.jivi.com.ar/ficha.php?id=975" TargetMode="External"/><Relationship Id="rId390" Type="http://schemas.openxmlformats.org/officeDocument/2006/relationships/hyperlink" Target="https://www.jivi.com.ar/ficha.php?id=1249" TargetMode="External"/><Relationship Id="rId404" Type="http://schemas.openxmlformats.org/officeDocument/2006/relationships/hyperlink" Target="https://www.jivi.com.ar/ficha.php?id=1592" TargetMode="External"/><Relationship Id="rId250" Type="http://schemas.openxmlformats.org/officeDocument/2006/relationships/hyperlink" Target="https://www.jivi.com.ar/ficha.php?id=1343" TargetMode="External"/><Relationship Id="rId488" Type="http://schemas.openxmlformats.org/officeDocument/2006/relationships/hyperlink" Target="https://www.jivi.com.ar/ficha.php?id=1742" TargetMode="External"/><Relationship Id="rId45" Type="http://schemas.openxmlformats.org/officeDocument/2006/relationships/hyperlink" Target="https://www.jivi.com.ar/ficha.php?id=638" TargetMode="External"/><Relationship Id="rId110" Type="http://schemas.openxmlformats.org/officeDocument/2006/relationships/hyperlink" Target="https://www.jivi.com.ar/ficha.php?id=568" TargetMode="External"/><Relationship Id="rId348" Type="http://schemas.openxmlformats.org/officeDocument/2006/relationships/hyperlink" Target="https://www.jivi.com.ar/ficha.php?id=1539" TargetMode="External"/><Relationship Id="rId555" Type="http://schemas.openxmlformats.org/officeDocument/2006/relationships/hyperlink" Target="https://www.jivi.com.ar/ficha.php?id=10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"/>
  <dimension ref="A1:AM1559"/>
  <sheetViews>
    <sheetView tabSelected="1" zoomScaleNormal="100" zoomScaleSheetLayoutView="100" workbookViewId="0">
      <pane ySplit="2" topLeftCell="A3" activePane="bottomLeft" state="frozen"/>
      <selection pane="bottomLeft" activeCell="A2" sqref="A2"/>
    </sheetView>
  </sheetViews>
  <sheetFormatPr baseColWidth="10" defaultColWidth="9.140625" defaultRowHeight="12.75" x14ac:dyDescent="0.2"/>
  <cols>
    <col min="1" max="1" width="5.140625" style="9" customWidth="1"/>
    <col min="2" max="2" width="14" customWidth="1"/>
    <col min="3" max="3" width="11.42578125" customWidth="1"/>
    <col min="4" max="4" width="5.7109375" customWidth="1"/>
    <col min="5" max="5" width="12.42578125" customWidth="1"/>
    <col min="6" max="6" width="0.28515625" style="2" customWidth="1"/>
    <col min="7" max="7" width="5.85546875" style="1" customWidth="1"/>
    <col min="8" max="8" width="0.28515625" customWidth="1"/>
    <col min="9" max="9" width="6" customWidth="1"/>
    <col min="10" max="10" width="0.28515625" customWidth="1"/>
    <col min="11" max="11" width="6" customWidth="1"/>
    <col min="12" max="12" width="0.28515625" customWidth="1"/>
    <col min="13" max="13" width="6" customWidth="1"/>
    <col min="14" max="14" width="0.28515625" customWidth="1"/>
    <col min="15" max="15" width="6" customWidth="1"/>
    <col min="16" max="16" width="0.28515625" customWidth="1"/>
    <col min="17" max="17" width="5.7109375" customWidth="1"/>
    <col min="18" max="18" width="0.28515625" customWidth="1"/>
    <col min="19" max="19" width="5.7109375" customWidth="1"/>
    <col min="20" max="20" width="0.28515625" customWidth="1"/>
    <col min="21" max="21" width="5.7109375" customWidth="1"/>
    <col min="22" max="22" width="0.28515625" style="5" customWidth="1"/>
    <col min="23" max="23" width="5.7109375" style="5" customWidth="1"/>
    <col min="24" max="24" width="11.7109375" style="3" customWidth="1"/>
    <col min="25" max="25" width="7.42578125" style="3" customWidth="1"/>
    <col min="26" max="26" width="5.7109375" style="3" customWidth="1"/>
    <col min="27" max="27" width="6.85546875" style="3" customWidth="1"/>
    <col min="28" max="28" width="8.7109375" style="3" customWidth="1"/>
    <col min="29" max="29" width="5.7109375" style="3" customWidth="1"/>
    <col min="30" max="30" width="3.140625" style="3" customWidth="1"/>
    <col min="31" max="31" width="4.42578125" style="3" customWidth="1"/>
    <col min="32" max="32" width="4.85546875" style="3" customWidth="1"/>
    <col min="33" max="34" width="4.28515625" style="3" customWidth="1"/>
    <col min="35" max="35" width="5.28515625" style="3" customWidth="1"/>
    <col min="36" max="36" width="10.85546875" style="3" customWidth="1"/>
    <col min="37" max="38" width="11.42578125" style="3" customWidth="1"/>
    <col min="39" max="256" width="11.42578125" customWidth="1"/>
  </cols>
  <sheetData>
    <row r="1" spans="1:39" ht="16.5" customHeight="1" x14ac:dyDescent="0.2">
      <c r="A1" s="18"/>
      <c r="B1" s="1113" t="s">
        <v>0</v>
      </c>
      <c r="C1" s="1114"/>
      <c r="D1" s="1114"/>
      <c r="E1" s="1114"/>
      <c r="F1" s="1114"/>
      <c r="G1" s="1114"/>
      <c r="H1" s="1114"/>
      <c r="I1" s="1114"/>
      <c r="J1" s="1114"/>
      <c r="K1" s="1114"/>
      <c r="L1" s="1114"/>
      <c r="M1" s="1114"/>
      <c r="N1" s="1114"/>
      <c r="O1" s="1114"/>
      <c r="P1" s="1114"/>
      <c r="Q1" s="1114"/>
      <c r="R1" s="1114"/>
      <c r="S1" s="1114"/>
      <c r="T1" s="1114"/>
      <c r="U1" s="1114"/>
      <c r="V1" s="1114"/>
      <c r="W1" s="1115"/>
      <c r="X1" s="514">
        <v>1</v>
      </c>
      <c r="Y1" s="1105" t="s">
        <v>1</v>
      </c>
      <c r="Z1" s="1106"/>
      <c r="AA1" s="1106"/>
      <c r="AB1" s="1106"/>
      <c r="AC1" s="1106"/>
      <c r="AD1" s="1107"/>
      <c r="AE1" s="1102" t="s">
        <v>2</v>
      </c>
      <c r="AF1" s="1103"/>
      <c r="AG1" s="1103"/>
      <c r="AH1" s="1103"/>
      <c r="AI1" s="1104"/>
      <c r="AJ1" s="1100" t="s">
        <v>3</v>
      </c>
      <c r="AK1" s="56"/>
      <c r="AL1" s="56"/>
      <c r="AM1" s="54"/>
    </row>
    <row r="2" spans="1:39" ht="14.25" customHeight="1" x14ac:dyDescent="0.2">
      <c r="A2" s="18"/>
      <c r="B2" s="1157" t="s">
        <v>926</v>
      </c>
      <c r="C2" s="1158"/>
      <c r="D2" s="1158"/>
      <c r="E2" s="1158"/>
      <c r="F2" s="1158"/>
      <c r="G2" s="1158"/>
      <c r="H2" s="1158"/>
      <c r="I2" s="1158"/>
      <c r="J2" s="1158"/>
      <c r="K2" s="1158"/>
      <c r="L2" s="1158"/>
      <c r="M2" s="1158"/>
      <c r="N2" s="1158"/>
      <c r="O2" s="1158"/>
      <c r="P2" s="1158"/>
      <c r="Q2" s="1158"/>
      <c r="R2" s="1158"/>
      <c r="S2" s="1158"/>
      <c r="T2" s="1158"/>
      <c r="U2" s="1158"/>
      <c r="V2" s="1159"/>
      <c r="W2" s="1160"/>
      <c r="X2" s="515">
        <v>1027</v>
      </c>
      <c r="Y2" s="1117" t="s">
        <v>4</v>
      </c>
      <c r="Z2" s="1118"/>
      <c r="AA2" s="1118"/>
      <c r="AB2" s="1118"/>
      <c r="AC2" s="1118"/>
      <c r="AD2" s="1119"/>
      <c r="AE2" s="1111" t="s">
        <v>5</v>
      </c>
      <c r="AF2" s="1112"/>
      <c r="AG2" s="1112"/>
      <c r="AH2" s="516"/>
      <c r="AI2" s="517"/>
      <c r="AJ2" s="1101"/>
      <c r="AK2" s="177"/>
      <c r="AL2" s="177"/>
      <c r="AM2" s="54"/>
    </row>
    <row r="3" spans="1:39" ht="15.75" customHeight="1" x14ac:dyDescent="0.2">
      <c r="A3" s="18"/>
      <c r="B3" s="1126"/>
      <c r="C3" s="1127"/>
      <c r="D3" s="1128"/>
      <c r="E3" s="1150" t="s">
        <v>6</v>
      </c>
      <c r="F3" s="1151"/>
      <c r="G3" s="1151"/>
      <c r="H3" s="1151"/>
      <c r="I3" s="1151"/>
      <c r="J3" s="1151"/>
      <c r="K3" s="1151"/>
      <c r="L3" s="1151"/>
      <c r="M3" s="1151"/>
      <c r="N3" s="1151"/>
      <c r="O3" s="1151"/>
      <c r="P3" s="1151"/>
      <c r="Q3" s="1151"/>
      <c r="R3" s="1151"/>
      <c r="S3" s="1151"/>
      <c r="T3" s="1151"/>
      <c r="U3" s="1151"/>
      <c r="V3" s="1152"/>
      <c r="W3" s="1153"/>
      <c r="X3" s="1116" t="s">
        <v>390</v>
      </c>
      <c r="Y3" s="783"/>
      <c r="Z3" s="783"/>
      <c r="AA3" s="783"/>
      <c r="AB3" s="783"/>
      <c r="AC3" s="783"/>
      <c r="AD3" s="784"/>
      <c r="AE3" s="1109"/>
      <c r="AF3" s="1110"/>
      <c r="AG3" s="1110"/>
      <c r="AH3" s="1110"/>
      <c r="AI3" s="1110"/>
      <c r="AJ3" s="13"/>
      <c r="AK3" s="13"/>
      <c r="AL3" s="13"/>
      <c r="AM3" s="55"/>
    </row>
    <row r="4" spans="1:39" ht="21.75" customHeight="1" x14ac:dyDescent="0.2">
      <c r="A4" s="18"/>
      <c r="B4" s="1129"/>
      <c r="C4" s="1130"/>
      <c r="D4" s="1131"/>
      <c r="E4" s="1154" t="s">
        <v>7</v>
      </c>
      <c r="F4" s="1155"/>
      <c r="G4" s="1155"/>
      <c r="H4" s="1155"/>
      <c r="I4" s="1155"/>
      <c r="J4" s="1155"/>
      <c r="K4" s="1155"/>
      <c r="L4" s="1155"/>
      <c r="M4" s="1155"/>
      <c r="N4" s="1155"/>
      <c r="O4" s="1155"/>
      <c r="P4" s="1155"/>
      <c r="Q4" s="1155"/>
      <c r="R4" s="1155"/>
      <c r="S4" s="1155"/>
      <c r="T4" s="1155"/>
      <c r="U4" s="1155"/>
      <c r="V4" s="1155"/>
      <c r="W4" s="1156"/>
      <c r="X4" s="785"/>
      <c r="Y4" s="786"/>
      <c r="Z4" s="786"/>
      <c r="AA4" s="786"/>
      <c r="AB4" s="786"/>
      <c r="AC4" s="786"/>
      <c r="AD4" s="787"/>
      <c r="AE4" s="1110"/>
      <c r="AF4" s="1110"/>
      <c r="AG4" s="1110"/>
      <c r="AH4" s="1110"/>
      <c r="AI4" s="1110"/>
      <c r="AJ4" s="13"/>
      <c r="AK4" s="13"/>
      <c r="AL4" s="13"/>
      <c r="AM4" s="55"/>
    </row>
    <row r="5" spans="1:39" ht="23.25" customHeight="1" x14ac:dyDescent="0.2">
      <c r="A5" s="18"/>
      <c r="B5" s="1132"/>
      <c r="C5" s="1133"/>
      <c r="D5" s="1134"/>
      <c r="E5" s="1135" t="s">
        <v>8</v>
      </c>
      <c r="F5" s="1136"/>
      <c r="G5" s="1136"/>
      <c r="H5" s="1136"/>
      <c r="I5" s="1136"/>
      <c r="J5" s="1136"/>
      <c r="K5" s="1136"/>
      <c r="L5" s="1136"/>
      <c r="M5" s="1136"/>
      <c r="N5" s="1136"/>
      <c r="O5" s="1136"/>
      <c r="P5" s="1136"/>
      <c r="Q5" s="1136"/>
      <c r="R5" s="1136"/>
      <c r="S5" s="1136"/>
      <c r="T5" s="1136"/>
      <c r="U5" s="1136"/>
      <c r="V5" s="1136"/>
      <c r="W5" s="1137"/>
      <c r="X5" s="1141"/>
      <c r="Y5" s="1142"/>
      <c r="Z5" s="1142"/>
      <c r="AA5" s="1142"/>
      <c r="AB5" s="1142"/>
      <c r="AC5" s="1142"/>
      <c r="AD5" s="1143"/>
      <c r="AE5" s="1164"/>
      <c r="AF5" s="1164"/>
      <c r="AG5" s="1164"/>
      <c r="AH5" s="1164"/>
      <c r="AI5" s="1164"/>
      <c r="AJ5" s="13"/>
      <c r="AK5" s="13"/>
      <c r="AL5" s="13"/>
      <c r="AM5" s="55"/>
    </row>
    <row r="6" spans="1:39" ht="12" customHeight="1" x14ac:dyDescent="0.2">
      <c r="A6" s="18"/>
      <c r="B6" s="1138" t="s">
        <v>9</v>
      </c>
      <c r="C6" s="1139"/>
      <c r="D6" s="1139"/>
      <c r="E6" s="1139"/>
      <c r="F6" s="1139"/>
      <c r="G6" s="1139"/>
      <c r="H6" s="1139"/>
      <c r="I6" s="1139"/>
      <c r="J6" s="1139"/>
      <c r="K6" s="1139"/>
      <c r="L6" s="1139"/>
      <c r="M6" s="1139"/>
      <c r="N6" s="1139"/>
      <c r="O6" s="1139"/>
      <c r="P6" s="1139"/>
      <c r="Q6" s="1139"/>
      <c r="R6" s="1139"/>
      <c r="S6" s="1139"/>
      <c r="T6" s="1139"/>
      <c r="U6" s="1139"/>
      <c r="V6" s="1139"/>
      <c r="W6" s="1140"/>
      <c r="X6" s="1144"/>
      <c r="Y6" s="1145"/>
      <c r="Z6" s="1145"/>
      <c r="AA6" s="1145"/>
      <c r="AB6" s="1145"/>
      <c r="AC6" s="1145"/>
      <c r="AD6" s="1146"/>
      <c r="AE6" s="1164"/>
      <c r="AF6" s="1164"/>
      <c r="AG6" s="1164"/>
      <c r="AH6" s="1164"/>
      <c r="AI6" s="1164"/>
      <c r="AJ6" s="13"/>
      <c r="AK6" s="13"/>
      <c r="AL6" s="13"/>
      <c r="AM6" s="55"/>
    </row>
    <row r="7" spans="1:39" ht="13.5" customHeight="1" x14ac:dyDescent="0.2">
      <c r="A7" s="18"/>
      <c r="B7" s="1161" t="s">
        <v>10</v>
      </c>
      <c r="C7" s="1162"/>
      <c r="D7" s="1162"/>
      <c r="E7" s="1162"/>
      <c r="F7" s="1162"/>
      <c r="G7" s="1162"/>
      <c r="H7" s="1162"/>
      <c r="I7" s="1162"/>
      <c r="J7" s="1162"/>
      <c r="K7" s="1162"/>
      <c r="L7" s="1162"/>
      <c r="M7" s="1162"/>
      <c r="N7" s="1162"/>
      <c r="O7" s="1162"/>
      <c r="P7" s="1162"/>
      <c r="Q7" s="1162"/>
      <c r="R7" s="1162"/>
      <c r="S7" s="1162"/>
      <c r="T7" s="1162"/>
      <c r="U7" s="1162"/>
      <c r="V7" s="1162"/>
      <c r="W7" s="1163"/>
      <c r="X7" s="1147"/>
      <c r="Y7" s="1148"/>
      <c r="Z7" s="1148"/>
      <c r="AA7" s="1148"/>
      <c r="AB7" s="1148"/>
      <c r="AC7" s="1148"/>
      <c r="AD7" s="1149"/>
      <c r="AE7" s="1164"/>
      <c r="AF7" s="1164"/>
      <c r="AG7" s="1164"/>
      <c r="AH7" s="1164"/>
      <c r="AI7" s="1164"/>
    </row>
    <row r="8" spans="1:39" ht="14.25" customHeight="1" x14ac:dyDescent="0.2">
      <c r="A8" s="18"/>
      <c r="B8" s="740" t="s">
        <v>11</v>
      </c>
      <c r="C8" s="706" t="s">
        <v>12</v>
      </c>
      <c r="D8" s="707"/>
      <c r="E8" s="707"/>
      <c r="F8" s="708" t="s">
        <v>13</v>
      </c>
      <c r="G8" s="708" t="s">
        <v>13</v>
      </c>
      <c r="H8" s="781" t="s">
        <v>838</v>
      </c>
      <c r="I8" s="781"/>
      <c r="J8" s="782"/>
      <c r="K8" s="782"/>
      <c r="L8" s="782"/>
      <c r="M8" s="782"/>
      <c r="N8" s="782"/>
      <c r="O8" s="782"/>
      <c r="P8" s="782"/>
      <c r="Q8" s="782"/>
      <c r="R8" s="782"/>
      <c r="S8" s="782"/>
      <c r="T8" s="782"/>
      <c r="U8" s="782"/>
      <c r="V8" s="782"/>
      <c r="W8" s="782"/>
      <c r="X8" s="771" t="s">
        <v>14</v>
      </c>
      <c r="Y8" s="772"/>
      <c r="Z8" s="772"/>
      <c r="AA8" s="773"/>
      <c r="AB8" s="779" t="s">
        <v>15</v>
      </c>
      <c r="AC8" s="1120" t="s">
        <v>16</v>
      </c>
      <c r="AD8" s="1121"/>
      <c r="AE8" s="1121"/>
      <c r="AF8" s="1121"/>
      <c r="AG8" s="1121"/>
      <c r="AH8" s="1121"/>
      <c r="AI8" s="1122"/>
    </row>
    <row r="9" spans="1:39" ht="11.25" customHeight="1" x14ac:dyDescent="0.2">
      <c r="A9" s="18"/>
      <c r="B9" s="740"/>
      <c r="C9" s="707"/>
      <c r="D9" s="707"/>
      <c r="E9" s="707"/>
      <c r="F9" s="709"/>
      <c r="G9" s="709"/>
      <c r="H9" s="512"/>
      <c r="I9" s="510" t="s">
        <v>295</v>
      </c>
      <c r="J9" s="512"/>
      <c r="K9" s="510" t="s">
        <v>17</v>
      </c>
      <c r="L9" s="513"/>
      <c r="M9" s="513" t="s">
        <v>18</v>
      </c>
      <c r="N9" s="513"/>
      <c r="O9" s="510" t="s">
        <v>19</v>
      </c>
      <c r="P9" s="513"/>
      <c r="Q9" s="513" t="s">
        <v>297</v>
      </c>
      <c r="R9" s="513"/>
      <c r="S9" s="513" t="s">
        <v>20</v>
      </c>
      <c r="T9" s="513"/>
      <c r="U9" s="513" t="s">
        <v>21</v>
      </c>
      <c r="V9" s="513"/>
      <c r="W9" s="513" t="s">
        <v>22</v>
      </c>
      <c r="X9" s="774"/>
      <c r="Y9" s="775"/>
      <c r="Z9" s="775"/>
      <c r="AA9" s="776"/>
      <c r="AB9" s="780"/>
      <c r="AC9" s="1123"/>
      <c r="AD9" s="1124"/>
      <c r="AE9" s="1124"/>
      <c r="AF9" s="1124"/>
      <c r="AG9" s="1124"/>
      <c r="AH9" s="1124"/>
      <c r="AI9" s="1125"/>
    </row>
    <row r="10" spans="1:39" ht="12.6" customHeight="1" x14ac:dyDescent="0.2">
      <c r="A10" s="18"/>
      <c r="B10" s="1179" t="s">
        <v>725</v>
      </c>
      <c r="C10" s="1180"/>
      <c r="D10" s="1180"/>
      <c r="E10" s="1181"/>
      <c r="F10" s="314">
        <v>557</v>
      </c>
      <c r="G10" s="321">
        <f t="shared" ref="G10" si="0">+F10*$X$1</f>
        <v>557</v>
      </c>
      <c r="H10" s="519"/>
      <c r="I10" s="537"/>
      <c r="J10" s="87">
        <f>F10+120</f>
        <v>677</v>
      </c>
      <c r="K10" s="314"/>
      <c r="L10" s="104"/>
      <c r="M10" s="314"/>
      <c r="N10" s="538">
        <f>F10+55</f>
        <v>612</v>
      </c>
      <c r="O10" s="293">
        <f t="shared" ref="O10" si="1">+N10*$X$1</f>
        <v>612</v>
      </c>
      <c r="P10" s="538">
        <f>F10+50</f>
        <v>607</v>
      </c>
      <c r="Q10" s="293">
        <f t="shared" ref="Q10" si="2">+P10*$X$1</f>
        <v>607</v>
      </c>
      <c r="R10" s="538">
        <f>F10+42</f>
        <v>599</v>
      </c>
      <c r="S10" s="293">
        <f t="shared" ref="S10" si="3">+R10*$X$1</f>
        <v>599</v>
      </c>
      <c r="T10" s="538">
        <f>F10+35</f>
        <v>592</v>
      </c>
      <c r="U10" s="293">
        <f t="shared" ref="U10" si="4">+T10*$X$1</f>
        <v>592</v>
      </c>
      <c r="V10" s="538">
        <f>F10+30</f>
        <v>587</v>
      </c>
      <c r="W10" s="293">
        <f t="shared" ref="W10" si="5">+V10*$X$1</f>
        <v>587</v>
      </c>
      <c r="X10" s="132"/>
      <c r="Y10" s="132"/>
      <c r="Z10" s="132"/>
      <c r="AA10" s="132"/>
      <c r="AB10" s="421">
        <v>13</v>
      </c>
      <c r="AE10" s="62"/>
      <c r="AF10" s="1108" t="s">
        <v>874</v>
      </c>
      <c r="AG10" s="1108"/>
      <c r="AH10" s="1108"/>
    </row>
    <row r="11" spans="1:39" ht="12.6" customHeight="1" x14ac:dyDescent="0.2">
      <c r="A11" s="18"/>
      <c r="B11" s="809" t="s">
        <v>848</v>
      </c>
      <c r="C11" s="647"/>
      <c r="D11" s="647"/>
      <c r="E11" s="648"/>
      <c r="F11" s="294">
        <v>1063</v>
      </c>
      <c r="G11" s="320">
        <f t="shared" ref="G11" si="6">+F11*$X$1</f>
        <v>1063</v>
      </c>
      <c r="H11" s="285"/>
      <c r="I11" s="354"/>
      <c r="J11" s="90">
        <f>F11+120</f>
        <v>1183</v>
      </c>
      <c r="K11" s="294"/>
      <c r="L11" s="493"/>
      <c r="M11" s="294"/>
      <c r="N11" s="493">
        <f>F11+55</f>
        <v>1118</v>
      </c>
      <c r="O11" s="294">
        <f t="shared" ref="O11:O12" si="7">+N11*$X$1</f>
        <v>1118</v>
      </c>
      <c r="P11" s="493">
        <f>F11+50</f>
        <v>1113</v>
      </c>
      <c r="Q11" s="294">
        <f t="shared" ref="Q11:Q12" si="8">+P11*$X$1</f>
        <v>1113</v>
      </c>
      <c r="R11" s="493">
        <f>F11+42</f>
        <v>1105</v>
      </c>
      <c r="S11" s="294">
        <f t="shared" ref="S11:S12" si="9">+R11*$X$1</f>
        <v>1105</v>
      </c>
      <c r="T11" s="493">
        <f>F11+35</f>
        <v>1098</v>
      </c>
      <c r="U11" s="294">
        <f t="shared" ref="U11:U12" si="10">+T11*$X$1</f>
        <v>1098</v>
      </c>
      <c r="V11" s="493">
        <f>F11+30</f>
        <v>1093</v>
      </c>
      <c r="W11" s="294">
        <f t="shared" ref="W11:W12" si="11">+V11*$X$1</f>
        <v>1093</v>
      </c>
      <c r="X11" s="132"/>
      <c r="Y11" s="132"/>
      <c r="Z11" s="132"/>
      <c r="AA11" s="132"/>
      <c r="AB11" s="35"/>
      <c r="AE11" s="62"/>
      <c r="AF11" s="1108" t="s">
        <v>23</v>
      </c>
      <c r="AG11" s="1108"/>
      <c r="AH11" s="1108"/>
    </row>
    <row r="12" spans="1:39" ht="12.6" customHeight="1" x14ac:dyDescent="0.2">
      <c r="A12" s="18"/>
      <c r="B12" s="765" t="s">
        <v>724</v>
      </c>
      <c r="C12" s="645"/>
      <c r="D12" s="645"/>
      <c r="E12" s="645"/>
      <c r="F12" s="293">
        <v>1163</v>
      </c>
      <c r="G12" s="321">
        <f t="shared" ref="G12:G13" si="12">+F12*$X$1</f>
        <v>1163</v>
      </c>
      <c r="H12" s="286"/>
      <c r="I12" s="353"/>
      <c r="J12" s="72"/>
      <c r="K12" s="293"/>
      <c r="L12" s="538"/>
      <c r="M12" s="293"/>
      <c r="N12" s="538">
        <f>F12+55</f>
        <v>1218</v>
      </c>
      <c r="O12" s="293">
        <f t="shared" si="7"/>
        <v>1218</v>
      </c>
      <c r="P12" s="538">
        <f>F12+50</f>
        <v>1213</v>
      </c>
      <c r="Q12" s="293">
        <f t="shared" si="8"/>
        <v>1213</v>
      </c>
      <c r="R12" s="538">
        <f>F12+42</f>
        <v>1205</v>
      </c>
      <c r="S12" s="293">
        <f t="shared" si="9"/>
        <v>1205</v>
      </c>
      <c r="T12" s="538">
        <f>F12+35</f>
        <v>1198</v>
      </c>
      <c r="U12" s="293">
        <f t="shared" si="10"/>
        <v>1198</v>
      </c>
      <c r="V12" s="538">
        <f>F12+30</f>
        <v>1193</v>
      </c>
      <c r="W12" s="293">
        <f t="shared" si="11"/>
        <v>1193</v>
      </c>
      <c r="X12" s="132"/>
      <c r="Y12" s="132"/>
      <c r="Z12" s="132"/>
      <c r="AA12" s="132"/>
      <c r="AB12" s="421">
        <v>15</v>
      </c>
      <c r="AE12" s="62"/>
      <c r="AF12" s="1108" t="s">
        <v>430</v>
      </c>
      <c r="AG12" s="1108"/>
      <c r="AH12" s="1108"/>
    </row>
    <row r="13" spans="1:39" ht="12.6" customHeight="1" x14ac:dyDescent="0.2">
      <c r="A13" s="18"/>
      <c r="B13" s="809" t="s">
        <v>432</v>
      </c>
      <c r="C13" s="647"/>
      <c r="D13" s="647"/>
      <c r="E13" s="648"/>
      <c r="F13" s="294">
        <v>510</v>
      </c>
      <c r="G13" s="320">
        <f t="shared" si="12"/>
        <v>510</v>
      </c>
      <c r="H13" s="285"/>
      <c r="I13" s="354"/>
      <c r="J13" s="493">
        <f>F13+120</f>
        <v>630</v>
      </c>
      <c r="K13" s="294">
        <f t="shared" ref="K13:K14" si="13">+J13*$X$1</f>
        <v>630</v>
      </c>
      <c r="L13" s="493">
        <f>F13+90</f>
        <v>600</v>
      </c>
      <c r="M13" s="294">
        <f t="shared" ref="M13:M14" si="14">+L13*$X$1</f>
        <v>600</v>
      </c>
      <c r="N13" s="493">
        <f>F13+55</f>
        <v>565</v>
      </c>
      <c r="O13" s="294">
        <f t="shared" ref="O13:O14" si="15">+N13*$X$1</f>
        <v>565</v>
      </c>
      <c r="P13" s="493">
        <f>F13+49</f>
        <v>559</v>
      </c>
      <c r="Q13" s="294">
        <f t="shared" ref="Q13:Q14" si="16">+P13*$X$1</f>
        <v>559</v>
      </c>
      <c r="R13" s="493">
        <f>F13+42</f>
        <v>552</v>
      </c>
      <c r="S13" s="294">
        <f t="shared" ref="S13:S14" si="17">+R13*$X$1</f>
        <v>552</v>
      </c>
      <c r="T13" s="493">
        <f>F13+34</f>
        <v>544</v>
      </c>
      <c r="U13" s="294">
        <f t="shared" ref="U13:U14" si="18">+T13*$X$1</f>
        <v>544</v>
      </c>
      <c r="V13" s="493"/>
      <c r="W13" s="294"/>
      <c r="X13" s="132"/>
      <c r="Y13" s="132"/>
      <c r="Z13" s="132"/>
      <c r="AA13" s="132"/>
      <c r="AB13" s="421">
        <v>17</v>
      </c>
      <c r="AE13" s="62"/>
      <c r="AF13" s="1108" t="s">
        <v>382</v>
      </c>
      <c r="AG13" s="1108"/>
      <c r="AH13" s="1108"/>
      <c r="AI13" s="62"/>
    </row>
    <row r="14" spans="1:39" ht="12.6" customHeight="1" x14ac:dyDescent="0.2">
      <c r="A14" s="18"/>
      <c r="B14" s="800" t="s">
        <v>739</v>
      </c>
      <c r="C14" s="717"/>
      <c r="D14" s="717"/>
      <c r="E14" s="718"/>
      <c r="F14" s="397">
        <f>27.8*X2</f>
        <v>28550.600000000002</v>
      </c>
      <c r="G14" s="321">
        <f>+F14*$X$1</f>
        <v>28550.600000000002</v>
      </c>
      <c r="H14" s="539">
        <f>F14+400</f>
        <v>28950.600000000002</v>
      </c>
      <c r="I14" s="293">
        <f t="shared" ref="I14" si="19">+H14*$X$1</f>
        <v>28950.600000000002</v>
      </c>
      <c r="J14" s="538">
        <f>F14+150</f>
        <v>28700.600000000002</v>
      </c>
      <c r="K14" s="293">
        <f t="shared" si="13"/>
        <v>28700.600000000002</v>
      </c>
      <c r="L14" s="538">
        <f>F14+100</f>
        <v>28650.600000000002</v>
      </c>
      <c r="M14" s="293">
        <f t="shared" si="14"/>
        <v>28650.600000000002</v>
      </c>
      <c r="N14" s="538">
        <f>F14+70</f>
        <v>28620.600000000002</v>
      </c>
      <c r="O14" s="293">
        <f t="shared" si="15"/>
        <v>28620.600000000002</v>
      </c>
      <c r="P14" s="538">
        <f>F14+60</f>
        <v>28610.600000000002</v>
      </c>
      <c r="Q14" s="293">
        <f t="shared" si="16"/>
        <v>28610.600000000002</v>
      </c>
      <c r="R14" s="538">
        <f>F14+55</f>
        <v>28605.600000000002</v>
      </c>
      <c r="S14" s="293">
        <f t="shared" si="17"/>
        <v>28605.600000000002</v>
      </c>
      <c r="T14" s="538">
        <f>F14+49</f>
        <v>28599.600000000002</v>
      </c>
      <c r="U14" s="293">
        <f t="shared" si="18"/>
        <v>28599.600000000002</v>
      </c>
      <c r="V14" s="538"/>
      <c r="W14" s="293"/>
      <c r="X14" s="658"/>
      <c r="Y14" s="653"/>
      <c r="Z14" s="653"/>
      <c r="AA14" s="654"/>
      <c r="AB14" s="421">
        <v>18</v>
      </c>
      <c r="AE14" s="73"/>
      <c r="AF14" s="1108" t="s">
        <v>383</v>
      </c>
      <c r="AG14" s="1108"/>
      <c r="AH14" s="1108"/>
      <c r="AI14" s="597"/>
    </row>
    <row r="15" spans="1:39" ht="12.6" customHeight="1" x14ac:dyDescent="0.2">
      <c r="A15" s="98"/>
      <c r="B15" s="809" t="s">
        <v>25</v>
      </c>
      <c r="C15" s="647"/>
      <c r="D15" s="647"/>
      <c r="E15" s="648"/>
      <c r="F15" s="396">
        <f>4.1*X2</f>
        <v>4210.7</v>
      </c>
      <c r="G15" s="320">
        <f>+F15*$X$1</f>
        <v>4210.7</v>
      </c>
      <c r="H15" s="498">
        <f>F15+400</f>
        <v>4610.7</v>
      </c>
      <c r="I15" s="294">
        <f t="shared" ref="I15:I16" si="20">+H15*$X$1</f>
        <v>4610.7</v>
      </c>
      <c r="J15" s="493"/>
      <c r="K15" s="296"/>
      <c r="L15" s="493"/>
      <c r="M15" s="294"/>
      <c r="N15" s="493"/>
      <c r="O15" s="294"/>
      <c r="P15" s="103"/>
      <c r="Q15" s="1170" t="s">
        <v>152</v>
      </c>
      <c r="R15" s="1171"/>
      <c r="S15" s="1171"/>
      <c r="T15" s="1171"/>
      <c r="U15" s="1171"/>
      <c r="V15" s="1171"/>
      <c r="W15" s="1172"/>
      <c r="X15" s="658"/>
      <c r="Y15" s="653"/>
      <c r="Z15" s="653"/>
      <c r="AA15" s="654"/>
      <c r="AB15" s="421">
        <v>24</v>
      </c>
      <c r="AE15" s="73"/>
      <c r="AF15" s="1165" t="s">
        <v>24</v>
      </c>
      <c r="AG15" s="1165"/>
      <c r="AH15" s="1165"/>
      <c r="AI15" s="1165"/>
      <c r="AJ15" s="99"/>
    </row>
    <row r="16" spans="1:39" ht="12.6" customHeight="1" x14ac:dyDescent="0.2">
      <c r="A16" s="127"/>
      <c r="B16" s="805" t="s">
        <v>570</v>
      </c>
      <c r="C16" s="806"/>
      <c r="D16" s="806"/>
      <c r="E16" s="807"/>
      <c r="F16" s="397">
        <f>4.1*X2</f>
        <v>4210.7</v>
      </c>
      <c r="G16" s="321">
        <f>+F16*$X$1</f>
        <v>4210.7</v>
      </c>
      <c r="H16" s="336">
        <f>F16+400</f>
        <v>4610.7</v>
      </c>
      <c r="I16" s="293">
        <f t="shared" si="20"/>
        <v>4610.7</v>
      </c>
      <c r="J16" s="538"/>
      <c r="K16" s="295"/>
      <c r="L16" s="113"/>
      <c r="M16" s="295"/>
      <c r="N16" s="113">
        <f>F16+40</f>
        <v>4250.7</v>
      </c>
      <c r="O16" s="293"/>
      <c r="P16" s="286"/>
      <c r="Q16" s="1173" t="s">
        <v>152</v>
      </c>
      <c r="R16" s="1174"/>
      <c r="S16" s="1174"/>
      <c r="T16" s="1174"/>
      <c r="U16" s="1174"/>
      <c r="V16" s="1174"/>
      <c r="W16" s="1175"/>
      <c r="X16" s="246"/>
      <c r="Y16" s="196"/>
      <c r="Z16" s="196"/>
      <c r="AA16" s="195"/>
      <c r="AB16" s="421">
        <v>25</v>
      </c>
      <c r="AE16" s="73"/>
      <c r="AF16" s="1165" t="s">
        <v>915</v>
      </c>
      <c r="AG16" s="1165"/>
      <c r="AH16" s="1165"/>
      <c r="AI16" s="1165"/>
      <c r="AJ16" s="99"/>
    </row>
    <row r="17" spans="1:37" ht="12.6" customHeight="1" x14ac:dyDescent="0.2">
      <c r="A17" s="126"/>
      <c r="B17" s="809" t="s">
        <v>26</v>
      </c>
      <c r="C17" s="647"/>
      <c r="D17" s="647"/>
      <c r="E17" s="648"/>
      <c r="F17" s="294"/>
      <c r="G17" s="350"/>
      <c r="H17" s="285"/>
      <c r="I17" s="354"/>
      <c r="J17" s="493"/>
      <c r="K17" s="296"/>
      <c r="L17" s="493"/>
      <c r="M17" s="294"/>
      <c r="N17" s="493"/>
      <c r="O17" s="294"/>
      <c r="P17" s="103"/>
      <c r="Q17" s="294"/>
      <c r="R17" s="493"/>
      <c r="S17" s="294"/>
      <c r="T17" s="493"/>
      <c r="U17" s="294"/>
      <c r="V17" s="96"/>
      <c r="W17" s="294"/>
      <c r="X17" s="658"/>
      <c r="Y17" s="653"/>
      <c r="Z17" s="653"/>
      <c r="AA17" s="654"/>
      <c r="AB17" s="35"/>
      <c r="AF17" s="1165" t="s">
        <v>395</v>
      </c>
      <c r="AG17" s="1165"/>
      <c r="AH17" s="1165"/>
      <c r="AI17" s="1166"/>
      <c r="AJ17" s="1166"/>
    </row>
    <row r="18" spans="1:37" ht="12.6" customHeight="1" x14ac:dyDescent="0.2">
      <c r="A18" s="18"/>
      <c r="B18" s="805" t="s">
        <v>27</v>
      </c>
      <c r="C18" s="650"/>
      <c r="D18" s="650"/>
      <c r="E18" s="651"/>
      <c r="F18" s="293">
        <v>4171</v>
      </c>
      <c r="G18" s="321">
        <f t="shared" ref="G18:G24" si="21">+F18*$X$1</f>
        <v>4171</v>
      </c>
      <c r="H18" s="539">
        <f>F18+400</f>
        <v>4571</v>
      </c>
      <c r="I18" s="293">
        <f t="shared" ref="I18:I19" si="22">+H18*$X$1</f>
        <v>4571</v>
      </c>
      <c r="J18" s="538">
        <f>F18+150</f>
        <v>4321</v>
      </c>
      <c r="K18" s="293">
        <f t="shared" ref="K18:K19" si="23">+J18*$X$1</f>
        <v>4321</v>
      </c>
      <c r="L18" s="538">
        <f>F18+100</f>
        <v>4271</v>
      </c>
      <c r="M18" s="293">
        <f t="shared" ref="M18:M19" si="24">+L18*$X$1</f>
        <v>4271</v>
      </c>
      <c r="N18" s="538">
        <f>F18+70</f>
        <v>4241</v>
      </c>
      <c r="O18" s="293">
        <f t="shared" ref="O18:O19" si="25">+N18*$X$1</f>
        <v>4241</v>
      </c>
      <c r="P18" s="538">
        <f>F18+60</f>
        <v>4231</v>
      </c>
      <c r="Q18" s="293">
        <f t="shared" ref="Q18:Q19" si="26">+P18*$X$1</f>
        <v>4231</v>
      </c>
      <c r="R18" s="538">
        <f>F18+55</f>
        <v>4226</v>
      </c>
      <c r="S18" s="293">
        <f t="shared" ref="S18:S19" si="27">+R18*$X$1</f>
        <v>4226</v>
      </c>
      <c r="T18" s="538">
        <f>F18+49</f>
        <v>4220</v>
      </c>
      <c r="U18" s="293">
        <f t="shared" ref="U18:U19" si="28">+T18*$X$1</f>
        <v>4220</v>
      </c>
      <c r="V18" s="538"/>
      <c r="W18" s="293"/>
      <c r="X18" s="658"/>
      <c r="Y18" s="653"/>
      <c r="Z18" s="653"/>
      <c r="AA18" s="654"/>
      <c r="AB18" s="421" t="s">
        <v>28</v>
      </c>
      <c r="AE18" s="73"/>
      <c r="AF18" s="1165" t="s">
        <v>396</v>
      </c>
      <c r="AG18" s="1165"/>
      <c r="AH18" s="1165"/>
      <c r="AI18" s="1165"/>
      <c r="AJ18" s="74"/>
    </row>
    <row r="19" spans="1:37" ht="12.6" customHeight="1" x14ac:dyDescent="0.2">
      <c r="A19" s="18"/>
      <c r="B19" s="797" t="s">
        <v>29</v>
      </c>
      <c r="C19" s="643"/>
      <c r="D19" s="643"/>
      <c r="E19" s="643"/>
      <c r="F19" s="294">
        <v>4171</v>
      </c>
      <c r="G19" s="320">
        <f t="shared" ref="G19" si="29">+F19*$X$1</f>
        <v>4171</v>
      </c>
      <c r="H19" s="540">
        <f>F19+400</f>
        <v>4571</v>
      </c>
      <c r="I19" s="294">
        <f t="shared" si="22"/>
        <v>4571</v>
      </c>
      <c r="J19" s="493">
        <f>F19+150</f>
        <v>4321</v>
      </c>
      <c r="K19" s="294">
        <f t="shared" si="23"/>
        <v>4321</v>
      </c>
      <c r="L19" s="493">
        <f>F19+100</f>
        <v>4271</v>
      </c>
      <c r="M19" s="294">
        <f t="shared" si="24"/>
        <v>4271</v>
      </c>
      <c r="N19" s="493">
        <f>F19+70</f>
        <v>4241</v>
      </c>
      <c r="O19" s="294">
        <f t="shared" si="25"/>
        <v>4241</v>
      </c>
      <c r="P19" s="493">
        <f>F19+60</f>
        <v>4231</v>
      </c>
      <c r="Q19" s="294">
        <f t="shared" si="26"/>
        <v>4231</v>
      </c>
      <c r="R19" s="493">
        <f>F19+55</f>
        <v>4226</v>
      </c>
      <c r="S19" s="294">
        <f t="shared" si="27"/>
        <v>4226</v>
      </c>
      <c r="T19" s="493">
        <f>F19+49</f>
        <v>4220</v>
      </c>
      <c r="U19" s="294">
        <f t="shared" si="28"/>
        <v>4220</v>
      </c>
      <c r="V19" s="493"/>
      <c r="W19" s="294"/>
      <c r="X19" s="658"/>
      <c r="Y19" s="653"/>
      <c r="Z19" s="653"/>
      <c r="AA19" s="654"/>
      <c r="AB19" s="421" t="s">
        <v>30</v>
      </c>
      <c r="AE19" s="73"/>
      <c r="AF19" s="1165" t="s">
        <v>416</v>
      </c>
      <c r="AG19" s="1165"/>
      <c r="AH19" s="1165"/>
      <c r="AI19" s="1165"/>
      <c r="AJ19" s="1166"/>
    </row>
    <row r="20" spans="1:37" ht="12.6" customHeight="1" x14ac:dyDescent="0.2">
      <c r="A20" s="18"/>
      <c r="B20" s="765" t="s">
        <v>362</v>
      </c>
      <c r="C20" s="645"/>
      <c r="D20" s="645"/>
      <c r="E20" s="645"/>
      <c r="F20" s="293">
        <v>595</v>
      </c>
      <c r="G20" s="362">
        <f t="shared" si="21"/>
        <v>595</v>
      </c>
      <c r="H20" s="291"/>
      <c r="I20" s="372"/>
      <c r="J20" s="213"/>
      <c r="K20" s="295"/>
      <c r="L20" s="113"/>
      <c r="M20" s="295"/>
      <c r="N20" s="113"/>
      <c r="O20" s="293"/>
      <c r="P20" s="286"/>
      <c r="Q20" s="353"/>
      <c r="R20" s="538"/>
      <c r="S20" s="293"/>
      <c r="T20" s="538"/>
      <c r="U20" s="293"/>
      <c r="V20" s="538"/>
      <c r="W20" s="293"/>
      <c r="X20" s="132"/>
      <c r="Y20" s="132"/>
      <c r="Z20" s="132"/>
      <c r="AA20" s="132"/>
      <c r="AB20" s="421">
        <v>35</v>
      </c>
      <c r="AE20" s="73"/>
      <c r="AF20" s="1165" t="s">
        <v>363</v>
      </c>
      <c r="AG20" s="1166"/>
      <c r="AH20" s="1166"/>
      <c r="AI20" s="1166"/>
      <c r="AJ20" s="74"/>
    </row>
    <row r="21" spans="1:37" ht="12.6" customHeight="1" x14ac:dyDescent="0.2">
      <c r="A21" s="18"/>
      <c r="B21" s="797" t="s">
        <v>361</v>
      </c>
      <c r="C21" s="643"/>
      <c r="D21" s="643"/>
      <c r="E21" s="643"/>
      <c r="F21" s="294">
        <v>1930</v>
      </c>
      <c r="G21" s="350">
        <f t="shared" si="21"/>
        <v>1930</v>
      </c>
      <c r="H21" s="285"/>
      <c r="I21" s="354"/>
      <c r="J21" s="121"/>
      <c r="K21" s="294"/>
      <c r="L21" s="493"/>
      <c r="M21" s="294"/>
      <c r="N21" s="493"/>
      <c r="O21" s="294"/>
      <c r="P21" s="285"/>
      <c r="Q21" s="354"/>
      <c r="R21" s="493"/>
      <c r="S21" s="373"/>
      <c r="T21" s="103"/>
      <c r="U21" s="328"/>
      <c r="V21" s="103"/>
      <c r="W21" s="294"/>
      <c r="X21" s="132"/>
      <c r="Y21" s="132"/>
      <c r="Z21" s="132"/>
      <c r="AA21" s="132"/>
      <c r="AB21" s="421">
        <v>36</v>
      </c>
      <c r="AE21" s="73"/>
      <c r="AF21" s="1165" t="s">
        <v>515</v>
      </c>
      <c r="AG21" s="1165"/>
      <c r="AH21" s="1165"/>
      <c r="AI21" s="1165"/>
      <c r="AJ21" s="74"/>
    </row>
    <row r="22" spans="1:37" ht="12.6" customHeight="1" x14ac:dyDescent="0.2">
      <c r="A22" s="18"/>
      <c r="B22" s="765" t="s">
        <v>31</v>
      </c>
      <c r="C22" s="645"/>
      <c r="D22" s="645"/>
      <c r="E22" s="645"/>
      <c r="F22" s="293">
        <v>1930</v>
      </c>
      <c r="G22" s="315">
        <f t="shared" si="21"/>
        <v>1930</v>
      </c>
      <c r="H22" s="291"/>
      <c r="I22" s="357"/>
      <c r="J22" s="122"/>
      <c r="K22" s="293"/>
      <c r="L22" s="538"/>
      <c r="M22" s="293"/>
      <c r="N22" s="538"/>
      <c r="O22" s="293"/>
      <c r="P22" s="291"/>
      <c r="Q22" s="357"/>
      <c r="R22" s="538"/>
      <c r="S22" s="332"/>
      <c r="T22" s="538"/>
      <c r="U22" s="293"/>
      <c r="V22" s="538"/>
      <c r="W22" s="293"/>
      <c r="X22" s="132"/>
      <c r="Y22" s="132"/>
      <c r="Z22" s="132"/>
      <c r="AA22" s="132"/>
      <c r="AB22" s="421" t="s">
        <v>32</v>
      </c>
      <c r="AE22" s="73"/>
      <c r="AF22" s="1165" t="s">
        <v>33</v>
      </c>
      <c r="AG22" s="1165"/>
      <c r="AH22" s="1165"/>
      <c r="AI22" s="1165"/>
      <c r="AJ22" s="74"/>
    </row>
    <row r="23" spans="1:37" ht="12.6" customHeight="1" x14ac:dyDescent="0.2">
      <c r="A23" s="18"/>
      <c r="B23" s="797" t="s">
        <v>34</v>
      </c>
      <c r="C23" s="643"/>
      <c r="D23" s="643"/>
      <c r="E23" s="643"/>
      <c r="F23" s="294"/>
      <c r="G23" s="350"/>
      <c r="H23" s="285"/>
      <c r="I23" s="354"/>
      <c r="J23" s="121"/>
      <c r="K23" s="296"/>
      <c r="L23" s="96"/>
      <c r="M23" s="296"/>
      <c r="N23" s="96"/>
      <c r="O23" s="296"/>
      <c r="P23" s="96"/>
      <c r="Q23" s="296"/>
      <c r="R23" s="96"/>
      <c r="S23" s="391"/>
      <c r="T23" s="96"/>
      <c r="U23" s="358"/>
      <c r="V23" s="96"/>
      <c r="W23" s="296"/>
      <c r="X23" s="132"/>
      <c r="Y23" s="132"/>
      <c r="Z23" s="132"/>
      <c r="AA23" s="132"/>
      <c r="AB23" s="421" t="s">
        <v>35</v>
      </c>
      <c r="AD23" s="23"/>
      <c r="AE23" s="75"/>
      <c r="AF23" s="1165" t="s">
        <v>36</v>
      </c>
      <c r="AG23" s="1166"/>
      <c r="AH23" s="1166"/>
      <c r="AI23" s="1166"/>
      <c r="AJ23" s="74"/>
    </row>
    <row r="24" spans="1:37" ht="12.6" customHeight="1" x14ac:dyDescent="0.2">
      <c r="A24" s="18"/>
      <c r="B24" s="805" t="s">
        <v>37</v>
      </c>
      <c r="C24" s="650"/>
      <c r="D24" s="650"/>
      <c r="E24" s="651"/>
      <c r="F24" s="392">
        <f>6.35*X2</f>
        <v>6521.45</v>
      </c>
      <c r="G24" s="293">
        <f t="shared" si="21"/>
        <v>6521.45</v>
      </c>
      <c r="H24" s="539"/>
      <c r="I24" s="293"/>
      <c r="J24" s="538"/>
      <c r="K24" s="293"/>
      <c r="L24" s="538">
        <f>F24+100</f>
        <v>6621.45</v>
      </c>
      <c r="M24" s="293">
        <f t="shared" ref="M24" si="30">+L24*$X$1</f>
        <v>6621.45</v>
      </c>
      <c r="N24" s="538">
        <f>F24+70</f>
        <v>6591.45</v>
      </c>
      <c r="O24" s="293">
        <f t="shared" ref="O24" si="31">+N24*$X$1</f>
        <v>6591.45</v>
      </c>
      <c r="P24" s="538">
        <f>F24+60</f>
        <v>6581.45</v>
      </c>
      <c r="Q24" s="293">
        <f t="shared" ref="Q24" si="32">+P24*$X$1</f>
        <v>6581.45</v>
      </c>
      <c r="R24" s="538">
        <f>F24+55</f>
        <v>6576.45</v>
      </c>
      <c r="S24" s="293">
        <f t="shared" ref="S24" si="33">+R24*$X$1</f>
        <v>6576.45</v>
      </c>
      <c r="T24" s="538">
        <f>F24+49</f>
        <v>6570.45</v>
      </c>
      <c r="U24" s="293">
        <f t="shared" ref="U24" si="34">+T24*$X$1</f>
        <v>6570.45</v>
      </c>
      <c r="V24" s="538"/>
      <c r="W24" s="293"/>
      <c r="X24" s="658"/>
      <c r="Y24" s="1086"/>
      <c r="Z24" s="1086"/>
      <c r="AA24" s="903"/>
      <c r="AB24" s="421">
        <v>39</v>
      </c>
      <c r="AE24" s="73"/>
      <c r="AF24" s="1165" t="s">
        <v>778</v>
      </c>
      <c r="AG24" s="1165"/>
      <c r="AH24" s="1165"/>
      <c r="AI24" s="1166"/>
      <c r="AJ24" s="1166"/>
    </row>
    <row r="25" spans="1:37" ht="12.6" customHeight="1" x14ac:dyDescent="0.2">
      <c r="A25" s="18"/>
      <c r="B25" s="1167" t="s">
        <v>38</v>
      </c>
      <c r="C25" s="1168"/>
      <c r="D25" s="1168"/>
      <c r="E25" s="1169"/>
      <c r="F25" s="296"/>
      <c r="G25" s="294"/>
      <c r="H25" s="285"/>
      <c r="I25" s="354"/>
      <c r="J25" s="121"/>
      <c r="K25" s="294"/>
      <c r="L25" s="493"/>
      <c r="M25" s="294"/>
      <c r="N25" s="493"/>
      <c r="O25" s="294"/>
      <c r="P25" s="287"/>
      <c r="Q25" s="294"/>
      <c r="R25" s="493"/>
      <c r="S25" s="294"/>
      <c r="T25" s="493"/>
      <c r="U25" s="294"/>
      <c r="V25" s="493"/>
      <c r="W25" s="294"/>
      <c r="X25" s="131"/>
      <c r="Y25" s="132"/>
      <c r="Z25" s="132"/>
      <c r="AA25" s="132"/>
      <c r="AB25" s="421" t="s">
        <v>39</v>
      </c>
      <c r="AE25" s="73"/>
      <c r="AF25" s="1165" t="s">
        <v>40</v>
      </c>
      <c r="AG25" s="1165"/>
      <c r="AH25" s="1165"/>
      <c r="AI25" s="1165"/>
      <c r="AJ25" s="74"/>
    </row>
    <row r="26" spans="1:37" ht="12.6" customHeight="1" x14ac:dyDescent="0.2">
      <c r="A26" s="18"/>
      <c r="B26" s="765" t="s">
        <v>41</v>
      </c>
      <c r="C26" s="645"/>
      <c r="D26" s="645"/>
      <c r="E26" s="645"/>
      <c r="F26" s="392"/>
      <c r="G26" s="293"/>
      <c r="H26" s="286"/>
      <c r="I26" s="353"/>
      <c r="J26" s="538"/>
      <c r="K26" s="293"/>
      <c r="L26" s="538">
        <f>6.7*X2</f>
        <v>6880.9000000000005</v>
      </c>
      <c r="M26" s="293">
        <f t="shared" ref="M26:M27" si="35">+L26*$X$1</f>
        <v>6880.9000000000005</v>
      </c>
      <c r="N26" s="538">
        <f>6.5*X2</f>
        <v>6675.5</v>
      </c>
      <c r="O26" s="293">
        <f t="shared" ref="O26:O27" si="36">+N26*$X$1</f>
        <v>6675.5</v>
      </c>
      <c r="P26" s="330">
        <f>6.3*X2</f>
        <v>6470.0999999999995</v>
      </c>
      <c r="Q26" s="293">
        <f t="shared" ref="Q26:Q27" si="37">+P26*$X$1</f>
        <v>6470.0999999999995</v>
      </c>
      <c r="R26" s="538">
        <f>6.1*X2</f>
        <v>6264.7</v>
      </c>
      <c r="S26" s="293">
        <f t="shared" ref="S26:S27" si="38">+R26*$X$1</f>
        <v>6264.7</v>
      </c>
      <c r="T26" s="538">
        <f>6*X2</f>
        <v>6162</v>
      </c>
      <c r="U26" s="293">
        <f t="shared" ref="U26:U27" si="39">+T26*$X$1</f>
        <v>6162</v>
      </c>
      <c r="V26" s="538"/>
      <c r="W26" s="293"/>
      <c r="X26" s="871"/>
      <c r="Y26" s="1086"/>
      <c r="Z26" s="1086"/>
      <c r="AA26" s="903"/>
      <c r="AB26" s="421">
        <v>40</v>
      </c>
      <c r="AE26" s="73"/>
      <c r="AF26" s="1165" t="s">
        <v>42</v>
      </c>
      <c r="AG26" s="1165"/>
      <c r="AH26" s="1165"/>
      <c r="AI26" s="1165"/>
      <c r="AJ26" s="1166"/>
    </row>
    <row r="27" spans="1:37" ht="12.6" customHeight="1" x14ac:dyDescent="0.2">
      <c r="A27" s="18"/>
      <c r="B27" s="809" t="s">
        <v>372</v>
      </c>
      <c r="C27" s="647"/>
      <c r="D27" s="647"/>
      <c r="E27" s="648"/>
      <c r="F27" s="396">
        <f>8.3*X2</f>
        <v>8524.1</v>
      </c>
      <c r="G27" s="294">
        <f>+F27*$X$1</f>
        <v>8524.1</v>
      </c>
      <c r="H27" s="285"/>
      <c r="I27" s="354"/>
      <c r="J27" s="493">
        <f>F27+120</f>
        <v>8644.1</v>
      </c>
      <c r="K27" s="294">
        <f t="shared" ref="K27" si="40">+J27*$X$1</f>
        <v>8644.1</v>
      </c>
      <c r="L27" s="493">
        <f>F27+100</f>
        <v>8624.1</v>
      </c>
      <c r="M27" s="294">
        <f t="shared" si="35"/>
        <v>8624.1</v>
      </c>
      <c r="N27" s="493">
        <f>F27+70</f>
        <v>8594.1</v>
      </c>
      <c r="O27" s="294">
        <f t="shared" si="36"/>
        <v>8594.1</v>
      </c>
      <c r="P27" s="493">
        <f>F27+60</f>
        <v>8584.1</v>
      </c>
      <c r="Q27" s="294">
        <f t="shared" si="37"/>
        <v>8584.1</v>
      </c>
      <c r="R27" s="493">
        <f>F27+55</f>
        <v>8579.1</v>
      </c>
      <c r="S27" s="294">
        <f t="shared" si="38"/>
        <v>8579.1</v>
      </c>
      <c r="T27" s="493">
        <f>F27+49</f>
        <v>8573.1</v>
      </c>
      <c r="U27" s="294">
        <f t="shared" si="39"/>
        <v>8573.1</v>
      </c>
      <c r="V27" s="493"/>
      <c r="W27" s="294"/>
      <c r="X27" s="217"/>
      <c r="Y27" s="167"/>
      <c r="Z27" s="167"/>
      <c r="AA27" s="168"/>
      <c r="AB27" s="421">
        <v>44</v>
      </c>
      <c r="AE27" s="73"/>
      <c r="AF27" s="1165" t="s">
        <v>436</v>
      </c>
      <c r="AG27" s="1165"/>
      <c r="AH27" s="1165"/>
      <c r="AI27" s="1166"/>
      <c r="AJ27" s="1166"/>
      <c r="AK27" s="66"/>
    </row>
    <row r="28" spans="1:37" ht="12.6" customHeight="1" x14ac:dyDescent="0.2">
      <c r="A28" s="18"/>
      <c r="B28" s="788" t="s">
        <v>699</v>
      </c>
      <c r="C28" s="789"/>
      <c r="D28" s="789"/>
      <c r="E28" s="789"/>
      <c r="F28" s="392">
        <f>0.5*X2</f>
        <v>513.5</v>
      </c>
      <c r="G28" s="293">
        <f>+F28*$X$1</f>
        <v>513.5</v>
      </c>
      <c r="H28" s="286"/>
      <c r="I28" s="353"/>
      <c r="J28" s="72"/>
      <c r="K28" s="293"/>
      <c r="L28" s="538">
        <f>F28+90</f>
        <v>603.5</v>
      </c>
      <c r="M28" s="293">
        <f t="shared" ref="M28" si="41">+L28*$X$1</f>
        <v>603.5</v>
      </c>
      <c r="N28" s="538">
        <f>F28+55</f>
        <v>568.5</v>
      </c>
      <c r="O28" s="293">
        <f t="shared" ref="O28" si="42">+N28*$X$1</f>
        <v>568.5</v>
      </c>
      <c r="P28" s="538">
        <f>F28+50</f>
        <v>563.5</v>
      </c>
      <c r="Q28" s="293">
        <f t="shared" ref="Q28" si="43">+P28*$X$1</f>
        <v>563.5</v>
      </c>
      <c r="R28" s="538">
        <f>F28+42</f>
        <v>555.5</v>
      </c>
      <c r="S28" s="293">
        <f t="shared" ref="S28" si="44">+R28*$X$1</f>
        <v>555.5</v>
      </c>
      <c r="T28" s="538">
        <f>F28+35</f>
        <v>548.5</v>
      </c>
      <c r="U28" s="293">
        <f t="shared" ref="U28" si="45">+T28*$X$1</f>
        <v>548.5</v>
      </c>
      <c r="V28" s="538">
        <f>F28+30</f>
        <v>543.5</v>
      </c>
      <c r="W28" s="293">
        <f t="shared" ref="W28" si="46">+V28*$X$1</f>
        <v>543.5</v>
      </c>
      <c r="X28" s="132"/>
      <c r="Y28" s="132"/>
      <c r="Z28" s="132"/>
      <c r="AA28" s="132"/>
      <c r="AB28" s="421">
        <v>45</v>
      </c>
      <c r="AF28" s="1165" t="s">
        <v>777</v>
      </c>
      <c r="AG28" s="1165"/>
      <c r="AH28" s="1165"/>
      <c r="AI28" s="1165"/>
      <c r="AJ28" s="1165"/>
    </row>
    <row r="29" spans="1:37" ht="12.6" customHeight="1" x14ac:dyDescent="0.2">
      <c r="A29" s="18"/>
      <c r="B29" s="797" t="s">
        <v>43</v>
      </c>
      <c r="C29" s="643"/>
      <c r="D29" s="643"/>
      <c r="E29" s="643"/>
      <c r="F29" s="294">
        <v>570</v>
      </c>
      <c r="G29" s="320">
        <f t="shared" ref="G29:G37" si="47">+F29*$X$1</f>
        <v>570</v>
      </c>
      <c r="H29" s="1080" t="s">
        <v>44</v>
      </c>
      <c r="I29" s="1080"/>
      <c r="J29" s="1081"/>
      <c r="K29" s="1082"/>
      <c r="L29" s="285"/>
      <c r="M29" s="354"/>
      <c r="N29" s="91">
        <v>1710</v>
      </c>
      <c r="O29" s="320">
        <f t="shared" ref="O29:O40" si="48">+N29*$X$1</f>
        <v>1710</v>
      </c>
      <c r="P29" s="287">
        <v>1572</v>
      </c>
      <c r="Q29" s="552">
        <f t="shared" ref="Q29:S53" si="49">+P29*$X$1</f>
        <v>1572</v>
      </c>
      <c r="R29" s="103">
        <v>1460</v>
      </c>
      <c r="S29" s="313">
        <f t="shared" si="49"/>
        <v>1460</v>
      </c>
      <c r="T29" s="493">
        <v>1350</v>
      </c>
      <c r="U29" s="313">
        <f t="shared" ref="U29:U46" si="50">+T29*$X$1</f>
        <v>1350</v>
      </c>
      <c r="V29" s="493">
        <v>1311</v>
      </c>
      <c r="W29" s="294">
        <f t="shared" ref="W29:W46" si="51">+V29*$X$1</f>
        <v>1311</v>
      </c>
      <c r="X29" s="658"/>
      <c r="Y29" s="1086"/>
      <c r="Z29" s="1086"/>
      <c r="AA29" s="903"/>
      <c r="AB29" s="421" t="s">
        <v>45</v>
      </c>
      <c r="AE29" s="73"/>
      <c r="AF29" s="1165" t="s">
        <v>608</v>
      </c>
      <c r="AG29" s="1165"/>
      <c r="AH29" s="1165"/>
      <c r="AI29" s="1165"/>
      <c r="AJ29" s="1165"/>
    </row>
    <row r="30" spans="1:37" ht="12.6" customHeight="1" x14ac:dyDescent="0.2">
      <c r="A30" s="18"/>
      <c r="B30" s="765" t="s">
        <v>46</v>
      </c>
      <c r="C30" s="645"/>
      <c r="D30" s="645"/>
      <c r="E30" s="645"/>
      <c r="F30" s="293">
        <v>570</v>
      </c>
      <c r="G30" s="321">
        <f t="shared" si="47"/>
        <v>570</v>
      </c>
      <c r="H30" s="1089" t="s">
        <v>44</v>
      </c>
      <c r="I30" s="1089"/>
      <c r="J30" s="1090"/>
      <c r="K30" s="1091"/>
      <c r="L30" s="286"/>
      <c r="M30" s="353"/>
      <c r="N30" s="87">
        <v>1710</v>
      </c>
      <c r="O30" s="321">
        <f t="shared" ref="O30:O33" si="52">+N30*$X$1</f>
        <v>1710</v>
      </c>
      <c r="P30" s="330">
        <v>1572</v>
      </c>
      <c r="Q30" s="553">
        <f t="shared" ref="Q30:Q33" si="53">+P30*$X$1</f>
        <v>1572</v>
      </c>
      <c r="R30" s="104">
        <v>1460</v>
      </c>
      <c r="S30" s="260">
        <f t="shared" ref="S30:S33" si="54">+R30*$X$1</f>
        <v>1460</v>
      </c>
      <c r="T30" s="550">
        <v>1350</v>
      </c>
      <c r="U30" s="260">
        <f t="shared" ref="U30:U33" si="55">+T30*$X$1</f>
        <v>1350</v>
      </c>
      <c r="V30" s="550">
        <v>1311</v>
      </c>
      <c r="W30" s="293">
        <f t="shared" ref="W30:W33" si="56">+V30*$X$1</f>
        <v>1311</v>
      </c>
      <c r="X30" s="658"/>
      <c r="Y30" s="1086"/>
      <c r="Z30" s="1086"/>
      <c r="AA30" s="903"/>
      <c r="AB30" s="421" t="s">
        <v>47</v>
      </c>
    </row>
    <row r="31" spans="1:37" ht="12.6" customHeight="1" x14ac:dyDescent="0.2">
      <c r="A31" s="18"/>
      <c r="B31" s="797" t="s">
        <v>48</v>
      </c>
      <c r="C31" s="643"/>
      <c r="D31" s="643"/>
      <c r="E31" s="643"/>
      <c r="F31" s="294">
        <v>570</v>
      </c>
      <c r="G31" s="320">
        <f t="shared" si="47"/>
        <v>570</v>
      </c>
      <c r="H31" s="1176" t="s">
        <v>44</v>
      </c>
      <c r="I31" s="1176"/>
      <c r="J31" s="1177"/>
      <c r="K31" s="1178"/>
      <c r="L31" s="285"/>
      <c r="M31" s="354"/>
      <c r="N31" s="91">
        <v>1710</v>
      </c>
      <c r="O31" s="320">
        <f t="shared" si="52"/>
        <v>1710</v>
      </c>
      <c r="P31" s="287">
        <v>1572</v>
      </c>
      <c r="Q31" s="552">
        <f t="shared" si="53"/>
        <v>1572</v>
      </c>
      <c r="R31" s="103">
        <v>1460</v>
      </c>
      <c r="S31" s="313">
        <f t="shared" si="54"/>
        <v>1460</v>
      </c>
      <c r="T31" s="493">
        <v>1350</v>
      </c>
      <c r="U31" s="313">
        <f t="shared" si="55"/>
        <v>1350</v>
      </c>
      <c r="V31" s="493">
        <v>1311</v>
      </c>
      <c r="W31" s="294">
        <f t="shared" si="56"/>
        <v>1311</v>
      </c>
      <c r="X31" s="658"/>
      <c r="Y31" s="1086"/>
      <c r="Z31" s="1086"/>
      <c r="AA31" s="903"/>
      <c r="AB31" s="421" t="s">
        <v>49</v>
      </c>
    </row>
    <row r="32" spans="1:37" ht="12.6" customHeight="1" x14ac:dyDescent="0.2">
      <c r="A32" s="18"/>
      <c r="B32" s="765" t="s">
        <v>50</v>
      </c>
      <c r="C32" s="645"/>
      <c r="D32" s="645"/>
      <c r="E32" s="645"/>
      <c r="F32" s="293">
        <v>570</v>
      </c>
      <c r="G32" s="321">
        <f t="shared" si="47"/>
        <v>570</v>
      </c>
      <c r="H32" s="1089" t="s">
        <v>44</v>
      </c>
      <c r="I32" s="1089"/>
      <c r="J32" s="1090"/>
      <c r="K32" s="1091"/>
      <c r="L32" s="286"/>
      <c r="M32" s="353"/>
      <c r="N32" s="87">
        <v>1710</v>
      </c>
      <c r="O32" s="321">
        <f t="shared" si="52"/>
        <v>1710</v>
      </c>
      <c r="P32" s="330">
        <v>1572</v>
      </c>
      <c r="Q32" s="553">
        <f t="shared" si="53"/>
        <v>1572</v>
      </c>
      <c r="R32" s="104">
        <v>1460</v>
      </c>
      <c r="S32" s="260">
        <f t="shared" si="54"/>
        <v>1460</v>
      </c>
      <c r="T32" s="550">
        <v>1350</v>
      </c>
      <c r="U32" s="260">
        <f t="shared" si="55"/>
        <v>1350</v>
      </c>
      <c r="V32" s="550">
        <v>1311</v>
      </c>
      <c r="W32" s="293">
        <f t="shared" si="56"/>
        <v>1311</v>
      </c>
      <c r="X32" s="658"/>
      <c r="Y32" s="1086"/>
      <c r="Z32" s="1086"/>
      <c r="AA32" s="903"/>
      <c r="AB32" s="421" t="s">
        <v>51</v>
      </c>
    </row>
    <row r="33" spans="1:28" ht="12.6" customHeight="1" x14ac:dyDescent="0.2">
      <c r="A33" s="18"/>
      <c r="B33" s="797" t="s">
        <v>52</v>
      </c>
      <c r="C33" s="643"/>
      <c r="D33" s="643"/>
      <c r="E33" s="643"/>
      <c r="F33" s="294">
        <v>570</v>
      </c>
      <c r="G33" s="320">
        <f t="shared" si="47"/>
        <v>570</v>
      </c>
      <c r="H33" s="1176" t="s">
        <v>44</v>
      </c>
      <c r="I33" s="1176"/>
      <c r="J33" s="1177"/>
      <c r="K33" s="1178"/>
      <c r="L33" s="285"/>
      <c r="M33" s="354"/>
      <c r="N33" s="91">
        <v>1710</v>
      </c>
      <c r="O33" s="320">
        <f t="shared" si="52"/>
        <v>1710</v>
      </c>
      <c r="P33" s="287">
        <v>1572</v>
      </c>
      <c r="Q33" s="552">
        <f t="shared" si="53"/>
        <v>1572</v>
      </c>
      <c r="R33" s="103">
        <v>1460</v>
      </c>
      <c r="S33" s="313">
        <f t="shared" si="54"/>
        <v>1460</v>
      </c>
      <c r="T33" s="493">
        <v>1350</v>
      </c>
      <c r="U33" s="313">
        <f t="shared" si="55"/>
        <v>1350</v>
      </c>
      <c r="V33" s="493">
        <v>1311</v>
      </c>
      <c r="W33" s="294">
        <f t="shared" si="56"/>
        <v>1311</v>
      </c>
      <c r="X33" s="658"/>
      <c r="Y33" s="1086"/>
      <c r="Z33" s="1086"/>
      <c r="AA33" s="903"/>
      <c r="AB33" s="421" t="s">
        <v>53</v>
      </c>
    </row>
    <row r="34" spans="1:28" ht="12.6" customHeight="1" x14ac:dyDescent="0.25">
      <c r="A34" s="18"/>
      <c r="B34" s="765" t="s">
        <v>54</v>
      </c>
      <c r="C34" s="645"/>
      <c r="D34" s="645"/>
      <c r="E34" s="645"/>
      <c r="F34" s="293">
        <v>570</v>
      </c>
      <c r="G34" s="321">
        <f t="shared" si="47"/>
        <v>570</v>
      </c>
      <c r="H34" s="1089" t="s">
        <v>44</v>
      </c>
      <c r="I34" s="1089"/>
      <c r="J34" s="1090"/>
      <c r="K34" s="1091"/>
      <c r="L34" s="286"/>
      <c r="M34" s="353"/>
      <c r="N34" s="87">
        <v>1480</v>
      </c>
      <c r="O34" s="321">
        <f t="shared" si="48"/>
        <v>1480</v>
      </c>
      <c r="P34" s="330">
        <v>1360</v>
      </c>
      <c r="Q34" s="553">
        <f t="shared" si="49"/>
        <v>1360</v>
      </c>
      <c r="R34" s="550">
        <v>1251</v>
      </c>
      <c r="S34" s="260">
        <f t="shared" si="49"/>
        <v>1251</v>
      </c>
      <c r="T34" s="550">
        <v>1167</v>
      </c>
      <c r="U34" s="260">
        <f t="shared" si="50"/>
        <v>1167</v>
      </c>
      <c r="V34" s="550">
        <v>1114</v>
      </c>
      <c r="W34" s="293">
        <f t="shared" si="51"/>
        <v>1114</v>
      </c>
      <c r="X34" s="658"/>
      <c r="Y34" s="899"/>
      <c r="Z34" s="899"/>
      <c r="AA34" s="900"/>
      <c r="AB34" s="421" t="s">
        <v>475</v>
      </c>
    </row>
    <row r="35" spans="1:28" ht="12.6" customHeight="1" x14ac:dyDescent="0.2">
      <c r="A35" s="18"/>
      <c r="B35" s="797" t="s">
        <v>55</v>
      </c>
      <c r="C35" s="643"/>
      <c r="D35" s="643"/>
      <c r="E35" s="643"/>
      <c r="F35" s="294">
        <v>570</v>
      </c>
      <c r="G35" s="320">
        <f t="shared" si="47"/>
        <v>570</v>
      </c>
      <c r="H35" s="1176" t="s">
        <v>44</v>
      </c>
      <c r="I35" s="1176"/>
      <c r="J35" s="1177"/>
      <c r="K35" s="1178"/>
      <c r="L35" s="285"/>
      <c r="M35" s="354"/>
      <c r="N35" s="91">
        <v>1300</v>
      </c>
      <c r="O35" s="320">
        <f t="shared" ref="O35" si="57">+N35*$X$1</f>
        <v>1300</v>
      </c>
      <c r="P35" s="287">
        <v>1195</v>
      </c>
      <c r="Q35" s="552">
        <f t="shared" ref="Q35" si="58">+P35*$X$1</f>
        <v>1195</v>
      </c>
      <c r="R35" s="103">
        <v>1097</v>
      </c>
      <c r="S35" s="313">
        <f t="shared" ref="S35" si="59">+R35*$X$1</f>
        <v>1097</v>
      </c>
      <c r="T35" s="493">
        <v>1010</v>
      </c>
      <c r="U35" s="313">
        <f t="shared" ref="U35" si="60">+T35*$X$1</f>
        <v>1010</v>
      </c>
      <c r="V35" s="493">
        <v>909</v>
      </c>
      <c r="W35" s="294">
        <f t="shared" ref="W35" si="61">+V35*$X$1</f>
        <v>909</v>
      </c>
      <c r="X35" s="658"/>
      <c r="Y35" s="899"/>
      <c r="Z35" s="899"/>
      <c r="AA35" s="900"/>
      <c r="AB35" s="421" t="s">
        <v>473</v>
      </c>
    </row>
    <row r="36" spans="1:28" ht="12.6" customHeight="1" x14ac:dyDescent="0.25">
      <c r="A36" s="18"/>
      <c r="B36" s="765" t="s">
        <v>56</v>
      </c>
      <c r="C36" s="645"/>
      <c r="D36" s="645"/>
      <c r="E36" s="645"/>
      <c r="F36" s="293">
        <v>570</v>
      </c>
      <c r="G36" s="321">
        <f t="shared" si="47"/>
        <v>570</v>
      </c>
      <c r="H36" s="1089" t="s">
        <v>44</v>
      </c>
      <c r="I36" s="1089"/>
      <c r="J36" s="1090"/>
      <c r="K36" s="1091"/>
      <c r="L36" s="286"/>
      <c r="M36" s="353"/>
      <c r="N36" s="87">
        <v>1300</v>
      </c>
      <c r="O36" s="321">
        <f t="shared" ref="O36" si="62">+N36*$X$1</f>
        <v>1300</v>
      </c>
      <c r="P36" s="330">
        <v>1195</v>
      </c>
      <c r="Q36" s="553">
        <f t="shared" ref="Q36" si="63">+P36*$X$1</f>
        <v>1195</v>
      </c>
      <c r="R36" s="104">
        <v>1097</v>
      </c>
      <c r="S36" s="260">
        <f t="shared" ref="S36" si="64">+R36*$X$1</f>
        <v>1097</v>
      </c>
      <c r="T36" s="550">
        <v>1010</v>
      </c>
      <c r="U36" s="260">
        <f t="shared" ref="U36" si="65">+T36*$X$1</f>
        <v>1010</v>
      </c>
      <c r="V36" s="550">
        <v>909</v>
      </c>
      <c r="W36" s="293">
        <f t="shared" ref="W36" si="66">+V36*$X$1</f>
        <v>909</v>
      </c>
      <c r="X36" s="658"/>
      <c r="Y36" s="899"/>
      <c r="Z36" s="899"/>
      <c r="AA36" s="900"/>
      <c r="AB36" s="421" t="s">
        <v>476</v>
      </c>
    </row>
    <row r="37" spans="1:28" ht="12.6" customHeight="1" x14ac:dyDescent="0.25">
      <c r="A37" s="18"/>
      <c r="B37" s="797" t="s">
        <v>57</v>
      </c>
      <c r="C37" s="643"/>
      <c r="D37" s="643"/>
      <c r="E37" s="643"/>
      <c r="F37" s="294">
        <v>570</v>
      </c>
      <c r="G37" s="320">
        <f t="shared" si="47"/>
        <v>570</v>
      </c>
      <c r="H37" s="1176" t="s">
        <v>44</v>
      </c>
      <c r="I37" s="1176"/>
      <c r="J37" s="1177"/>
      <c r="K37" s="1178"/>
      <c r="L37" s="285"/>
      <c r="M37" s="354"/>
      <c r="N37" s="91">
        <v>1767</v>
      </c>
      <c r="O37" s="320">
        <f t="shared" si="48"/>
        <v>1767</v>
      </c>
      <c r="P37" s="287">
        <v>1634</v>
      </c>
      <c r="Q37" s="552">
        <f t="shared" si="49"/>
        <v>1634</v>
      </c>
      <c r="R37" s="493">
        <v>1513</v>
      </c>
      <c r="S37" s="313">
        <f t="shared" si="49"/>
        <v>1513</v>
      </c>
      <c r="T37" s="493">
        <v>1415</v>
      </c>
      <c r="U37" s="313">
        <f t="shared" si="50"/>
        <v>1415</v>
      </c>
      <c r="V37" s="493">
        <v>1362</v>
      </c>
      <c r="W37" s="294">
        <f t="shared" si="51"/>
        <v>1362</v>
      </c>
      <c r="X37" s="658"/>
      <c r="Y37" s="899"/>
      <c r="Z37" s="899"/>
      <c r="AA37" s="900"/>
      <c r="AB37" s="421" t="s">
        <v>474</v>
      </c>
    </row>
    <row r="38" spans="1:28" ht="12.6" customHeight="1" x14ac:dyDescent="0.2">
      <c r="A38" s="18"/>
      <c r="B38" s="765" t="s">
        <v>477</v>
      </c>
      <c r="C38" s="645"/>
      <c r="D38" s="645"/>
      <c r="E38" s="645"/>
      <c r="F38" s="293">
        <v>570</v>
      </c>
      <c r="G38" s="321">
        <f t="shared" ref="G38" si="67">+F38*$X$1</f>
        <v>570</v>
      </c>
      <c r="H38" s="1089" t="s">
        <v>44</v>
      </c>
      <c r="I38" s="1089"/>
      <c r="J38" s="1090"/>
      <c r="K38" s="1091"/>
      <c r="L38" s="286"/>
      <c r="M38" s="353"/>
      <c r="N38" s="87">
        <v>1737</v>
      </c>
      <c r="O38" s="321">
        <f t="shared" ref="O38:O39" si="68">+N38*$X$1</f>
        <v>1737</v>
      </c>
      <c r="P38" s="330">
        <v>1606</v>
      </c>
      <c r="Q38" s="553">
        <f t="shared" si="49"/>
        <v>1606</v>
      </c>
      <c r="R38" s="550">
        <v>1488</v>
      </c>
      <c r="S38" s="260">
        <f t="shared" si="49"/>
        <v>1488</v>
      </c>
      <c r="T38" s="550">
        <v>1408</v>
      </c>
      <c r="U38" s="260">
        <f t="shared" si="50"/>
        <v>1408</v>
      </c>
      <c r="V38" s="550">
        <v>1332</v>
      </c>
      <c r="W38" s="293">
        <f t="shared" si="51"/>
        <v>1332</v>
      </c>
      <c r="X38" s="658"/>
      <c r="Y38" s="899"/>
      <c r="Z38" s="899"/>
      <c r="AA38" s="900"/>
      <c r="AB38" s="421" t="s">
        <v>479</v>
      </c>
    </row>
    <row r="39" spans="1:28" ht="12.6" customHeight="1" x14ac:dyDescent="0.2">
      <c r="A39" s="18"/>
      <c r="B39" s="797" t="s">
        <v>478</v>
      </c>
      <c r="C39" s="643"/>
      <c r="D39" s="643"/>
      <c r="E39" s="643"/>
      <c r="F39" s="294">
        <v>570</v>
      </c>
      <c r="G39" s="320">
        <f t="shared" ref="G39" si="69">+F39*$X$1</f>
        <v>570</v>
      </c>
      <c r="H39" s="1176" t="s">
        <v>44</v>
      </c>
      <c r="I39" s="1176"/>
      <c r="J39" s="1177"/>
      <c r="K39" s="1178"/>
      <c r="L39" s="285"/>
      <c r="M39" s="354"/>
      <c r="N39" s="91">
        <v>1480</v>
      </c>
      <c r="O39" s="320">
        <f t="shared" si="68"/>
        <v>1480</v>
      </c>
      <c r="P39" s="287">
        <v>1360</v>
      </c>
      <c r="Q39" s="552">
        <f t="shared" ref="Q39" si="70">+P39*$X$1</f>
        <v>1360</v>
      </c>
      <c r="R39" s="493">
        <v>1251</v>
      </c>
      <c r="S39" s="313">
        <f t="shared" ref="S39" si="71">+R39*$X$1</f>
        <v>1251</v>
      </c>
      <c r="T39" s="493">
        <v>1167</v>
      </c>
      <c r="U39" s="313">
        <f t="shared" ref="U39" si="72">+T39*$X$1</f>
        <v>1167</v>
      </c>
      <c r="V39" s="493">
        <v>1114</v>
      </c>
      <c r="W39" s="294">
        <f t="shared" ref="W39" si="73">+V39*$X$1</f>
        <v>1114</v>
      </c>
      <c r="X39" s="658"/>
      <c r="Y39" s="899"/>
      <c r="Z39" s="899"/>
      <c r="AA39" s="900"/>
      <c r="AB39" s="421" t="s">
        <v>480</v>
      </c>
    </row>
    <row r="40" spans="1:28" ht="12.6" customHeight="1" x14ac:dyDescent="0.2">
      <c r="A40" s="18"/>
      <c r="B40" s="765" t="s">
        <v>58</v>
      </c>
      <c r="C40" s="645"/>
      <c r="D40" s="645"/>
      <c r="E40" s="645"/>
      <c r="F40" s="293">
        <v>1193</v>
      </c>
      <c r="G40" s="321">
        <f t="shared" ref="G40:G48" si="74">+F40*$X$1</f>
        <v>1193</v>
      </c>
      <c r="H40" s="1097" t="s">
        <v>59</v>
      </c>
      <c r="I40" s="1097"/>
      <c r="J40" s="1098"/>
      <c r="K40" s="1099"/>
      <c r="L40" s="286"/>
      <c r="M40" s="353"/>
      <c r="N40" s="87">
        <v>2110</v>
      </c>
      <c r="O40" s="321">
        <f t="shared" si="48"/>
        <v>2110</v>
      </c>
      <c r="P40" s="330">
        <v>1957</v>
      </c>
      <c r="Q40" s="553">
        <f t="shared" si="49"/>
        <v>1957</v>
      </c>
      <c r="R40" s="550">
        <v>1808</v>
      </c>
      <c r="S40" s="260">
        <f t="shared" si="49"/>
        <v>1808</v>
      </c>
      <c r="T40" s="550">
        <v>1685</v>
      </c>
      <c r="U40" s="260">
        <f t="shared" si="50"/>
        <v>1685</v>
      </c>
      <c r="V40" s="550">
        <v>1622</v>
      </c>
      <c r="W40" s="293">
        <f t="shared" si="51"/>
        <v>1622</v>
      </c>
      <c r="X40" s="658"/>
      <c r="Y40" s="899"/>
      <c r="Z40" s="899"/>
      <c r="AA40" s="900"/>
      <c r="AB40" s="422" t="s">
        <v>60</v>
      </c>
    </row>
    <row r="41" spans="1:28" ht="12.6" customHeight="1" x14ac:dyDescent="0.2">
      <c r="A41" s="18"/>
      <c r="B41" s="797" t="s">
        <v>61</v>
      </c>
      <c r="C41" s="643"/>
      <c r="D41" s="643"/>
      <c r="E41" s="643"/>
      <c r="F41" s="294">
        <v>1193</v>
      </c>
      <c r="G41" s="320">
        <f t="shared" si="74"/>
        <v>1193</v>
      </c>
      <c r="H41" s="1094" t="s">
        <v>59</v>
      </c>
      <c r="I41" s="1094"/>
      <c r="J41" s="1095"/>
      <c r="K41" s="1096"/>
      <c r="L41" s="285"/>
      <c r="M41" s="354"/>
      <c r="N41" s="91">
        <v>2110</v>
      </c>
      <c r="O41" s="320">
        <f t="shared" ref="O41:O42" si="75">+N41*$X$1</f>
        <v>2110</v>
      </c>
      <c r="P41" s="287">
        <v>1957</v>
      </c>
      <c r="Q41" s="552">
        <f t="shared" ref="Q41:Q42" si="76">+P41*$X$1</f>
        <v>1957</v>
      </c>
      <c r="R41" s="493">
        <v>1808</v>
      </c>
      <c r="S41" s="313">
        <f t="shared" ref="S41:S42" si="77">+R41*$X$1</f>
        <v>1808</v>
      </c>
      <c r="T41" s="493">
        <v>1685</v>
      </c>
      <c r="U41" s="313">
        <f t="shared" ref="U41:U42" si="78">+T41*$X$1</f>
        <v>1685</v>
      </c>
      <c r="V41" s="493">
        <v>1622</v>
      </c>
      <c r="W41" s="294">
        <f t="shared" ref="W41:W42" si="79">+V41*$X$1</f>
        <v>1622</v>
      </c>
      <c r="X41" s="658"/>
      <c r="Y41" s="899"/>
      <c r="Z41" s="899"/>
      <c r="AA41" s="900"/>
      <c r="AB41" s="422" t="s">
        <v>62</v>
      </c>
    </row>
    <row r="42" spans="1:28" ht="12.6" customHeight="1" x14ac:dyDescent="0.2">
      <c r="A42" s="18"/>
      <c r="B42" s="765" t="s">
        <v>63</v>
      </c>
      <c r="C42" s="645"/>
      <c r="D42" s="645"/>
      <c r="E42" s="645"/>
      <c r="F42" s="293">
        <v>1193</v>
      </c>
      <c r="G42" s="321">
        <f t="shared" si="74"/>
        <v>1193</v>
      </c>
      <c r="H42" s="1089" t="s">
        <v>59</v>
      </c>
      <c r="I42" s="1089"/>
      <c r="J42" s="1090"/>
      <c r="K42" s="1091"/>
      <c r="L42" s="286"/>
      <c r="M42" s="353"/>
      <c r="N42" s="87">
        <v>2110</v>
      </c>
      <c r="O42" s="321">
        <f t="shared" si="75"/>
        <v>2110</v>
      </c>
      <c r="P42" s="330">
        <v>1957</v>
      </c>
      <c r="Q42" s="553">
        <f t="shared" si="76"/>
        <v>1957</v>
      </c>
      <c r="R42" s="550">
        <v>1808</v>
      </c>
      <c r="S42" s="260">
        <f t="shared" si="77"/>
        <v>1808</v>
      </c>
      <c r="T42" s="550">
        <v>1685</v>
      </c>
      <c r="U42" s="260">
        <f t="shared" si="78"/>
        <v>1685</v>
      </c>
      <c r="V42" s="550">
        <v>1622</v>
      </c>
      <c r="W42" s="293">
        <f t="shared" si="79"/>
        <v>1622</v>
      </c>
      <c r="X42" s="658"/>
      <c r="Y42" s="899"/>
      <c r="Z42" s="899"/>
      <c r="AA42" s="900"/>
      <c r="AB42" s="422" t="s">
        <v>64</v>
      </c>
    </row>
    <row r="43" spans="1:28" ht="12.6" customHeight="1" x14ac:dyDescent="0.2">
      <c r="A43" s="18"/>
      <c r="B43" s="797" t="s">
        <v>567</v>
      </c>
      <c r="C43" s="643"/>
      <c r="D43" s="643"/>
      <c r="E43" s="643"/>
      <c r="F43" s="294">
        <v>1287</v>
      </c>
      <c r="G43" s="320">
        <f t="shared" ref="G43" si="80">+F43*$X$1</f>
        <v>1287</v>
      </c>
      <c r="H43" s="1080" t="s">
        <v>59</v>
      </c>
      <c r="I43" s="1080"/>
      <c r="J43" s="1081"/>
      <c r="K43" s="1082"/>
      <c r="L43" s="285"/>
      <c r="M43" s="354"/>
      <c r="N43" s="91">
        <v>2232</v>
      </c>
      <c r="O43" s="320">
        <f t="shared" ref="O43" si="81">+N43*$X$1</f>
        <v>2232</v>
      </c>
      <c r="P43" s="287">
        <v>2083</v>
      </c>
      <c r="Q43" s="552">
        <f t="shared" ref="Q43" si="82">+P43*$X$1</f>
        <v>2083</v>
      </c>
      <c r="R43" s="493">
        <v>1909</v>
      </c>
      <c r="S43" s="313">
        <f t="shared" ref="S43" si="83">+R43*$X$1</f>
        <v>1909</v>
      </c>
      <c r="T43" s="493">
        <v>1794</v>
      </c>
      <c r="U43" s="313">
        <f t="shared" ref="U43" si="84">+T43*$X$1</f>
        <v>1794</v>
      </c>
      <c r="V43" s="493">
        <v>1716</v>
      </c>
      <c r="W43" s="294">
        <f t="shared" ref="W43" si="85">+V43*$X$1</f>
        <v>1716</v>
      </c>
      <c r="X43" s="658"/>
      <c r="Y43" s="899"/>
      <c r="Z43" s="899"/>
      <c r="AA43" s="900"/>
      <c r="AB43" s="423" t="s">
        <v>577</v>
      </c>
    </row>
    <row r="44" spans="1:28" ht="12.6" customHeight="1" x14ac:dyDescent="0.2">
      <c r="A44" s="18"/>
      <c r="B44" s="765" t="s">
        <v>568</v>
      </c>
      <c r="C44" s="645"/>
      <c r="D44" s="645"/>
      <c r="E44" s="645"/>
      <c r="F44" s="293">
        <v>1278</v>
      </c>
      <c r="G44" s="321">
        <f t="shared" ref="G44" si="86">+F44*$X$1</f>
        <v>1278</v>
      </c>
      <c r="H44" s="1097" t="s">
        <v>59</v>
      </c>
      <c r="I44" s="1097"/>
      <c r="J44" s="1098"/>
      <c r="K44" s="1099"/>
      <c r="L44" s="286"/>
      <c r="M44" s="353"/>
      <c r="N44" s="87">
        <v>2232</v>
      </c>
      <c r="O44" s="321">
        <f t="shared" ref="O44:O45" si="87">+N44*$X$1</f>
        <v>2232</v>
      </c>
      <c r="P44" s="330">
        <v>2083</v>
      </c>
      <c r="Q44" s="553">
        <f t="shared" ref="Q44:Q45" si="88">+P44*$X$1</f>
        <v>2083</v>
      </c>
      <c r="R44" s="550">
        <v>1909</v>
      </c>
      <c r="S44" s="260">
        <f t="shared" ref="S44:S45" si="89">+R44*$X$1</f>
        <v>1909</v>
      </c>
      <c r="T44" s="550">
        <v>1794</v>
      </c>
      <c r="U44" s="260">
        <f t="shared" ref="U44:U45" si="90">+T44*$X$1</f>
        <v>1794</v>
      </c>
      <c r="V44" s="550">
        <v>1716</v>
      </c>
      <c r="W44" s="293">
        <f t="shared" ref="W44:W45" si="91">+V44*$X$1</f>
        <v>1716</v>
      </c>
      <c r="X44" s="658"/>
      <c r="Y44" s="899"/>
      <c r="Z44" s="899"/>
      <c r="AA44" s="900"/>
      <c r="AB44" s="423" t="s">
        <v>578</v>
      </c>
    </row>
    <row r="45" spans="1:28" ht="12.6" customHeight="1" x14ac:dyDescent="0.2">
      <c r="A45" s="18"/>
      <c r="B45" s="797" t="s">
        <v>569</v>
      </c>
      <c r="C45" s="643"/>
      <c r="D45" s="643"/>
      <c r="E45" s="643"/>
      <c r="F45" s="294">
        <v>1278</v>
      </c>
      <c r="G45" s="320">
        <f t="shared" ref="G45" si="92">+F45*$X$1</f>
        <v>1278</v>
      </c>
      <c r="H45" s="1080" t="s">
        <v>59</v>
      </c>
      <c r="I45" s="1080"/>
      <c r="J45" s="1081"/>
      <c r="K45" s="1082"/>
      <c r="L45" s="285"/>
      <c r="M45" s="354"/>
      <c r="N45" s="91">
        <v>2232</v>
      </c>
      <c r="O45" s="320">
        <f t="shared" si="87"/>
        <v>2232</v>
      </c>
      <c r="P45" s="287">
        <v>2083</v>
      </c>
      <c r="Q45" s="552">
        <f t="shared" si="88"/>
        <v>2083</v>
      </c>
      <c r="R45" s="493">
        <v>1909</v>
      </c>
      <c r="S45" s="313">
        <f t="shared" si="89"/>
        <v>1909</v>
      </c>
      <c r="T45" s="493">
        <v>1794</v>
      </c>
      <c r="U45" s="313">
        <f t="shared" si="90"/>
        <v>1794</v>
      </c>
      <c r="V45" s="493">
        <v>1716</v>
      </c>
      <c r="W45" s="294">
        <f t="shared" si="91"/>
        <v>1716</v>
      </c>
      <c r="X45" s="658"/>
      <c r="Y45" s="899"/>
      <c r="Z45" s="899"/>
      <c r="AA45" s="900"/>
      <c r="AB45" s="423" t="s">
        <v>579</v>
      </c>
    </row>
    <row r="46" spans="1:28" ht="12.6" customHeight="1" x14ac:dyDescent="0.2">
      <c r="A46" s="18"/>
      <c r="B46" s="765" t="s">
        <v>65</v>
      </c>
      <c r="C46" s="645"/>
      <c r="D46" s="645"/>
      <c r="E46" s="645"/>
      <c r="F46" s="293">
        <v>1601</v>
      </c>
      <c r="G46" s="321">
        <f t="shared" si="74"/>
        <v>1601</v>
      </c>
      <c r="H46" s="1089" t="s">
        <v>59</v>
      </c>
      <c r="I46" s="1089"/>
      <c r="J46" s="1090"/>
      <c r="K46" s="1091"/>
      <c r="L46" s="286"/>
      <c r="M46" s="353"/>
      <c r="N46" s="72">
        <v>2938</v>
      </c>
      <c r="O46" s="315">
        <f t="shared" ref="O46" si="93">+N46*$X$1</f>
        <v>2938</v>
      </c>
      <c r="P46" s="330">
        <v>2718</v>
      </c>
      <c r="Q46" s="332">
        <f t="shared" si="49"/>
        <v>2718</v>
      </c>
      <c r="R46" s="550">
        <v>2517</v>
      </c>
      <c r="S46" s="293">
        <f t="shared" si="49"/>
        <v>2517</v>
      </c>
      <c r="T46" s="550">
        <v>2341</v>
      </c>
      <c r="U46" s="293">
        <f t="shared" si="50"/>
        <v>2341</v>
      </c>
      <c r="V46" s="550">
        <v>2267</v>
      </c>
      <c r="W46" s="293">
        <f t="shared" si="51"/>
        <v>2267</v>
      </c>
      <c r="X46" s="658"/>
      <c r="Y46" s="899"/>
      <c r="Z46" s="899"/>
      <c r="AA46" s="900"/>
      <c r="AB46" s="423" t="s">
        <v>66</v>
      </c>
    </row>
    <row r="47" spans="1:28" ht="12.6" customHeight="1" x14ac:dyDescent="0.2">
      <c r="A47" s="18"/>
      <c r="B47" s="797" t="s">
        <v>67</v>
      </c>
      <c r="C47" s="643"/>
      <c r="D47" s="643"/>
      <c r="E47" s="643"/>
      <c r="F47" s="294">
        <v>1601</v>
      </c>
      <c r="G47" s="320">
        <f t="shared" si="74"/>
        <v>1601</v>
      </c>
      <c r="H47" s="1080" t="s">
        <v>59</v>
      </c>
      <c r="I47" s="1080"/>
      <c r="J47" s="1081"/>
      <c r="K47" s="1082"/>
      <c r="L47" s="285"/>
      <c r="M47" s="354"/>
      <c r="N47" s="90">
        <v>2938</v>
      </c>
      <c r="O47" s="350">
        <f t="shared" ref="O47:O48" si="94">+N47*$X$1</f>
        <v>2938</v>
      </c>
      <c r="P47" s="287">
        <v>2718</v>
      </c>
      <c r="Q47" s="331">
        <f t="shared" ref="Q47:Q48" si="95">+P47*$X$1</f>
        <v>2718</v>
      </c>
      <c r="R47" s="493">
        <v>2517</v>
      </c>
      <c r="S47" s="294">
        <f t="shared" ref="S47:S48" si="96">+R47*$X$1</f>
        <v>2517</v>
      </c>
      <c r="T47" s="493">
        <v>2341</v>
      </c>
      <c r="U47" s="294">
        <f t="shared" ref="U47:U48" si="97">+T47*$X$1</f>
        <v>2341</v>
      </c>
      <c r="V47" s="493">
        <v>2267</v>
      </c>
      <c r="W47" s="294">
        <f t="shared" ref="W47:W48" si="98">+V47*$X$1</f>
        <v>2267</v>
      </c>
      <c r="X47" s="658"/>
      <c r="Y47" s="899"/>
      <c r="Z47" s="899"/>
      <c r="AA47" s="900"/>
      <c r="AB47" s="423" t="s">
        <v>68</v>
      </c>
    </row>
    <row r="48" spans="1:28" ht="12.6" customHeight="1" x14ac:dyDescent="0.2">
      <c r="A48" s="18"/>
      <c r="B48" s="765" t="s">
        <v>69</v>
      </c>
      <c r="C48" s="645"/>
      <c r="D48" s="645"/>
      <c r="E48" s="645"/>
      <c r="F48" s="293">
        <v>1601</v>
      </c>
      <c r="G48" s="349">
        <f t="shared" si="74"/>
        <v>1601</v>
      </c>
      <c r="H48" s="1089" t="s">
        <v>59</v>
      </c>
      <c r="I48" s="1089"/>
      <c r="J48" s="1090"/>
      <c r="K48" s="1189"/>
      <c r="L48" s="286"/>
      <c r="M48" s="353"/>
      <c r="N48" s="72">
        <v>2938</v>
      </c>
      <c r="O48" s="315">
        <f t="shared" si="94"/>
        <v>2938</v>
      </c>
      <c r="P48" s="330">
        <v>2718</v>
      </c>
      <c r="Q48" s="332">
        <f t="shared" si="95"/>
        <v>2718</v>
      </c>
      <c r="R48" s="550">
        <v>2517</v>
      </c>
      <c r="S48" s="293">
        <f t="shared" si="96"/>
        <v>2517</v>
      </c>
      <c r="T48" s="550">
        <v>2341</v>
      </c>
      <c r="U48" s="293">
        <f t="shared" si="97"/>
        <v>2341</v>
      </c>
      <c r="V48" s="550">
        <v>2267</v>
      </c>
      <c r="W48" s="293">
        <f t="shared" si="98"/>
        <v>2267</v>
      </c>
      <c r="X48" s="658"/>
      <c r="Y48" s="899"/>
      <c r="Z48" s="899"/>
      <c r="AA48" s="900"/>
      <c r="AB48" s="423" t="s">
        <v>70</v>
      </c>
    </row>
    <row r="49" spans="1:35" ht="12.6" customHeight="1" x14ac:dyDescent="0.2">
      <c r="A49" s="18"/>
      <c r="B49" s="797" t="s">
        <v>71</v>
      </c>
      <c r="C49" s="643"/>
      <c r="D49" s="643"/>
      <c r="E49" s="1050"/>
      <c r="F49" s="1092" t="s">
        <v>433</v>
      </c>
      <c r="G49" s="1090"/>
      <c r="H49" s="1090"/>
      <c r="I49" s="1090"/>
      <c r="J49" s="265"/>
      <c r="K49" s="399"/>
      <c r="L49" s="400"/>
      <c r="M49" s="294"/>
      <c r="N49" s="402"/>
      <c r="O49" s="320"/>
      <c r="P49" s="285"/>
      <c r="Q49" s="331"/>
      <c r="R49" s="103"/>
      <c r="S49" s="313"/>
      <c r="T49" s="103"/>
      <c r="U49" s="313"/>
      <c r="V49" s="103"/>
      <c r="W49" s="294"/>
      <c r="X49" s="132"/>
      <c r="Y49" s="132"/>
      <c r="Z49" s="132"/>
      <c r="AA49" s="132"/>
      <c r="AB49" s="421" t="s">
        <v>72</v>
      </c>
    </row>
    <row r="50" spans="1:35" ht="12.6" customHeight="1" x14ac:dyDescent="0.2">
      <c r="A50" s="18"/>
      <c r="B50" s="765" t="s">
        <v>73</v>
      </c>
      <c r="C50" s="645"/>
      <c r="D50" s="645"/>
      <c r="E50" s="1052"/>
      <c r="F50" s="1090"/>
      <c r="G50" s="1090"/>
      <c r="H50" s="1090"/>
      <c r="I50" s="1090"/>
      <c r="J50" s="17"/>
      <c r="K50" s="291"/>
      <c r="L50" s="266"/>
      <c r="M50" s="293"/>
      <c r="N50" s="216"/>
      <c r="O50" s="321"/>
      <c r="P50" s="291"/>
      <c r="Q50" s="332"/>
      <c r="R50" s="325"/>
      <c r="S50" s="260"/>
      <c r="T50" s="325"/>
      <c r="U50" s="260"/>
      <c r="V50" s="325"/>
      <c r="W50" s="293"/>
      <c r="X50" s="132"/>
      <c r="Y50" s="132"/>
      <c r="Z50" s="132"/>
      <c r="AA50" s="132"/>
      <c r="AB50" s="421" t="s">
        <v>74</v>
      </c>
    </row>
    <row r="51" spans="1:35" ht="12.6" customHeight="1" x14ac:dyDescent="0.2">
      <c r="A51" s="18"/>
      <c r="B51" s="797" t="s">
        <v>452</v>
      </c>
      <c r="C51" s="643"/>
      <c r="D51" s="643"/>
      <c r="E51" s="1050"/>
      <c r="F51" s="1090"/>
      <c r="G51" s="1090"/>
      <c r="H51" s="1090"/>
      <c r="I51" s="1090"/>
      <c r="J51" s="265"/>
      <c r="K51" s="285"/>
      <c r="L51" s="308"/>
      <c r="M51" s="294"/>
      <c r="N51" s="309"/>
      <c r="O51" s="363"/>
      <c r="P51" s="285"/>
      <c r="Q51" s="331"/>
      <c r="R51" s="96"/>
      <c r="S51" s="358"/>
      <c r="T51" s="96"/>
      <c r="U51" s="358"/>
      <c r="V51" s="96"/>
      <c r="W51" s="294"/>
      <c r="X51" s="132"/>
      <c r="Y51" s="132"/>
      <c r="Z51" s="132"/>
      <c r="AA51" s="132"/>
      <c r="AB51" s="36">
        <v>48</v>
      </c>
      <c r="AC51" s="424" t="s">
        <v>75</v>
      </c>
      <c r="AD51" s="424" t="s">
        <v>76</v>
      </c>
      <c r="AE51" s="424" t="s">
        <v>77</v>
      </c>
    </row>
    <row r="52" spans="1:35" ht="12.6" customHeight="1" x14ac:dyDescent="0.2">
      <c r="A52" s="18"/>
      <c r="B52" s="1070" t="s">
        <v>78</v>
      </c>
      <c r="C52" s="1071"/>
      <c r="D52" s="1071"/>
      <c r="E52" s="1071"/>
      <c r="F52" s="1090"/>
      <c r="G52" s="1090"/>
      <c r="H52" s="1090"/>
      <c r="I52" s="1090"/>
      <c r="J52" s="17"/>
      <c r="K52" s="17"/>
      <c r="L52" s="266"/>
      <c r="M52" s="263"/>
      <c r="N52" s="216"/>
      <c r="O52" s="239"/>
      <c r="P52" s="117"/>
      <c r="Q52" s="268"/>
      <c r="R52" s="239"/>
      <c r="S52" s="239"/>
      <c r="T52" s="239"/>
      <c r="U52" s="239"/>
      <c r="V52" s="93"/>
      <c r="W52" s="93"/>
      <c r="X52" s="169"/>
      <c r="Y52" s="169"/>
      <c r="Z52" s="169"/>
      <c r="AA52" s="169"/>
      <c r="AB52" s="197">
        <v>54</v>
      </c>
    </row>
    <row r="53" spans="1:35" ht="12.6" customHeight="1" x14ac:dyDescent="0.2">
      <c r="A53" s="18"/>
      <c r="B53" s="797" t="s">
        <v>79</v>
      </c>
      <c r="C53" s="643"/>
      <c r="D53" s="643"/>
      <c r="E53" s="643"/>
      <c r="F53" s="294">
        <v>1044</v>
      </c>
      <c r="G53" s="313">
        <f t="shared" ref="G53:G56" si="99">+F53*$X$1</f>
        <v>1044</v>
      </c>
      <c r="H53" s="124"/>
      <c r="I53" s="294"/>
      <c r="J53" s="493">
        <f>F53+225</f>
        <v>1269</v>
      </c>
      <c r="K53" s="294">
        <f t="shared" ref="K53" si="100">+J53*$X$1</f>
        <v>1269</v>
      </c>
      <c r="L53" s="493">
        <f>F53+135</f>
        <v>1179</v>
      </c>
      <c r="M53" s="294">
        <f t="shared" ref="M53" si="101">+L53*$X$1</f>
        <v>1179</v>
      </c>
      <c r="N53" s="103">
        <f>F53+83</f>
        <v>1127</v>
      </c>
      <c r="O53" s="313">
        <f t="shared" ref="O53" si="102">+N53*$X$1</f>
        <v>1127</v>
      </c>
      <c r="P53" s="103">
        <f>F53+75</f>
        <v>1119</v>
      </c>
      <c r="Q53" s="294">
        <f t="shared" si="49"/>
        <v>1119</v>
      </c>
      <c r="R53" s="103">
        <f>F53+63</f>
        <v>1107</v>
      </c>
      <c r="S53" s="313">
        <f t="shared" ref="S53" si="103">+R53*$X$1</f>
        <v>1107</v>
      </c>
      <c r="T53" s="103">
        <f>F53+53</f>
        <v>1097</v>
      </c>
      <c r="U53" s="313">
        <f t="shared" ref="U53" si="104">+T53*$X$1</f>
        <v>1097</v>
      </c>
      <c r="V53" s="103">
        <f>F53+45</f>
        <v>1089</v>
      </c>
      <c r="W53" s="294">
        <f t="shared" ref="W53" si="105">+V53*$X$1</f>
        <v>1089</v>
      </c>
      <c r="X53" s="131"/>
      <c r="Y53" s="132"/>
      <c r="Z53" s="132"/>
      <c r="AA53" s="132"/>
      <c r="AB53" s="421">
        <v>60</v>
      </c>
    </row>
    <row r="54" spans="1:35" ht="12.6" customHeight="1" x14ac:dyDescent="0.2">
      <c r="A54" s="18"/>
      <c r="B54" s="765" t="s">
        <v>547</v>
      </c>
      <c r="C54" s="645"/>
      <c r="D54" s="645"/>
      <c r="E54" s="645"/>
      <c r="F54" s="293">
        <v>1104</v>
      </c>
      <c r="G54" s="260">
        <f t="shared" si="99"/>
        <v>1104</v>
      </c>
      <c r="H54" s="123"/>
      <c r="I54" s="293"/>
      <c r="J54" s="538">
        <f>F54+225</f>
        <v>1329</v>
      </c>
      <c r="K54" s="293">
        <f t="shared" ref="K54:K56" si="106">+J54*$X$1</f>
        <v>1329</v>
      </c>
      <c r="L54" s="538">
        <f>F54+135</f>
        <v>1239</v>
      </c>
      <c r="M54" s="293">
        <f t="shared" ref="M54:M56" si="107">+L54*$X$1</f>
        <v>1239</v>
      </c>
      <c r="N54" s="104">
        <f>F54+83</f>
        <v>1187</v>
      </c>
      <c r="O54" s="260">
        <f t="shared" ref="O54:O56" si="108">+N54*$X$1</f>
        <v>1187</v>
      </c>
      <c r="P54" s="104">
        <f>F54+75</f>
        <v>1179</v>
      </c>
      <c r="Q54" s="293">
        <f t="shared" ref="Q54:Q56" si="109">+P54*$X$1</f>
        <v>1179</v>
      </c>
      <c r="R54" s="104">
        <f>F54+63</f>
        <v>1167</v>
      </c>
      <c r="S54" s="260">
        <f t="shared" ref="S54:S56" si="110">+R54*$X$1</f>
        <v>1167</v>
      </c>
      <c r="T54" s="104">
        <f>F54+53</f>
        <v>1157</v>
      </c>
      <c r="U54" s="260">
        <f t="shared" ref="U54:U56" si="111">+T54*$X$1</f>
        <v>1157</v>
      </c>
      <c r="V54" s="104">
        <f>F54+45</f>
        <v>1149</v>
      </c>
      <c r="W54" s="293">
        <f t="shared" ref="W54:W56" si="112">+V54*$X$1</f>
        <v>1149</v>
      </c>
      <c r="X54" s="131"/>
      <c r="Y54" s="132"/>
      <c r="Z54" s="132"/>
      <c r="AA54" s="132"/>
      <c r="AB54" s="421">
        <v>61</v>
      </c>
    </row>
    <row r="55" spans="1:35" ht="12.6" customHeight="1" x14ac:dyDescent="0.2">
      <c r="A55" s="18"/>
      <c r="B55" s="1186" t="s">
        <v>80</v>
      </c>
      <c r="C55" s="896"/>
      <c r="D55" s="896"/>
      <c r="E55" s="896"/>
      <c r="F55" s="296">
        <v>1102</v>
      </c>
      <c r="G55" s="358">
        <f t="shared" si="99"/>
        <v>1102</v>
      </c>
      <c r="H55" s="451"/>
      <c r="I55" s="294"/>
      <c r="J55" s="493">
        <f>F55+225</f>
        <v>1327</v>
      </c>
      <c r="K55" s="294">
        <f t="shared" si="106"/>
        <v>1327</v>
      </c>
      <c r="L55" s="493">
        <f>F55+135</f>
        <v>1237</v>
      </c>
      <c r="M55" s="294">
        <f t="shared" si="107"/>
        <v>1237</v>
      </c>
      <c r="N55" s="103">
        <f>F55+83</f>
        <v>1185</v>
      </c>
      <c r="O55" s="313">
        <f t="shared" si="108"/>
        <v>1185</v>
      </c>
      <c r="P55" s="103">
        <f>F55+75</f>
        <v>1177</v>
      </c>
      <c r="Q55" s="294">
        <f t="shared" si="109"/>
        <v>1177</v>
      </c>
      <c r="R55" s="103">
        <f>F55+63</f>
        <v>1165</v>
      </c>
      <c r="S55" s="313">
        <f t="shared" si="110"/>
        <v>1165</v>
      </c>
      <c r="T55" s="103">
        <f>F55+53</f>
        <v>1155</v>
      </c>
      <c r="U55" s="313">
        <f t="shared" si="111"/>
        <v>1155</v>
      </c>
      <c r="V55" s="103">
        <f>F55+45</f>
        <v>1147</v>
      </c>
      <c r="W55" s="294">
        <f t="shared" si="112"/>
        <v>1147</v>
      </c>
      <c r="X55" s="131"/>
      <c r="Y55" s="132"/>
      <c r="Z55" s="132"/>
      <c r="AA55" s="132"/>
      <c r="AB55" s="421">
        <v>62</v>
      </c>
    </row>
    <row r="56" spans="1:35" ht="12.6" customHeight="1" x14ac:dyDescent="0.2">
      <c r="A56" s="18"/>
      <c r="B56" s="765" t="s">
        <v>81</v>
      </c>
      <c r="C56" s="680"/>
      <c r="D56" s="680"/>
      <c r="E56" s="680"/>
      <c r="F56" s="293">
        <v>1162</v>
      </c>
      <c r="G56" s="293">
        <f t="shared" si="99"/>
        <v>1162</v>
      </c>
      <c r="H56" s="123"/>
      <c r="I56" s="293"/>
      <c r="J56" s="538">
        <f>F56+225</f>
        <v>1387</v>
      </c>
      <c r="K56" s="293">
        <f t="shared" si="106"/>
        <v>1387</v>
      </c>
      <c r="L56" s="538">
        <f>F56+135</f>
        <v>1297</v>
      </c>
      <c r="M56" s="293">
        <f t="shared" si="107"/>
        <v>1297</v>
      </c>
      <c r="N56" s="104">
        <f>F56+83</f>
        <v>1245</v>
      </c>
      <c r="O56" s="260">
        <f t="shared" si="108"/>
        <v>1245</v>
      </c>
      <c r="P56" s="104">
        <f>F56+75</f>
        <v>1237</v>
      </c>
      <c r="Q56" s="293">
        <f t="shared" si="109"/>
        <v>1237</v>
      </c>
      <c r="R56" s="104">
        <f>F56+63</f>
        <v>1225</v>
      </c>
      <c r="S56" s="260">
        <f t="shared" si="110"/>
        <v>1225</v>
      </c>
      <c r="T56" s="104">
        <f>F56+53</f>
        <v>1215</v>
      </c>
      <c r="U56" s="260">
        <f t="shared" si="111"/>
        <v>1215</v>
      </c>
      <c r="V56" s="104">
        <f>F56+45</f>
        <v>1207</v>
      </c>
      <c r="W56" s="293">
        <f t="shared" si="112"/>
        <v>1207</v>
      </c>
      <c r="X56" s="131"/>
      <c r="Y56" s="132"/>
      <c r="Z56" s="132"/>
      <c r="AA56" s="132"/>
      <c r="AB56" s="421">
        <v>63</v>
      </c>
      <c r="AD56" s="4"/>
      <c r="AE56" s="4"/>
      <c r="AF56" s="4"/>
      <c r="AG56" s="4"/>
      <c r="AH56" s="4"/>
      <c r="AI56" s="4"/>
    </row>
    <row r="57" spans="1:35" ht="12.6" customHeight="1" x14ac:dyDescent="0.2">
      <c r="A57" s="18"/>
      <c r="B57" s="797" t="s">
        <v>543</v>
      </c>
      <c r="C57" s="643"/>
      <c r="D57" s="643"/>
      <c r="E57" s="643"/>
      <c r="F57" s="294">
        <v>1234</v>
      </c>
      <c r="G57" s="294">
        <f t="shared" ref="G57" si="113">+F57*$X$1</f>
        <v>1234</v>
      </c>
      <c r="H57" s="124"/>
      <c r="I57" s="294"/>
      <c r="J57" s="493">
        <f>F57+290</f>
        <v>1524</v>
      </c>
      <c r="K57" s="294">
        <f t="shared" ref="K57" si="114">+J57*$X$1</f>
        <v>1524</v>
      </c>
      <c r="L57" s="493">
        <f>F57+180</f>
        <v>1414</v>
      </c>
      <c r="M57" s="294">
        <f t="shared" ref="M57:M58" si="115">+L57*$X$1</f>
        <v>1414</v>
      </c>
      <c r="N57" s="103">
        <f>F57+140</f>
        <v>1374</v>
      </c>
      <c r="O57" s="313">
        <f t="shared" ref="O57:O58" si="116">+N57*$X$1</f>
        <v>1374</v>
      </c>
      <c r="P57" s="103">
        <f>F57+125</f>
        <v>1359</v>
      </c>
      <c r="Q57" s="294">
        <f t="shared" ref="Q57:Q58" si="117">+P57*$X$1</f>
        <v>1359</v>
      </c>
      <c r="R57" s="103">
        <f>F57+110</f>
        <v>1344</v>
      </c>
      <c r="S57" s="313">
        <f t="shared" ref="S57:S58" si="118">+R57*$X$1</f>
        <v>1344</v>
      </c>
      <c r="T57" s="103">
        <f>F57+100</f>
        <v>1334</v>
      </c>
      <c r="U57" s="313">
        <f t="shared" ref="U57:U58" si="119">+T57*$X$1</f>
        <v>1334</v>
      </c>
      <c r="V57" s="103">
        <f>F57+90</f>
        <v>1324</v>
      </c>
      <c r="W57" s="294">
        <f t="shared" ref="W57:W58" si="120">+V57*$X$1</f>
        <v>1324</v>
      </c>
      <c r="X57" s="131"/>
      <c r="Y57" s="132"/>
      <c r="Z57" s="132"/>
      <c r="AA57" s="132"/>
      <c r="AB57" s="421">
        <v>64</v>
      </c>
    </row>
    <row r="58" spans="1:35" ht="12.6" customHeight="1" x14ac:dyDescent="0.2">
      <c r="A58" s="18"/>
      <c r="B58" s="1093" t="s">
        <v>904</v>
      </c>
      <c r="C58" s="894"/>
      <c r="D58" s="894"/>
      <c r="E58" s="894"/>
      <c r="F58" s="601">
        <v>310</v>
      </c>
      <c r="G58" s="601">
        <f t="shared" ref="G58:G68" si="121">+F58*$X$1</f>
        <v>310</v>
      </c>
      <c r="H58" s="603"/>
      <c r="I58" s="606"/>
      <c r="J58" s="616"/>
      <c r="K58" s="601"/>
      <c r="L58" s="604">
        <f>F58+110</f>
        <v>420</v>
      </c>
      <c r="M58" s="602">
        <f t="shared" si="115"/>
        <v>420</v>
      </c>
      <c r="N58" s="604">
        <f>F58+60</f>
        <v>370</v>
      </c>
      <c r="O58" s="602">
        <f t="shared" si="116"/>
        <v>370</v>
      </c>
      <c r="P58" s="604">
        <f>F58+50</f>
        <v>360</v>
      </c>
      <c r="Q58" s="602">
        <f t="shared" si="117"/>
        <v>360</v>
      </c>
      <c r="R58" s="604">
        <f>F58+45</f>
        <v>355</v>
      </c>
      <c r="S58" s="602">
        <f t="shared" si="118"/>
        <v>355</v>
      </c>
      <c r="T58" s="604">
        <f>F58+40</f>
        <v>350</v>
      </c>
      <c r="U58" s="602">
        <f t="shared" si="119"/>
        <v>350</v>
      </c>
      <c r="V58" s="604">
        <f>F58+34</f>
        <v>344</v>
      </c>
      <c r="W58" s="602">
        <f t="shared" si="120"/>
        <v>344</v>
      </c>
      <c r="X58" s="132"/>
      <c r="Y58" s="132"/>
      <c r="Z58" s="132"/>
      <c r="AA58" s="132"/>
      <c r="AB58" s="421">
        <v>85</v>
      </c>
    </row>
    <row r="59" spans="1:35" ht="12.6" customHeight="1" x14ac:dyDescent="0.2">
      <c r="A59" s="18"/>
      <c r="B59" s="808" t="s">
        <v>619</v>
      </c>
      <c r="C59" s="695"/>
      <c r="D59" s="695"/>
      <c r="E59" s="695"/>
      <c r="F59" s="328">
        <v>1004</v>
      </c>
      <c r="G59" s="551">
        <f t="shared" si="121"/>
        <v>1004</v>
      </c>
      <c r="H59" s="285"/>
      <c r="I59" s="354"/>
      <c r="J59" s="464"/>
      <c r="K59" s="328"/>
      <c r="L59" s="493">
        <f>F59+110</f>
        <v>1114</v>
      </c>
      <c r="M59" s="294">
        <f t="shared" ref="M59" si="122">+L59*$X$1</f>
        <v>1114</v>
      </c>
      <c r="N59" s="493">
        <f>F59+60</f>
        <v>1064</v>
      </c>
      <c r="O59" s="294">
        <f t="shared" ref="O59" si="123">+N59*$X$1</f>
        <v>1064</v>
      </c>
      <c r="P59" s="493">
        <f>F59+50</f>
        <v>1054</v>
      </c>
      <c r="Q59" s="294">
        <f t="shared" ref="Q59" si="124">+P59*$X$1</f>
        <v>1054</v>
      </c>
      <c r="R59" s="493">
        <f>F59+45</f>
        <v>1049</v>
      </c>
      <c r="S59" s="294">
        <f t="shared" ref="S59" si="125">+R59*$X$1</f>
        <v>1049</v>
      </c>
      <c r="T59" s="493">
        <f>F59+40</f>
        <v>1044</v>
      </c>
      <c r="U59" s="294">
        <f t="shared" ref="U59" si="126">+T59*$X$1</f>
        <v>1044</v>
      </c>
      <c r="V59" s="493">
        <f>F59+34</f>
        <v>1038</v>
      </c>
      <c r="W59" s="294">
        <f t="shared" ref="W59" si="127">+V59*$X$1</f>
        <v>1038</v>
      </c>
      <c r="X59" s="132"/>
      <c r="Y59" s="132"/>
      <c r="Z59" s="132"/>
      <c r="AA59" s="132"/>
      <c r="AB59" s="421" t="s">
        <v>811</v>
      </c>
    </row>
    <row r="60" spans="1:35" ht="12.6" customHeight="1" x14ac:dyDescent="0.2">
      <c r="A60" s="18"/>
      <c r="B60" s="788" t="s">
        <v>618</v>
      </c>
      <c r="C60" s="789"/>
      <c r="D60" s="789"/>
      <c r="E60" s="789"/>
      <c r="F60" s="314">
        <v>716</v>
      </c>
      <c r="G60" s="349">
        <f t="shared" ref="G60" si="128">+F60*$X$1</f>
        <v>716</v>
      </c>
      <c r="H60" s="286"/>
      <c r="I60" s="353"/>
      <c r="J60" s="463"/>
      <c r="K60" s="314"/>
      <c r="L60" s="538">
        <f>F60+110</f>
        <v>826</v>
      </c>
      <c r="M60" s="293">
        <f t="shared" ref="M60" si="129">+L60*$X$1</f>
        <v>826</v>
      </c>
      <c r="N60" s="538">
        <f>F60+60</f>
        <v>776</v>
      </c>
      <c r="O60" s="293">
        <f t="shared" ref="O60" si="130">+N60*$X$1</f>
        <v>776</v>
      </c>
      <c r="P60" s="538">
        <f>F60+50</f>
        <v>766</v>
      </c>
      <c r="Q60" s="293">
        <f t="shared" ref="Q60" si="131">+P60*$X$1</f>
        <v>766</v>
      </c>
      <c r="R60" s="538">
        <f>F60+45</f>
        <v>761</v>
      </c>
      <c r="S60" s="293">
        <f t="shared" ref="S60" si="132">+R60*$X$1</f>
        <v>761</v>
      </c>
      <c r="T60" s="538">
        <f>F60+40</f>
        <v>756</v>
      </c>
      <c r="U60" s="293">
        <f t="shared" ref="U60" si="133">+T60*$X$1</f>
        <v>756</v>
      </c>
      <c r="V60" s="538">
        <f>F60+34</f>
        <v>750</v>
      </c>
      <c r="W60" s="293">
        <f t="shared" ref="W60" si="134">+V60*$X$1</f>
        <v>750</v>
      </c>
      <c r="X60" s="132"/>
      <c r="Y60" s="132"/>
      <c r="Z60" s="132"/>
      <c r="AA60" s="132"/>
      <c r="AB60" s="421" t="s">
        <v>812</v>
      </c>
    </row>
    <row r="61" spans="1:35" ht="12.6" customHeight="1" x14ac:dyDescent="0.2">
      <c r="A61" s="18"/>
      <c r="B61" s="766" t="s">
        <v>795</v>
      </c>
      <c r="C61" s="767"/>
      <c r="D61" s="767"/>
      <c r="E61" s="767"/>
      <c r="F61" s="328">
        <v>695</v>
      </c>
      <c r="G61" s="551">
        <f t="shared" ref="G61:G62" si="135">+F61*$X$1</f>
        <v>695</v>
      </c>
      <c r="H61" s="285"/>
      <c r="I61" s="354"/>
      <c r="J61" s="464"/>
      <c r="K61" s="328"/>
      <c r="L61" s="493">
        <f>F61+110</f>
        <v>805</v>
      </c>
      <c r="M61" s="294">
        <f t="shared" ref="M61" si="136">+L61*$X$1</f>
        <v>805</v>
      </c>
      <c r="N61" s="493">
        <f>F61+60</f>
        <v>755</v>
      </c>
      <c r="O61" s="294">
        <f t="shared" ref="O61" si="137">+N61*$X$1</f>
        <v>755</v>
      </c>
      <c r="P61" s="493">
        <f>F61+50</f>
        <v>745</v>
      </c>
      <c r="Q61" s="294">
        <f t="shared" ref="Q61" si="138">+P61*$X$1</f>
        <v>745</v>
      </c>
      <c r="R61" s="493">
        <f>F61+45</f>
        <v>740</v>
      </c>
      <c r="S61" s="294">
        <f t="shared" ref="S61" si="139">+R61*$X$1</f>
        <v>740</v>
      </c>
      <c r="T61" s="493">
        <f>F61+40</f>
        <v>735</v>
      </c>
      <c r="U61" s="294">
        <f t="shared" ref="U61" si="140">+T61*$X$1</f>
        <v>735</v>
      </c>
      <c r="V61" s="493">
        <f>F61+34</f>
        <v>729</v>
      </c>
      <c r="W61" s="294">
        <f t="shared" ref="W61" si="141">+V61*$X$1</f>
        <v>729</v>
      </c>
      <c r="X61" s="132"/>
      <c r="Y61" s="132"/>
      <c r="Z61" s="132"/>
      <c r="AA61" s="132"/>
      <c r="AB61" s="421" t="s">
        <v>810</v>
      </c>
    </row>
    <row r="62" spans="1:35" ht="12.6" customHeight="1" x14ac:dyDescent="0.2">
      <c r="A62" s="18"/>
      <c r="B62" s="788" t="s">
        <v>808</v>
      </c>
      <c r="C62" s="789"/>
      <c r="D62" s="789"/>
      <c r="E62" s="789"/>
      <c r="F62" s="392">
        <f>2.55*X2</f>
        <v>2618.85</v>
      </c>
      <c r="G62" s="293">
        <f t="shared" si="135"/>
        <v>2618.85</v>
      </c>
      <c r="H62" s="72"/>
      <c r="I62" s="293"/>
      <c r="J62" s="72">
        <f>F62+150</f>
        <v>2768.85</v>
      </c>
      <c r="K62" s="293">
        <f t="shared" ref="K62" si="142">+J62*$X$1</f>
        <v>2768.85</v>
      </c>
      <c r="L62" s="538">
        <f>F62+90</f>
        <v>2708.85</v>
      </c>
      <c r="M62" s="293">
        <f t="shared" ref="M62" si="143">+L62*$X$1</f>
        <v>2708.85</v>
      </c>
      <c r="N62" s="538">
        <f>F62+55</f>
        <v>2673.85</v>
      </c>
      <c r="O62" s="293">
        <f t="shared" ref="O62" si="144">+N62*$X$1</f>
        <v>2673.85</v>
      </c>
      <c r="P62" s="538">
        <f>F62+50</f>
        <v>2668.85</v>
      </c>
      <c r="Q62" s="293">
        <f t="shared" ref="Q62" si="145">+P62*$X$1</f>
        <v>2668.85</v>
      </c>
      <c r="R62" s="538">
        <f>F62+42</f>
        <v>2660.85</v>
      </c>
      <c r="S62" s="293">
        <f t="shared" ref="S62" si="146">+R62*$X$1</f>
        <v>2660.85</v>
      </c>
      <c r="T62" s="538">
        <f>F62+35</f>
        <v>2653.85</v>
      </c>
      <c r="U62" s="293">
        <f t="shared" ref="U62" si="147">+T62*$X$1</f>
        <v>2653.85</v>
      </c>
      <c r="V62" s="538">
        <f>F62+30</f>
        <v>2648.85</v>
      </c>
      <c r="W62" s="293">
        <f t="shared" ref="W62" si="148">+V62*$X$1</f>
        <v>2648.85</v>
      </c>
      <c r="X62" s="132"/>
      <c r="Y62" s="132"/>
      <c r="Z62" s="132"/>
      <c r="AA62" s="132"/>
      <c r="AB62" s="421" t="s">
        <v>809</v>
      </c>
    </row>
    <row r="63" spans="1:35" ht="12.6" customHeight="1" x14ac:dyDescent="0.2">
      <c r="A63" s="18"/>
      <c r="B63" s="809" t="s">
        <v>426</v>
      </c>
      <c r="C63" s="810"/>
      <c r="D63" s="810"/>
      <c r="E63" s="811"/>
      <c r="F63" s="328">
        <v>970</v>
      </c>
      <c r="G63" s="551">
        <f t="shared" si="121"/>
        <v>970</v>
      </c>
      <c r="H63" s="285"/>
      <c r="I63" s="354"/>
      <c r="J63" s="90">
        <f>F63+150</f>
        <v>1120</v>
      </c>
      <c r="K63" s="294">
        <f t="shared" ref="K63" si="149">+J63*$X$1</f>
        <v>1120</v>
      </c>
      <c r="L63" s="493">
        <f>F63+110</f>
        <v>1080</v>
      </c>
      <c r="M63" s="294">
        <f t="shared" ref="M63" si="150">+L63*$X$1</f>
        <v>1080</v>
      </c>
      <c r="N63" s="493">
        <f>F63+80</f>
        <v>1050</v>
      </c>
      <c r="O63" s="294">
        <f t="shared" ref="O63:O65" si="151">+N63*$X$1</f>
        <v>1050</v>
      </c>
      <c r="P63" s="493">
        <f>F63+60</f>
        <v>1030</v>
      </c>
      <c r="Q63" s="294">
        <f t="shared" ref="Q63:Q65" si="152">+P63*$X$1</f>
        <v>1030</v>
      </c>
      <c r="R63" s="493">
        <f>F63+50</f>
        <v>1020</v>
      </c>
      <c r="S63" s="294">
        <f t="shared" ref="S63:S65" si="153">+R63*$X$1</f>
        <v>1020</v>
      </c>
      <c r="T63" s="493">
        <f>F63+43</f>
        <v>1013</v>
      </c>
      <c r="U63" s="294">
        <f t="shared" ref="U63:U65" si="154">+T63*$X$1</f>
        <v>1013</v>
      </c>
      <c r="V63" s="493">
        <f>F63+39</f>
        <v>1009</v>
      </c>
      <c r="W63" s="294">
        <f t="shared" ref="W63:W65" si="155">+V63*$X$1</f>
        <v>1009</v>
      </c>
      <c r="X63" s="132"/>
      <c r="Y63" s="132"/>
      <c r="Z63" s="132"/>
      <c r="AA63" s="132"/>
      <c r="AB63" s="421">
        <v>89</v>
      </c>
    </row>
    <row r="64" spans="1:35" ht="12.6" customHeight="1" x14ac:dyDescent="0.2">
      <c r="A64" s="18"/>
      <c r="B64" s="765" t="s">
        <v>522</v>
      </c>
      <c r="C64" s="645"/>
      <c r="D64" s="645"/>
      <c r="E64" s="645"/>
      <c r="F64" s="293">
        <v>484</v>
      </c>
      <c r="G64" s="349">
        <f t="shared" si="121"/>
        <v>484</v>
      </c>
      <c r="H64" s="286"/>
      <c r="I64" s="353"/>
      <c r="J64" s="72"/>
      <c r="K64" s="260"/>
      <c r="L64" s="538"/>
      <c r="M64" s="260"/>
      <c r="N64" s="538">
        <f>F64+55</f>
        <v>539</v>
      </c>
      <c r="O64" s="293">
        <f t="shared" si="151"/>
        <v>539</v>
      </c>
      <c r="P64" s="538">
        <f>F64+50</f>
        <v>534</v>
      </c>
      <c r="Q64" s="293">
        <f t="shared" si="152"/>
        <v>534</v>
      </c>
      <c r="R64" s="538">
        <f>F64+42</f>
        <v>526</v>
      </c>
      <c r="S64" s="293">
        <f t="shared" si="153"/>
        <v>526</v>
      </c>
      <c r="T64" s="538">
        <f>F64+35</f>
        <v>519</v>
      </c>
      <c r="U64" s="293">
        <f t="shared" si="154"/>
        <v>519</v>
      </c>
      <c r="V64" s="538">
        <f>F64+30</f>
        <v>514</v>
      </c>
      <c r="W64" s="293">
        <f t="shared" si="155"/>
        <v>514</v>
      </c>
      <c r="X64" s="148"/>
      <c r="Y64" s="148"/>
      <c r="Z64" s="148" t="s">
        <v>82</v>
      </c>
      <c r="AA64" s="132"/>
      <c r="AB64" s="421">
        <v>91</v>
      </c>
    </row>
    <row r="65" spans="1:38" ht="12.6" customHeight="1" x14ac:dyDescent="0.2">
      <c r="A65" s="18"/>
      <c r="B65" s="1083" t="s">
        <v>83</v>
      </c>
      <c r="C65" s="1084"/>
      <c r="D65" s="1084"/>
      <c r="E65" s="1085"/>
      <c r="F65" s="294">
        <v>245</v>
      </c>
      <c r="G65" s="320">
        <f t="shared" si="121"/>
        <v>245</v>
      </c>
      <c r="H65" s="285"/>
      <c r="I65" s="354"/>
      <c r="J65" s="90"/>
      <c r="K65" s="313"/>
      <c r="L65" s="493"/>
      <c r="M65" s="313"/>
      <c r="N65" s="493">
        <f>F65+55</f>
        <v>300</v>
      </c>
      <c r="O65" s="294">
        <f t="shared" si="151"/>
        <v>300</v>
      </c>
      <c r="P65" s="493">
        <f>F65+50</f>
        <v>295</v>
      </c>
      <c r="Q65" s="294">
        <f t="shared" si="152"/>
        <v>295</v>
      </c>
      <c r="R65" s="493">
        <f>F65+42</f>
        <v>287</v>
      </c>
      <c r="S65" s="294">
        <f t="shared" si="153"/>
        <v>287</v>
      </c>
      <c r="T65" s="493">
        <f>F65+35</f>
        <v>280</v>
      </c>
      <c r="U65" s="294">
        <f t="shared" si="154"/>
        <v>280</v>
      </c>
      <c r="V65" s="493">
        <f>F65+30</f>
        <v>275</v>
      </c>
      <c r="W65" s="294">
        <f t="shared" si="155"/>
        <v>275</v>
      </c>
      <c r="X65" s="148"/>
      <c r="Y65" s="148"/>
      <c r="Z65" s="148"/>
      <c r="AA65" s="132"/>
      <c r="AB65" s="421" t="s">
        <v>84</v>
      </c>
    </row>
    <row r="66" spans="1:38" ht="12.6" customHeight="1" x14ac:dyDescent="0.2">
      <c r="A66" s="18"/>
      <c r="B66" s="1070" t="s">
        <v>358</v>
      </c>
      <c r="C66" s="1071"/>
      <c r="D66" s="1071"/>
      <c r="E66" s="1072"/>
      <c r="F66" s="293"/>
      <c r="G66" s="321"/>
      <c r="H66" s="286"/>
      <c r="I66" s="286"/>
      <c r="J66" s="72"/>
      <c r="K66" s="97"/>
      <c r="L66" s="538"/>
      <c r="M66" s="260"/>
      <c r="N66" s="104"/>
      <c r="O66" s="260"/>
      <c r="P66" s="104"/>
      <c r="Q66" s="293"/>
      <c r="R66" s="104"/>
      <c r="S66" s="260"/>
      <c r="T66" s="104"/>
      <c r="U66" s="260"/>
      <c r="V66" s="104"/>
      <c r="W66" s="293"/>
      <c r="X66" s="148"/>
      <c r="Y66" s="148"/>
      <c r="Z66" s="148"/>
      <c r="AA66" s="132"/>
      <c r="AB66" s="35"/>
    </row>
    <row r="67" spans="1:38" ht="12.6" customHeight="1" x14ac:dyDescent="0.2">
      <c r="A67" s="18"/>
      <c r="B67" s="1083" t="s">
        <v>359</v>
      </c>
      <c r="C67" s="1084"/>
      <c r="D67" s="1084"/>
      <c r="E67" s="1085"/>
      <c r="F67" s="294"/>
      <c r="G67" s="320"/>
      <c r="H67" s="285"/>
      <c r="I67" s="285"/>
      <c r="J67" s="90"/>
      <c r="K67" s="95"/>
      <c r="L67" s="493"/>
      <c r="M67" s="313"/>
      <c r="N67" s="103"/>
      <c r="O67" s="313"/>
      <c r="P67" s="103"/>
      <c r="Q67" s="294"/>
      <c r="R67" s="103"/>
      <c r="S67" s="313"/>
      <c r="T67" s="103"/>
      <c r="U67" s="313"/>
      <c r="V67" s="103"/>
      <c r="W67" s="294"/>
      <c r="X67" s="148"/>
      <c r="Y67" s="148"/>
      <c r="Z67" s="148"/>
      <c r="AA67" s="132"/>
      <c r="AB67" s="35"/>
    </row>
    <row r="68" spans="1:38" ht="12.6" customHeight="1" x14ac:dyDescent="0.2">
      <c r="A68" s="18"/>
      <c r="B68" s="765" t="s">
        <v>85</v>
      </c>
      <c r="C68" s="645"/>
      <c r="D68" s="645"/>
      <c r="E68" s="645"/>
      <c r="F68" s="293">
        <v>5318</v>
      </c>
      <c r="G68" s="321">
        <f t="shared" si="121"/>
        <v>5318</v>
      </c>
      <c r="H68" s="72">
        <f>F68+400</f>
        <v>5718</v>
      </c>
      <c r="I68" s="293">
        <f>+H68*$X$1</f>
        <v>5718</v>
      </c>
      <c r="J68" s="72">
        <f>F68+150</f>
        <v>5468</v>
      </c>
      <c r="K68" s="293">
        <f t="shared" ref="K68" si="156">+J68*$X$1</f>
        <v>5468</v>
      </c>
      <c r="L68" s="538">
        <f>F68+90</f>
        <v>5408</v>
      </c>
      <c r="M68" s="293">
        <f t="shared" ref="M68" si="157">+L68*$X$1</f>
        <v>5408</v>
      </c>
      <c r="N68" s="538">
        <f>F68+55</f>
        <v>5373</v>
      </c>
      <c r="O68" s="293">
        <f t="shared" ref="O68" si="158">+N68*$X$1</f>
        <v>5373</v>
      </c>
      <c r="P68" s="538">
        <f>F68+50</f>
        <v>5368</v>
      </c>
      <c r="Q68" s="293">
        <f t="shared" ref="Q68" si="159">+P68*$X$1</f>
        <v>5368</v>
      </c>
      <c r="R68" s="538">
        <f>F68+42</f>
        <v>5360</v>
      </c>
      <c r="S68" s="293">
        <f t="shared" ref="S68" si="160">+R68*$X$1</f>
        <v>5360</v>
      </c>
      <c r="T68" s="538">
        <f>F68+35</f>
        <v>5353</v>
      </c>
      <c r="U68" s="293">
        <f t="shared" ref="U68" si="161">+T68*$X$1</f>
        <v>5353</v>
      </c>
      <c r="V68" s="538">
        <f>F68+30</f>
        <v>5348</v>
      </c>
      <c r="W68" s="293">
        <f t="shared" ref="W68" si="162">+V68*$X$1</f>
        <v>5348</v>
      </c>
      <c r="X68" s="135"/>
      <c r="Y68" s="132"/>
      <c r="Z68" s="132"/>
      <c r="AA68" s="132"/>
      <c r="AB68" s="421">
        <v>92</v>
      </c>
    </row>
    <row r="69" spans="1:38" ht="12.6" customHeight="1" x14ac:dyDescent="0.25">
      <c r="A69" s="58"/>
      <c r="B69" s="797" t="s">
        <v>490</v>
      </c>
      <c r="C69" s="689"/>
      <c r="D69" s="689"/>
      <c r="E69" s="689"/>
      <c r="F69" s="294"/>
      <c r="G69" s="313"/>
      <c r="H69" s="252"/>
      <c r="I69" s="1060" t="s">
        <v>498</v>
      </c>
      <c r="J69" s="1061"/>
      <c r="K69" s="1061"/>
      <c r="L69" s="1062"/>
      <c r="M69" s="1063"/>
      <c r="N69" s="493">
        <v>850</v>
      </c>
      <c r="O69" s="320">
        <f>+N69*$X$1</f>
        <v>850</v>
      </c>
      <c r="P69" s="287">
        <v>847</v>
      </c>
      <c r="Q69" s="350">
        <f>+P69*$X$1</f>
        <v>847</v>
      </c>
      <c r="R69" s="493">
        <v>795</v>
      </c>
      <c r="S69" s="313">
        <f>+R69*$X$1</f>
        <v>795</v>
      </c>
      <c r="T69" s="493">
        <v>755</v>
      </c>
      <c r="U69" s="294">
        <f>+T69*$X$1</f>
        <v>755</v>
      </c>
      <c r="V69" s="493">
        <v>692</v>
      </c>
      <c r="W69" s="294">
        <f>+V69*$X$1</f>
        <v>692</v>
      </c>
      <c r="X69" s="747"/>
      <c r="Y69" s="747"/>
      <c r="Z69" s="747"/>
      <c r="AA69" s="747"/>
      <c r="AB69" s="197" t="s">
        <v>491</v>
      </c>
    </row>
    <row r="70" spans="1:38" ht="12.6" customHeight="1" x14ac:dyDescent="0.25">
      <c r="A70" s="58"/>
      <c r="B70" s="765" t="s">
        <v>348</v>
      </c>
      <c r="C70" s="680"/>
      <c r="D70" s="680"/>
      <c r="E70" s="680"/>
      <c r="F70" s="293"/>
      <c r="G70" s="260"/>
      <c r="H70" s="107"/>
      <c r="I70" s="1064" t="s">
        <v>498</v>
      </c>
      <c r="J70" s="1065"/>
      <c r="K70" s="1065"/>
      <c r="L70" s="1066"/>
      <c r="M70" s="1067"/>
      <c r="N70" s="595">
        <v>912</v>
      </c>
      <c r="O70" s="321">
        <f>+N70*$X$1</f>
        <v>912</v>
      </c>
      <c r="P70" s="304">
        <v>909</v>
      </c>
      <c r="Q70" s="315">
        <f>+P70*$X$1</f>
        <v>909</v>
      </c>
      <c r="R70" s="595">
        <v>853</v>
      </c>
      <c r="S70" s="260">
        <f>+R70*$X$1</f>
        <v>853</v>
      </c>
      <c r="T70" s="595">
        <v>827</v>
      </c>
      <c r="U70" s="293">
        <f>+T70*$X$1</f>
        <v>827</v>
      </c>
      <c r="V70" s="595">
        <v>750</v>
      </c>
      <c r="W70" s="293">
        <f>+V70*$X$1</f>
        <v>750</v>
      </c>
      <c r="X70" s="747"/>
      <c r="Y70" s="747"/>
      <c r="Z70" s="747"/>
      <c r="AA70" s="747"/>
      <c r="AB70" s="197" t="s">
        <v>86</v>
      </c>
    </row>
    <row r="71" spans="1:38" ht="12.6" customHeight="1" x14ac:dyDescent="0.25">
      <c r="A71" s="58"/>
      <c r="B71" s="797" t="s">
        <v>492</v>
      </c>
      <c r="C71" s="689"/>
      <c r="D71" s="689"/>
      <c r="E71" s="689"/>
      <c r="F71" s="294"/>
      <c r="G71" s="313"/>
      <c r="H71" s="252"/>
      <c r="I71" s="1060" t="s">
        <v>498</v>
      </c>
      <c r="J71" s="1061"/>
      <c r="K71" s="1061"/>
      <c r="L71" s="1062"/>
      <c r="M71" s="1063"/>
      <c r="N71" s="493">
        <v>1270</v>
      </c>
      <c r="O71" s="320">
        <f>+N71*$X$1</f>
        <v>1270</v>
      </c>
      <c r="P71" s="303">
        <v>1265</v>
      </c>
      <c r="Q71" s="350">
        <f>+P71*$X$1</f>
        <v>1265</v>
      </c>
      <c r="R71" s="493">
        <v>1207</v>
      </c>
      <c r="S71" s="313">
        <f>+R71*$X$1</f>
        <v>1207</v>
      </c>
      <c r="T71" s="493">
        <v>1180</v>
      </c>
      <c r="U71" s="294">
        <f>+T71*$X$1</f>
        <v>1180</v>
      </c>
      <c r="V71" s="493">
        <v>1103</v>
      </c>
      <c r="W71" s="294">
        <f>+V71*$X$1</f>
        <v>1103</v>
      </c>
      <c r="X71" s="747"/>
      <c r="Y71" s="747"/>
      <c r="Z71" s="747"/>
      <c r="AA71" s="747"/>
      <c r="AB71" s="197" t="s">
        <v>493</v>
      </c>
    </row>
    <row r="72" spans="1:38" ht="12.6" customHeight="1" x14ac:dyDescent="0.25">
      <c r="A72" s="18"/>
      <c r="B72" s="765" t="s">
        <v>349</v>
      </c>
      <c r="C72" s="680"/>
      <c r="D72" s="680"/>
      <c r="E72" s="680"/>
      <c r="F72" s="293"/>
      <c r="G72" s="260"/>
      <c r="H72" s="107"/>
      <c r="I72" s="1184"/>
      <c r="J72" s="1185"/>
      <c r="K72" s="1185"/>
      <c r="L72" s="286"/>
      <c r="M72" s="353"/>
      <c r="N72" s="595"/>
      <c r="O72" s="321"/>
      <c r="P72" s="595"/>
      <c r="Q72" s="293"/>
      <c r="R72" s="595"/>
      <c r="S72" s="260"/>
      <c r="T72" s="595"/>
      <c r="U72" s="293"/>
      <c r="V72" s="113"/>
      <c r="W72" s="293"/>
      <c r="X72" s="747"/>
      <c r="Y72" s="747"/>
      <c r="Z72" s="747"/>
      <c r="AA72" s="747"/>
      <c r="AB72" s="197" t="s">
        <v>87</v>
      </c>
      <c r="AH72" s="4"/>
      <c r="AI72" s="4"/>
      <c r="AJ72" s="4"/>
    </row>
    <row r="73" spans="1:38" s="6" customFormat="1" ht="12.6" customHeight="1" x14ac:dyDescent="0.25">
      <c r="A73" s="58"/>
      <c r="B73" s="1053" t="s">
        <v>414</v>
      </c>
      <c r="C73" s="647"/>
      <c r="D73" s="647"/>
      <c r="E73" s="648"/>
      <c r="F73" s="294"/>
      <c r="G73" s="313"/>
      <c r="H73" s="493"/>
      <c r="I73" s="320"/>
      <c r="J73" s="299"/>
      <c r="K73" s="371"/>
      <c r="L73" s="497">
        <v>2410</v>
      </c>
      <c r="M73" s="294">
        <f>+L73*$X$1</f>
        <v>2410</v>
      </c>
      <c r="N73" s="493">
        <v>2140</v>
      </c>
      <c r="O73" s="320">
        <f>+N73*$X$1</f>
        <v>2140</v>
      </c>
      <c r="P73" s="404">
        <v>1961</v>
      </c>
      <c r="Q73" s="350">
        <f>+P73*$X$1</f>
        <v>1961</v>
      </c>
      <c r="R73" s="493">
        <v>1958</v>
      </c>
      <c r="S73" s="313">
        <f>+R73*$X$1</f>
        <v>1958</v>
      </c>
      <c r="T73" s="493">
        <v>1890</v>
      </c>
      <c r="U73" s="294">
        <f>+T73*$X$1</f>
        <v>1890</v>
      </c>
      <c r="V73" s="593"/>
      <c r="W73" s="369"/>
      <c r="X73" s="250"/>
      <c r="Y73" s="251"/>
      <c r="Z73" s="251"/>
      <c r="AA73" s="251"/>
      <c r="AB73" s="197" t="s">
        <v>88</v>
      </c>
      <c r="AC73" s="8"/>
      <c r="AD73" s="8"/>
      <c r="AE73" s="8"/>
      <c r="AF73" s="8"/>
      <c r="AG73" s="8"/>
      <c r="AH73" s="57"/>
      <c r="AI73" s="24"/>
      <c r="AJ73" s="57"/>
      <c r="AK73" s="8"/>
      <c r="AL73" s="8"/>
    </row>
    <row r="74" spans="1:38" s="6" customFormat="1" ht="12.6" customHeight="1" x14ac:dyDescent="0.25">
      <c r="A74" s="58"/>
      <c r="B74" s="1190" t="s">
        <v>415</v>
      </c>
      <c r="C74" s="1191"/>
      <c r="D74" s="1191"/>
      <c r="E74" s="1192"/>
      <c r="F74" s="293"/>
      <c r="G74" s="494"/>
      <c r="H74" s="325"/>
      <c r="I74" s="495"/>
      <c r="J74" s="326"/>
      <c r="K74" s="370"/>
      <c r="L74" s="496">
        <v>3250</v>
      </c>
      <c r="M74" s="293">
        <f>+L74*$X$1</f>
        <v>3250</v>
      </c>
      <c r="N74" s="595">
        <v>2996</v>
      </c>
      <c r="O74" s="495">
        <f>+N74*$X$1</f>
        <v>2996</v>
      </c>
      <c r="P74" s="403">
        <v>2913</v>
      </c>
      <c r="Q74" s="315">
        <f>+P74*$X$1</f>
        <v>2913</v>
      </c>
      <c r="R74" s="595">
        <v>2909</v>
      </c>
      <c r="S74" s="494">
        <f>+R74*$X$1</f>
        <v>2909</v>
      </c>
      <c r="T74" s="595">
        <v>2713</v>
      </c>
      <c r="U74" s="293">
        <f>+T74*$X$1</f>
        <v>2713</v>
      </c>
      <c r="V74" s="594"/>
      <c r="W74" s="368"/>
      <c r="X74" s="1087"/>
      <c r="Y74" s="1088"/>
      <c r="Z74" s="1088"/>
      <c r="AA74" s="1088"/>
      <c r="AB74" s="197" t="s">
        <v>89</v>
      </c>
      <c r="AC74" s="8"/>
      <c r="AD74" s="8"/>
      <c r="AE74" s="8"/>
      <c r="AF74" s="8"/>
      <c r="AG74" s="8"/>
      <c r="AH74" s="57"/>
      <c r="AI74" s="57"/>
      <c r="AJ74" s="57"/>
      <c r="AK74" s="8"/>
      <c r="AL74" s="8"/>
    </row>
    <row r="75" spans="1:38" ht="12.6" customHeight="1" x14ac:dyDescent="0.2">
      <c r="A75" s="98"/>
      <c r="B75" s="109"/>
      <c r="C75" s="68"/>
      <c r="D75" s="68"/>
      <c r="E75" s="68"/>
      <c r="F75" s="188"/>
      <c r="G75" s="188"/>
      <c r="H75" s="188"/>
      <c r="I75" s="188"/>
      <c r="J75" s="188"/>
      <c r="K75" s="188"/>
      <c r="L75" s="110"/>
      <c r="M75" s="110"/>
      <c r="N75" s="111"/>
      <c r="O75" s="111"/>
      <c r="P75" s="111"/>
      <c r="Q75" s="112"/>
      <c r="R75" s="89"/>
      <c r="S75" s="64"/>
      <c r="T75" s="64"/>
      <c r="U75" s="64"/>
      <c r="V75" s="64"/>
      <c r="W75" s="64"/>
      <c r="X75" s="77"/>
      <c r="AB75" s="108"/>
    </row>
    <row r="76" spans="1:38" ht="12.6" customHeight="1" x14ac:dyDescent="0.2">
      <c r="A76" s="98"/>
      <c r="B76" s="109"/>
      <c r="C76" s="324"/>
      <c r="D76" s="324"/>
      <c r="E76" s="324"/>
      <c r="F76" s="240"/>
      <c r="G76" s="240"/>
      <c r="H76" s="240"/>
      <c r="I76" s="240"/>
      <c r="J76" s="240"/>
      <c r="K76" s="240"/>
      <c r="L76" s="110"/>
      <c r="M76" s="110"/>
      <c r="N76" s="111"/>
      <c r="O76" s="111"/>
      <c r="P76" s="111"/>
      <c r="Q76" s="112"/>
      <c r="R76" s="89"/>
      <c r="S76" s="64"/>
      <c r="T76" s="64"/>
      <c r="U76" s="64"/>
      <c r="V76" s="64"/>
      <c r="W76" s="64"/>
      <c r="X76" s="77"/>
      <c r="AB76" s="108"/>
    </row>
    <row r="77" spans="1:38" ht="12.6" customHeight="1" x14ac:dyDescent="0.2">
      <c r="A77" s="98"/>
      <c r="B77" s="109"/>
      <c r="C77" s="241"/>
      <c r="D77" s="241"/>
      <c r="E77" s="241"/>
      <c r="F77" s="240"/>
      <c r="G77" s="240"/>
      <c r="H77" s="240"/>
      <c r="I77" s="240"/>
      <c r="J77" s="240"/>
      <c r="K77" s="240"/>
      <c r="L77" s="110"/>
      <c r="M77" s="110"/>
      <c r="N77" s="111"/>
      <c r="O77" s="111"/>
      <c r="P77" s="111"/>
      <c r="Q77" s="112"/>
      <c r="R77" s="89"/>
      <c r="S77" s="64"/>
      <c r="T77" s="64"/>
      <c r="U77" s="64"/>
      <c r="V77" s="64"/>
      <c r="W77" s="64"/>
      <c r="X77" s="77"/>
      <c r="AB77" s="108"/>
    </row>
    <row r="78" spans="1:38" ht="15.75" customHeight="1" x14ac:dyDescent="0.2">
      <c r="A78" s="18"/>
      <c r="B78" s="740" t="s">
        <v>11</v>
      </c>
      <c r="C78" s="706" t="s">
        <v>12</v>
      </c>
      <c r="D78" s="707"/>
      <c r="E78" s="707"/>
      <c r="F78" s="708" t="s">
        <v>13</v>
      </c>
      <c r="G78" s="708" t="s">
        <v>13</v>
      </c>
      <c r="H78" s="781" t="s">
        <v>838</v>
      </c>
      <c r="I78" s="781"/>
      <c r="J78" s="782"/>
      <c r="K78" s="782"/>
      <c r="L78" s="782"/>
      <c r="M78" s="782"/>
      <c r="N78" s="782"/>
      <c r="O78" s="782"/>
      <c r="P78" s="782"/>
      <c r="Q78" s="782"/>
      <c r="R78" s="782"/>
      <c r="S78" s="782"/>
      <c r="T78" s="782"/>
      <c r="U78" s="782"/>
      <c r="V78" s="782"/>
      <c r="W78" s="782"/>
      <c r="X78" s="771" t="s">
        <v>14</v>
      </c>
      <c r="Y78" s="772"/>
      <c r="Z78" s="772"/>
      <c r="AA78" s="773"/>
      <c r="AB78" s="779" t="s">
        <v>15</v>
      </c>
      <c r="AF78" s="777" t="s">
        <v>3</v>
      </c>
      <c r="AG78" s="778"/>
      <c r="AH78" s="778"/>
    </row>
    <row r="79" spans="1:38" ht="12" customHeight="1" x14ac:dyDescent="0.2">
      <c r="A79" s="18"/>
      <c r="B79" s="740"/>
      <c r="C79" s="707"/>
      <c r="D79" s="707"/>
      <c r="E79" s="707"/>
      <c r="F79" s="709"/>
      <c r="G79" s="709"/>
      <c r="H79" s="512"/>
      <c r="I79" s="510" t="s">
        <v>295</v>
      </c>
      <c r="J79" s="512"/>
      <c r="K79" s="510" t="s">
        <v>17</v>
      </c>
      <c r="L79" s="513"/>
      <c r="M79" s="513" t="s">
        <v>18</v>
      </c>
      <c r="N79" s="513"/>
      <c r="O79" s="510" t="s">
        <v>19</v>
      </c>
      <c r="P79" s="513"/>
      <c r="Q79" s="513" t="s">
        <v>297</v>
      </c>
      <c r="R79" s="513"/>
      <c r="S79" s="513" t="s">
        <v>20</v>
      </c>
      <c r="T79" s="513"/>
      <c r="U79" s="513" t="s">
        <v>21</v>
      </c>
      <c r="V79" s="513"/>
      <c r="W79" s="513" t="s">
        <v>22</v>
      </c>
      <c r="X79" s="774"/>
      <c r="Y79" s="775"/>
      <c r="Z79" s="775"/>
      <c r="AA79" s="776"/>
      <c r="AB79" s="780"/>
    </row>
    <row r="80" spans="1:38" ht="12.6" customHeight="1" x14ac:dyDescent="0.2">
      <c r="A80" s="18"/>
      <c r="B80" s="692" t="s">
        <v>90</v>
      </c>
      <c r="C80" s="789"/>
      <c r="D80" s="789"/>
      <c r="E80" s="1051"/>
      <c r="F80" s="1075" t="s">
        <v>696</v>
      </c>
      <c r="G80" s="1076"/>
      <c r="H80" s="1076"/>
      <c r="I80" s="1076"/>
      <c r="J80" s="533"/>
      <c r="K80" s="519"/>
      <c r="L80" s="534"/>
      <c r="M80" s="314"/>
      <c r="N80" s="104"/>
      <c r="O80" s="349"/>
      <c r="P80" s="535"/>
      <c r="Q80" s="349"/>
      <c r="R80" s="104"/>
      <c r="S80" s="314"/>
      <c r="T80" s="104"/>
      <c r="U80" s="314"/>
      <c r="V80" s="104"/>
      <c r="W80" s="314"/>
      <c r="X80" s="132"/>
      <c r="Y80" s="132"/>
      <c r="Z80" s="132"/>
      <c r="AA80" s="132"/>
      <c r="AB80" s="428" t="s">
        <v>91</v>
      </c>
      <c r="AC80" s="424" t="s">
        <v>92</v>
      </c>
      <c r="AD80" s="424" t="s">
        <v>93</v>
      </c>
      <c r="AE80" s="424" t="s">
        <v>94</v>
      </c>
      <c r="AF80" s="424" t="s">
        <v>95</v>
      </c>
      <c r="AG80" s="424" t="s">
        <v>96</v>
      </c>
    </row>
    <row r="81" spans="1:34" ht="12.6" customHeight="1" x14ac:dyDescent="0.2">
      <c r="A81" s="18"/>
      <c r="B81" s="642" t="s">
        <v>97</v>
      </c>
      <c r="C81" s="643"/>
      <c r="D81" s="643"/>
      <c r="E81" s="1050"/>
      <c r="F81" s="1077"/>
      <c r="G81" s="1076"/>
      <c r="H81" s="1076"/>
      <c r="I81" s="1076"/>
      <c r="J81" s="265"/>
      <c r="K81" s="285"/>
      <c r="L81" s="310"/>
      <c r="M81" s="294"/>
      <c r="N81" s="103"/>
      <c r="O81" s="320"/>
      <c r="P81" s="287"/>
      <c r="Q81" s="350"/>
      <c r="R81" s="103"/>
      <c r="S81" s="313"/>
      <c r="T81" s="103"/>
      <c r="U81" s="294"/>
      <c r="V81" s="493"/>
      <c r="W81" s="294"/>
      <c r="X81" s="136"/>
      <c r="Y81" s="136"/>
      <c r="Z81" s="136"/>
      <c r="AA81" s="136"/>
      <c r="AB81" s="428" t="s">
        <v>98</v>
      </c>
      <c r="AC81" s="424" t="s">
        <v>99</v>
      </c>
      <c r="AD81" s="424" t="s">
        <v>100</v>
      </c>
      <c r="AE81" s="424" t="s">
        <v>101</v>
      </c>
      <c r="AF81" s="424" t="s">
        <v>102</v>
      </c>
      <c r="AG81" s="424" t="s">
        <v>103</v>
      </c>
      <c r="AH81" s="424" t="s">
        <v>104</v>
      </c>
    </row>
    <row r="82" spans="1:34" ht="12.6" customHeight="1" x14ac:dyDescent="0.25">
      <c r="A82" s="18"/>
      <c r="B82" s="644" t="s">
        <v>105</v>
      </c>
      <c r="C82" s="645"/>
      <c r="D82" s="645"/>
      <c r="E82" s="1052"/>
      <c r="F82" s="1077"/>
      <c r="G82" s="1076"/>
      <c r="H82" s="1076"/>
      <c r="I82" s="1076"/>
      <c r="J82" s="267"/>
      <c r="K82" s="286"/>
      <c r="L82" s="536"/>
      <c r="M82" s="293"/>
      <c r="N82" s="531"/>
      <c r="O82" s="321"/>
      <c r="P82" s="330"/>
      <c r="Q82" s="315"/>
      <c r="R82" s="531"/>
      <c r="S82" s="260"/>
      <c r="T82" s="531"/>
      <c r="U82" s="293"/>
      <c r="V82" s="531"/>
      <c r="W82" s="293"/>
      <c r="X82" s="1068"/>
      <c r="Y82" s="1069"/>
      <c r="Z82" s="1069"/>
      <c r="AA82" s="190"/>
      <c r="AB82" s="428" t="s">
        <v>106</v>
      </c>
      <c r="AC82" s="424" t="s">
        <v>107</v>
      </c>
      <c r="AD82" s="424" t="s">
        <v>108</v>
      </c>
      <c r="AE82" s="424" t="s">
        <v>109</v>
      </c>
      <c r="AF82" s="424" t="s">
        <v>110</v>
      </c>
      <c r="AG82" s="429" t="s">
        <v>111</v>
      </c>
      <c r="AH82" s="424" t="s">
        <v>112</v>
      </c>
    </row>
    <row r="83" spans="1:34" ht="12.6" customHeight="1" x14ac:dyDescent="0.25">
      <c r="A83" s="18"/>
      <c r="B83" s="642" t="s">
        <v>113</v>
      </c>
      <c r="C83" s="643"/>
      <c r="D83" s="643"/>
      <c r="E83" s="1050"/>
      <c r="F83" s="1077"/>
      <c r="G83" s="1076"/>
      <c r="H83" s="1076"/>
      <c r="I83" s="1076"/>
      <c r="J83" s="265"/>
      <c r="K83" s="285"/>
      <c r="L83" s="310"/>
      <c r="M83" s="294"/>
      <c r="N83" s="493"/>
      <c r="O83" s="320"/>
      <c r="P83" s="287"/>
      <c r="Q83" s="350"/>
      <c r="R83" s="493"/>
      <c r="S83" s="313"/>
      <c r="T83" s="493"/>
      <c r="U83" s="294"/>
      <c r="V83" s="493"/>
      <c r="W83" s="294"/>
      <c r="X83" s="1068"/>
      <c r="Y83" s="1069"/>
      <c r="Z83" s="1069"/>
      <c r="AA83" s="190"/>
      <c r="AB83" s="428" t="s">
        <v>114</v>
      </c>
      <c r="AC83" s="430" t="s">
        <v>115</v>
      </c>
      <c r="AD83" s="430" t="s">
        <v>116</v>
      </c>
      <c r="AE83" s="430" t="s">
        <v>117</v>
      </c>
      <c r="AF83" s="430" t="s">
        <v>118</v>
      </c>
      <c r="AG83" s="30"/>
    </row>
    <row r="84" spans="1:34" ht="12.6" customHeight="1" x14ac:dyDescent="0.2">
      <c r="A84" s="18"/>
      <c r="B84" s="644" t="s">
        <v>119</v>
      </c>
      <c r="C84" s="645"/>
      <c r="D84" s="645"/>
      <c r="E84" s="1052"/>
      <c r="F84" s="1077"/>
      <c r="G84" s="1076"/>
      <c r="H84" s="1076"/>
      <c r="I84" s="1076"/>
      <c r="J84" s="267"/>
      <c r="K84" s="286"/>
      <c r="L84" s="536"/>
      <c r="M84" s="293"/>
      <c r="N84" s="531"/>
      <c r="O84" s="321"/>
      <c r="P84" s="330"/>
      <c r="Q84" s="315"/>
      <c r="R84" s="531"/>
      <c r="S84" s="260"/>
      <c r="T84" s="531"/>
      <c r="U84" s="293"/>
      <c r="V84" s="531"/>
      <c r="W84" s="293"/>
      <c r="X84" s="153"/>
      <c r="Y84" s="153"/>
      <c r="Z84" s="153"/>
      <c r="AA84" s="153"/>
      <c r="AB84" s="31" t="s">
        <v>120</v>
      </c>
      <c r="AC84" s="424" t="s">
        <v>121</v>
      </c>
      <c r="AD84" s="424" t="s">
        <v>122</v>
      </c>
      <c r="AE84" s="424" t="s">
        <v>123</v>
      </c>
      <c r="AF84" s="424" t="s">
        <v>124</v>
      </c>
      <c r="AG84" s="424" t="s">
        <v>125</v>
      </c>
    </row>
    <row r="85" spans="1:34" ht="12.6" customHeight="1" x14ac:dyDescent="0.2">
      <c r="A85" s="18"/>
      <c r="B85" s="642" t="s">
        <v>126</v>
      </c>
      <c r="C85" s="643"/>
      <c r="D85" s="643"/>
      <c r="E85" s="1050"/>
      <c r="F85" s="1077"/>
      <c r="G85" s="1076"/>
      <c r="H85" s="1076"/>
      <c r="I85" s="1076"/>
      <c r="J85" s="265"/>
      <c r="K85" s="285"/>
      <c r="L85" s="310"/>
      <c r="M85" s="294"/>
      <c r="N85" s="493"/>
      <c r="O85" s="320"/>
      <c r="P85" s="287"/>
      <c r="Q85" s="350"/>
      <c r="R85" s="493"/>
      <c r="S85" s="313"/>
      <c r="T85" s="493"/>
      <c r="U85" s="294"/>
      <c r="V85" s="493"/>
      <c r="W85" s="294"/>
      <c r="X85" s="153"/>
      <c r="Y85" s="153"/>
      <c r="Z85" s="153"/>
      <c r="AA85" s="153"/>
      <c r="AB85" s="31" t="s">
        <v>127</v>
      </c>
      <c r="AC85" s="430" t="s">
        <v>128</v>
      </c>
      <c r="AD85" s="430" t="s">
        <v>129</v>
      </c>
      <c r="AE85" s="430" t="s">
        <v>130</v>
      </c>
    </row>
    <row r="86" spans="1:34" ht="12.6" customHeight="1" x14ac:dyDescent="0.25">
      <c r="A86" s="18"/>
      <c r="B86" s="644" t="s">
        <v>131</v>
      </c>
      <c r="C86" s="645"/>
      <c r="D86" s="645"/>
      <c r="E86" s="1052"/>
      <c r="F86" s="1077"/>
      <c r="G86" s="1076"/>
      <c r="H86" s="1076"/>
      <c r="I86" s="1076"/>
      <c r="J86" s="267"/>
      <c r="K86" s="286"/>
      <c r="L86" s="536"/>
      <c r="M86" s="293"/>
      <c r="N86" s="531"/>
      <c r="O86" s="321"/>
      <c r="P86" s="330"/>
      <c r="Q86" s="315"/>
      <c r="R86" s="531"/>
      <c r="S86" s="260"/>
      <c r="T86" s="531"/>
      <c r="U86" s="293"/>
      <c r="V86" s="531"/>
      <c r="W86" s="293"/>
      <c r="X86" s="1068"/>
      <c r="Y86" s="1069"/>
      <c r="Z86" s="1069"/>
      <c r="AA86" s="190"/>
      <c r="AB86" s="31" t="s">
        <v>132</v>
      </c>
      <c r="AC86" s="424" t="s">
        <v>133</v>
      </c>
      <c r="AD86" s="424" t="s">
        <v>134</v>
      </c>
      <c r="AE86" s="424" t="s">
        <v>135</v>
      </c>
      <c r="AF86" s="424" t="s">
        <v>136</v>
      </c>
      <c r="AG86" s="424" t="s">
        <v>137</v>
      </c>
      <c r="AH86" s="424" t="s">
        <v>138</v>
      </c>
    </row>
    <row r="87" spans="1:34" ht="12.6" customHeight="1" x14ac:dyDescent="0.25">
      <c r="A87" s="18"/>
      <c r="B87" s="642" t="s">
        <v>139</v>
      </c>
      <c r="C87" s="643"/>
      <c r="D87" s="643"/>
      <c r="E87" s="1050"/>
      <c r="F87" s="1077"/>
      <c r="G87" s="1076"/>
      <c r="H87" s="1076"/>
      <c r="I87" s="1076"/>
      <c r="J87" s="265"/>
      <c r="K87" s="285"/>
      <c r="L87" s="310"/>
      <c r="M87" s="294"/>
      <c r="N87" s="493"/>
      <c r="O87" s="320"/>
      <c r="P87" s="287"/>
      <c r="Q87" s="350"/>
      <c r="R87" s="493"/>
      <c r="S87" s="313"/>
      <c r="T87" s="493"/>
      <c r="U87" s="294"/>
      <c r="V87" s="493"/>
      <c r="W87" s="294"/>
      <c r="X87" s="1068"/>
      <c r="Y87" s="1069"/>
      <c r="Z87" s="1069"/>
      <c r="AA87" s="190"/>
      <c r="AB87" s="426" t="s">
        <v>140</v>
      </c>
      <c r="AC87" s="65"/>
      <c r="AD87" s="65"/>
      <c r="AE87" s="65"/>
      <c r="AF87" s="65"/>
      <c r="AG87" s="65"/>
    </row>
    <row r="88" spans="1:34" ht="12.6" customHeight="1" x14ac:dyDescent="0.2">
      <c r="A88" s="18"/>
      <c r="B88" s="644" t="s">
        <v>141</v>
      </c>
      <c r="C88" s="645"/>
      <c r="D88" s="645"/>
      <c r="E88" s="1052"/>
      <c r="F88" s="1077"/>
      <c r="G88" s="1076"/>
      <c r="H88" s="1076"/>
      <c r="I88" s="1076"/>
      <c r="J88" s="267"/>
      <c r="K88" s="286"/>
      <c r="L88" s="536"/>
      <c r="M88" s="293"/>
      <c r="N88" s="531"/>
      <c r="O88" s="321"/>
      <c r="P88" s="330"/>
      <c r="Q88" s="315"/>
      <c r="R88" s="531"/>
      <c r="S88" s="260"/>
      <c r="T88" s="531"/>
      <c r="U88" s="293"/>
      <c r="V88" s="531"/>
      <c r="W88" s="293"/>
      <c r="X88" s="152"/>
      <c r="Y88" s="152"/>
      <c r="Z88" s="152"/>
      <c r="AA88" s="152"/>
      <c r="AB88" s="424" t="s">
        <v>142</v>
      </c>
      <c r="AC88" s="65"/>
      <c r="AD88" s="65"/>
      <c r="AE88" s="65"/>
      <c r="AF88" s="65"/>
      <c r="AG88" s="65"/>
    </row>
    <row r="89" spans="1:34" ht="12.6" customHeight="1" x14ac:dyDescent="0.2">
      <c r="A89" s="18"/>
      <c r="B89" s="642" t="s">
        <v>143</v>
      </c>
      <c r="C89" s="643"/>
      <c r="D89" s="643"/>
      <c r="E89" s="1050"/>
      <c r="F89" s="1077"/>
      <c r="G89" s="1076"/>
      <c r="H89" s="1076"/>
      <c r="I89" s="1076"/>
      <c r="J89" s="265"/>
      <c r="K89" s="285"/>
      <c r="L89" s="310"/>
      <c r="M89" s="294"/>
      <c r="N89" s="493"/>
      <c r="O89" s="320"/>
      <c r="P89" s="287"/>
      <c r="Q89" s="320"/>
      <c r="R89" s="493"/>
      <c r="S89" s="320"/>
      <c r="T89" s="493"/>
      <c r="U89" s="294"/>
      <c r="V89" s="493"/>
      <c r="W89" s="294"/>
      <c r="X89" s="152"/>
      <c r="Y89" s="152"/>
      <c r="Z89" s="152"/>
      <c r="AA89" s="152"/>
      <c r="AB89" s="424" t="s">
        <v>144</v>
      </c>
      <c r="AC89" s="65"/>
      <c r="AD89" s="65"/>
      <c r="AE89" s="65"/>
      <c r="AF89" s="65"/>
      <c r="AG89" s="65"/>
    </row>
    <row r="90" spans="1:34" ht="12.6" customHeight="1" x14ac:dyDescent="0.2">
      <c r="A90" s="18"/>
      <c r="B90" s="644" t="s">
        <v>145</v>
      </c>
      <c r="C90" s="645"/>
      <c r="D90" s="645"/>
      <c r="E90" s="1052"/>
      <c r="F90" s="1078"/>
      <c r="G90" s="1079"/>
      <c r="H90" s="1079"/>
      <c r="I90" s="1079"/>
      <c r="J90" s="267"/>
      <c r="K90" s="286"/>
      <c r="L90" s="536"/>
      <c r="M90" s="293"/>
      <c r="N90" s="531"/>
      <c r="O90" s="362"/>
      <c r="P90" s="330"/>
      <c r="Q90" s="315"/>
      <c r="R90" s="113"/>
      <c r="S90" s="474"/>
      <c r="T90" s="531"/>
      <c r="U90" s="293"/>
      <c r="V90" s="531"/>
      <c r="W90" s="293"/>
      <c r="X90" s="132"/>
      <c r="Y90" s="132"/>
      <c r="Z90" s="132"/>
      <c r="AA90" s="132"/>
      <c r="AB90" s="427" t="s">
        <v>146</v>
      </c>
      <c r="AC90" s="424" t="s">
        <v>147</v>
      </c>
      <c r="AD90" s="424" t="s">
        <v>148</v>
      </c>
      <c r="AE90" s="424" t="s">
        <v>149</v>
      </c>
      <c r="AF90" s="424" t="s">
        <v>150</v>
      </c>
      <c r="AG90" s="424" t="s">
        <v>151</v>
      </c>
    </row>
    <row r="91" spans="1:34" ht="12.6" customHeight="1" x14ac:dyDescent="0.2">
      <c r="A91" s="18"/>
      <c r="B91" s="642" t="s">
        <v>486</v>
      </c>
      <c r="C91" s="643"/>
      <c r="D91" s="643"/>
      <c r="E91" s="643"/>
      <c r="F91" s="294"/>
      <c r="G91" s="350"/>
      <c r="H91" s="265"/>
      <c r="I91" s="298"/>
      <c r="J91" s="493"/>
      <c r="K91" s="294"/>
      <c r="L91" s="401"/>
      <c r="M91" s="294"/>
      <c r="N91" s="401"/>
      <c r="O91" s="294"/>
      <c r="P91" s="401"/>
      <c r="Q91" s="294"/>
      <c r="R91" s="401"/>
      <c r="S91" s="294"/>
      <c r="T91" s="401"/>
      <c r="U91" s="294"/>
      <c r="V91" s="90"/>
      <c r="W91" s="355"/>
      <c r="X91" s="163"/>
      <c r="Y91" s="136"/>
      <c r="Z91" s="136"/>
      <c r="AA91" s="139"/>
      <c r="AB91" s="425">
        <v>117</v>
      </c>
    </row>
    <row r="92" spans="1:34" ht="12.6" customHeight="1" x14ac:dyDescent="0.2">
      <c r="A92" s="18"/>
      <c r="B92" s="649" t="s">
        <v>504</v>
      </c>
      <c r="C92" s="650"/>
      <c r="D92" s="650"/>
      <c r="E92" s="651"/>
      <c r="F92" s="293"/>
      <c r="G92" s="315"/>
      <c r="H92" s="267"/>
      <c r="I92" s="286"/>
      <c r="J92" s="325"/>
      <c r="K92" s="293"/>
      <c r="L92" s="325"/>
      <c r="M92" s="293"/>
      <c r="N92" s="325"/>
      <c r="O92" s="293"/>
      <c r="P92" s="325"/>
      <c r="Q92" s="293"/>
      <c r="R92" s="325"/>
      <c r="S92" s="293"/>
      <c r="T92" s="325"/>
      <c r="U92" s="293"/>
      <c r="V92" s="72"/>
      <c r="W92" s="356"/>
      <c r="X92" s="163"/>
      <c r="Y92" s="136"/>
      <c r="Z92" s="136"/>
      <c r="AA92" s="139"/>
      <c r="AB92" s="425"/>
    </row>
    <row r="93" spans="1:34" ht="12.6" customHeight="1" x14ac:dyDescent="0.2">
      <c r="A93" s="18"/>
      <c r="B93" s="642" t="s">
        <v>487</v>
      </c>
      <c r="C93" s="643"/>
      <c r="D93" s="643"/>
      <c r="E93" s="643"/>
      <c r="F93" s="294"/>
      <c r="G93" s="350"/>
      <c r="H93" s="265"/>
      <c r="I93" s="285"/>
      <c r="J93" s="383"/>
      <c r="K93" s="294"/>
      <c r="L93" s="390"/>
      <c r="M93" s="294"/>
      <c r="N93" s="390"/>
      <c r="O93" s="294"/>
      <c r="P93" s="390"/>
      <c r="Q93" s="294"/>
      <c r="R93" s="390"/>
      <c r="S93" s="294"/>
      <c r="T93" s="390"/>
      <c r="U93" s="294"/>
      <c r="V93" s="90"/>
      <c r="W93" s="355"/>
      <c r="X93" s="163"/>
      <c r="Y93" s="136"/>
      <c r="Z93" s="136"/>
      <c r="AA93" s="139"/>
      <c r="AB93" s="425">
        <v>129</v>
      </c>
    </row>
    <row r="94" spans="1:34" ht="12.6" customHeight="1" x14ac:dyDescent="0.2">
      <c r="A94" s="105"/>
      <c r="B94" s="893" t="s">
        <v>405</v>
      </c>
      <c r="C94" s="894"/>
      <c r="D94" s="894"/>
      <c r="E94" s="894"/>
      <c r="F94" s="601">
        <v>480</v>
      </c>
      <c r="G94" s="610">
        <f t="shared" ref="G94:G99" si="163">+F94*$X$1</f>
        <v>480</v>
      </c>
      <c r="H94" s="611"/>
      <c r="I94" s="603"/>
      <c r="J94" s="612">
        <f>F94+180</f>
        <v>660</v>
      </c>
      <c r="K94" s="613">
        <f>+J94*$X$1</f>
        <v>660</v>
      </c>
      <c r="L94" s="614">
        <f>F94+120</f>
        <v>600</v>
      </c>
      <c r="M94" s="613">
        <f t="shared" ref="M94:M96" si="164">+L94*$X$1</f>
        <v>600</v>
      </c>
      <c r="N94" s="615">
        <f>F94+7.2</f>
        <v>487.2</v>
      </c>
      <c r="O94" s="1057" t="s">
        <v>152</v>
      </c>
      <c r="P94" s="1058"/>
      <c r="Q94" s="1058"/>
      <c r="R94" s="1058"/>
      <c r="S94" s="1058"/>
      <c r="T94" s="1058"/>
      <c r="U94" s="1058"/>
      <c r="V94" s="1058"/>
      <c r="W94" s="1058"/>
      <c r="X94" s="164"/>
      <c r="Y94" s="136"/>
      <c r="Z94" s="136"/>
      <c r="AA94" s="139"/>
      <c r="AB94" s="431">
        <v>247</v>
      </c>
    </row>
    <row r="95" spans="1:34" ht="12.6" customHeight="1" x14ac:dyDescent="0.2">
      <c r="A95" s="98"/>
      <c r="B95" s="646" t="s">
        <v>518</v>
      </c>
      <c r="C95" s="647"/>
      <c r="D95" s="647"/>
      <c r="E95" s="648"/>
      <c r="F95" s="393">
        <f>2.631*X2</f>
        <v>2702.0369999999998</v>
      </c>
      <c r="G95" s="320">
        <f>+F95*$X$1</f>
        <v>2702.0369999999998</v>
      </c>
      <c r="H95" s="285"/>
      <c r="I95" s="285"/>
      <c r="J95" s="493">
        <f>F95+180</f>
        <v>2882.0369999999998</v>
      </c>
      <c r="K95" s="294">
        <f t="shared" ref="K95" si="165">+J95*$X$1</f>
        <v>2882.0369999999998</v>
      </c>
      <c r="L95" s="493">
        <f t="shared" ref="L95" si="166">F95+120</f>
        <v>2822.0369999999998</v>
      </c>
      <c r="M95" s="294">
        <f>+L95*$X$1</f>
        <v>2822.0369999999998</v>
      </c>
      <c r="N95" s="493">
        <f>F95+63</f>
        <v>2765.0369999999998</v>
      </c>
      <c r="O95" s="294">
        <f t="shared" ref="O95" si="167">+N95*$X$1</f>
        <v>2765.0369999999998</v>
      </c>
      <c r="P95" s="493">
        <f t="shared" ref="P95" si="168">F95+54</f>
        <v>2756.0369999999998</v>
      </c>
      <c r="Q95" s="294">
        <f>+P95*$X$1</f>
        <v>2756.0369999999998</v>
      </c>
      <c r="R95" s="493">
        <f>F95+45</f>
        <v>2747.0369999999998</v>
      </c>
      <c r="S95" s="294">
        <f t="shared" ref="S95" si="169">+R95*$X$1</f>
        <v>2747.0369999999998</v>
      </c>
      <c r="T95" s="103">
        <f>F95+37</f>
        <v>2739.0369999999998</v>
      </c>
      <c r="U95" s="313">
        <f t="shared" ref="U95" si="170">+T95*$X$1</f>
        <v>2739.0369999999998</v>
      </c>
      <c r="V95" s="103">
        <f>F95+32</f>
        <v>2734.0369999999998</v>
      </c>
      <c r="W95" s="313">
        <f>+V95*$X$1</f>
        <v>2734.0369999999998</v>
      </c>
      <c r="X95" s="164"/>
      <c r="Y95" s="136"/>
      <c r="Z95" s="136"/>
      <c r="AA95" s="139"/>
      <c r="AB95" s="431">
        <v>249</v>
      </c>
    </row>
    <row r="96" spans="1:34" ht="12.6" customHeight="1" x14ac:dyDescent="0.2">
      <c r="A96" s="105"/>
      <c r="B96" s="699" t="s">
        <v>404</v>
      </c>
      <c r="C96" s="700"/>
      <c r="D96" s="700"/>
      <c r="E96" s="700"/>
      <c r="F96" s="602">
        <v>80</v>
      </c>
      <c r="G96" s="608">
        <f t="shared" si="163"/>
        <v>80</v>
      </c>
      <c r="H96" s="609"/>
      <c r="I96" s="609"/>
      <c r="J96" s="605">
        <f>F96+200</f>
        <v>280</v>
      </c>
      <c r="K96" s="602">
        <f t="shared" ref="K96" si="171">+J96*$X$1</f>
        <v>280</v>
      </c>
      <c r="L96" s="604">
        <f>F96+140</f>
        <v>220</v>
      </c>
      <c r="M96" s="602">
        <f t="shared" si="164"/>
        <v>220</v>
      </c>
      <c r="N96" s="604">
        <f>F96+90</f>
        <v>170</v>
      </c>
      <c r="O96" s="602">
        <f t="shared" ref="O96" si="172">+N96*$X$1</f>
        <v>170</v>
      </c>
      <c r="P96" s="604">
        <f>F96+80</f>
        <v>160</v>
      </c>
      <c r="Q96" s="602">
        <f t="shared" ref="Q96" si="173">+P96*$X$1</f>
        <v>160</v>
      </c>
      <c r="R96" s="604">
        <f>F96+70</f>
        <v>150</v>
      </c>
      <c r="S96" s="602">
        <f t="shared" ref="S96" si="174">+R96*$X$1</f>
        <v>150</v>
      </c>
      <c r="T96" s="604">
        <f>F96+65</f>
        <v>145</v>
      </c>
      <c r="U96" s="602">
        <f t="shared" ref="U96" si="175">+T96*$X$1</f>
        <v>145</v>
      </c>
      <c r="V96" s="604">
        <f>F96+60</f>
        <v>140</v>
      </c>
      <c r="W96" s="602">
        <f t="shared" ref="W96" si="176">+V96*$X$1</f>
        <v>140</v>
      </c>
      <c r="X96" s="165"/>
      <c r="Y96" s="136"/>
      <c r="Z96" s="136"/>
      <c r="AA96" s="139"/>
      <c r="AB96" s="432">
        <v>251</v>
      </c>
    </row>
    <row r="97" spans="1:30" ht="12.6" customHeight="1" x14ac:dyDescent="0.2">
      <c r="A97" s="18"/>
      <c r="B97" s="642" t="s">
        <v>373</v>
      </c>
      <c r="C97" s="643"/>
      <c r="D97" s="643"/>
      <c r="E97" s="643"/>
      <c r="F97" s="294">
        <v>690</v>
      </c>
      <c r="G97" s="294">
        <f t="shared" si="163"/>
        <v>690</v>
      </c>
      <c r="H97" s="285"/>
      <c r="I97" s="285"/>
      <c r="J97" s="116">
        <f t="shared" ref="J97" si="177">F97+150</f>
        <v>840</v>
      </c>
      <c r="K97" s="294">
        <f t="shared" ref="K97:K103" si="178">+J97*$X$1</f>
        <v>840</v>
      </c>
      <c r="L97" s="493"/>
      <c r="M97" s="493"/>
      <c r="N97" s="493">
        <f>F97+23</f>
        <v>713</v>
      </c>
      <c r="O97" s="493"/>
      <c r="P97" s="285"/>
      <c r="Q97" s="285"/>
      <c r="R97" s="493">
        <f>F97+15</f>
        <v>705</v>
      </c>
      <c r="S97" s="493"/>
      <c r="T97" s="493">
        <f>F97+12</f>
        <v>702</v>
      </c>
      <c r="U97" s="493"/>
      <c r="V97" s="493">
        <f>F97+10</f>
        <v>700</v>
      </c>
      <c r="W97" s="493"/>
      <c r="X97" s="165"/>
      <c r="Y97" s="136"/>
      <c r="Z97" s="136"/>
      <c r="AA97" s="139"/>
      <c r="AB97" s="432" t="s">
        <v>153</v>
      </c>
    </row>
    <row r="98" spans="1:30" ht="12.6" customHeight="1" x14ac:dyDescent="0.2">
      <c r="A98" s="18"/>
      <c r="B98" s="649" t="s">
        <v>508</v>
      </c>
      <c r="C98" s="735"/>
      <c r="D98" s="735"/>
      <c r="E98" s="736"/>
      <c r="F98" s="392">
        <f>12.097*X2</f>
        <v>12423.618999999999</v>
      </c>
      <c r="G98" s="293">
        <f t="shared" si="163"/>
        <v>12423.618999999999</v>
      </c>
      <c r="H98" s="600">
        <f t="shared" ref="H98:H103" si="179">F98+420</f>
        <v>12843.618999999999</v>
      </c>
      <c r="I98" s="293">
        <f t="shared" ref="I98:I103" si="180">+H98*$X$1</f>
        <v>12843.618999999999</v>
      </c>
      <c r="J98" s="600">
        <f t="shared" ref="J98:J104" si="181">F98+180</f>
        <v>12603.618999999999</v>
      </c>
      <c r="K98" s="293">
        <f t="shared" si="178"/>
        <v>12603.618999999999</v>
      </c>
      <c r="L98" s="600">
        <f t="shared" ref="L98:L103" si="182">F98+120</f>
        <v>12543.618999999999</v>
      </c>
      <c r="M98" s="293">
        <f t="shared" ref="M98:M104" si="183">+L98*$X$1</f>
        <v>12543.618999999999</v>
      </c>
      <c r="N98" s="600">
        <f t="shared" ref="N98:N104" si="184">F98+63</f>
        <v>12486.618999999999</v>
      </c>
      <c r="O98" s="293">
        <f t="shared" ref="O98:O103" si="185">+N98*$X$1</f>
        <v>12486.618999999999</v>
      </c>
      <c r="P98" s="600">
        <f t="shared" ref="P98:P103" si="186">F98+54</f>
        <v>12477.618999999999</v>
      </c>
      <c r="Q98" s="293">
        <f t="shared" ref="Q98:Q104" si="187">+P98*$X$1</f>
        <v>12477.618999999999</v>
      </c>
      <c r="R98" s="600">
        <f t="shared" ref="R98:R104" si="188">F98+45</f>
        <v>12468.618999999999</v>
      </c>
      <c r="S98" s="293">
        <f t="shared" ref="S98:S103" si="189">+R98*$X$1</f>
        <v>12468.618999999999</v>
      </c>
      <c r="T98" s="104">
        <f t="shared" ref="T98:T104" si="190">F98+37</f>
        <v>12460.618999999999</v>
      </c>
      <c r="U98" s="260">
        <f t="shared" ref="U98:U103" si="191">+T98*$X$1</f>
        <v>12460.618999999999</v>
      </c>
      <c r="V98" s="104">
        <f t="shared" ref="V98:V104" si="192">F98+32</f>
        <v>12455.618999999999</v>
      </c>
      <c r="W98" s="260">
        <f t="shared" ref="W98:W104" si="193">+V98*$X$1</f>
        <v>12455.618999999999</v>
      </c>
      <c r="X98" s="166"/>
      <c r="Y98" s="136"/>
      <c r="Z98" s="136"/>
      <c r="AA98" s="139"/>
      <c r="AB98" s="432">
        <v>268</v>
      </c>
    </row>
    <row r="99" spans="1:30" ht="12.6" customHeight="1" x14ac:dyDescent="0.2">
      <c r="A99" s="18"/>
      <c r="B99" s="642" t="s">
        <v>684</v>
      </c>
      <c r="C99" s="643"/>
      <c r="D99" s="643"/>
      <c r="E99" s="643"/>
      <c r="F99" s="393">
        <f>4.502*X2</f>
        <v>4623.5540000000001</v>
      </c>
      <c r="G99" s="294">
        <f t="shared" si="163"/>
        <v>4623.5540000000001</v>
      </c>
      <c r="H99" s="493">
        <f t="shared" si="179"/>
        <v>5043.5540000000001</v>
      </c>
      <c r="I99" s="294">
        <f t="shared" si="180"/>
        <v>5043.5540000000001</v>
      </c>
      <c r="J99" s="493">
        <f t="shared" si="181"/>
        <v>4803.5540000000001</v>
      </c>
      <c r="K99" s="294">
        <f t="shared" si="178"/>
        <v>4803.5540000000001</v>
      </c>
      <c r="L99" s="493">
        <f t="shared" si="182"/>
        <v>4743.5540000000001</v>
      </c>
      <c r="M99" s="294">
        <f t="shared" si="183"/>
        <v>4743.5540000000001</v>
      </c>
      <c r="N99" s="493">
        <f t="shared" si="184"/>
        <v>4686.5540000000001</v>
      </c>
      <c r="O99" s="294">
        <f t="shared" si="185"/>
        <v>4686.5540000000001</v>
      </c>
      <c r="P99" s="493">
        <f t="shared" si="186"/>
        <v>4677.5540000000001</v>
      </c>
      <c r="Q99" s="294">
        <f t="shared" si="187"/>
        <v>4677.5540000000001</v>
      </c>
      <c r="R99" s="493">
        <f t="shared" si="188"/>
        <v>4668.5540000000001</v>
      </c>
      <c r="S99" s="294">
        <f t="shared" si="189"/>
        <v>4668.5540000000001</v>
      </c>
      <c r="T99" s="103">
        <f t="shared" si="190"/>
        <v>4660.5540000000001</v>
      </c>
      <c r="U99" s="313">
        <f t="shared" si="191"/>
        <v>4660.5540000000001</v>
      </c>
      <c r="V99" s="103">
        <f t="shared" si="192"/>
        <v>4655.5540000000001</v>
      </c>
      <c r="W99" s="313">
        <f t="shared" si="193"/>
        <v>4655.5540000000001</v>
      </c>
      <c r="X99" s="166"/>
      <c r="Y99" s="140"/>
      <c r="Z99" s="136"/>
      <c r="AA99" s="139"/>
      <c r="AB99" s="432">
        <v>270</v>
      </c>
      <c r="AC99" s="30"/>
    </row>
    <row r="100" spans="1:30" ht="12.6" customHeight="1" x14ac:dyDescent="0.2">
      <c r="A100" s="18"/>
      <c r="B100" s="644" t="s">
        <v>154</v>
      </c>
      <c r="C100" s="645"/>
      <c r="D100" s="645"/>
      <c r="E100" s="645"/>
      <c r="F100" s="392">
        <f>13.2*X2</f>
        <v>13556.4</v>
      </c>
      <c r="G100" s="293">
        <f t="shared" ref="G100:G102" si="194">+F100*$X$1</f>
        <v>13556.4</v>
      </c>
      <c r="H100" s="600">
        <f t="shared" si="179"/>
        <v>13976.4</v>
      </c>
      <c r="I100" s="293">
        <f t="shared" si="180"/>
        <v>13976.4</v>
      </c>
      <c r="J100" s="600">
        <f t="shared" si="181"/>
        <v>13736.4</v>
      </c>
      <c r="K100" s="293">
        <f t="shared" si="178"/>
        <v>13736.4</v>
      </c>
      <c r="L100" s="600">
        <f t="shared" si="182"/>
        <v>13676.4</v>
      </c>
      <c r="M100" s="293">
        <f t="shared" si="183"/>
        <v>13676.4</v>
      </c>
      <c r="N100" s="600">
        <f t="shared" si="184"/>
        <v>13619.4</v>
      </c>
      <c r="O100" s="293">
        <f t="shared" si="185"/>
        <v>13619.4</v>
      </c>
      <c r="P100" s="600">
        <f t="shared" si="186"/>
        <v>13610.4</v>
      </c>
      <c r="Q100" s="293">
        <f t="shared" si="187"/>
        <v>13610.4</v>
      </c>
      <c r="R100" s="600">
        <f t="shared" si="188"/>
        <v>13601.4</v>
      </c>
      <c r="S100" s="293">
        <f t="shared" si="189"/>
        <v>13601.4</v>
      </c>
      <c r="T100" s="104">
        <f t="shared" si="190"/>
        <v>13593.4</v>
      </c>
      <c r="U100" s="260">
        <f t="shared" si="191"/>
        <v>13593.4</v>
      </c>
      <c r="V100" s="104">
        <f t="shared" si="192"/>
        <v>13588.4</v>
      </c>
      <c r="W100" s="260">
        <f t="shared" si="193"/>
        <v>13588.4</v>
      </c>
      <c r="X100" s="165"/>
      <c r="Y100" s="136"/>
      <c r="Z100" s="136"/>
      <c r="AA100" s="139"/>
      <c r="AB100" s="432">
        <v>273</v>
      </c>
      <c r="AC100" s="30"/>
    </row>
    <row r="101" spans="1:30" ht="12.6" customHeight="1" x14ac:dyDescent="0.2">
      <c r="A101" s="18"/>
      <c r="B101" s="642" t="s">
        <v>155</v>
      </c>
      <c r="C101" s="643"/>
      <c r="D101" s="643"/>
      <c r="E101" s="643"/>
      <c r="F101" s="393">
        <f>10*X2</f>
        <v>10270</v>
      </c>
      <c r="G101" s="294">
        <f t="shared" si="194"/>
        <v>10270</v>
      </c>
      <c r="H101" s="493">
        <f t="shared" si="179"/>
        <v>10690</v>
      </c>
      <c r="I101" s="294">
        <f t="shared" si="180"/>
        <v>10690</v>
      </c>
      <c r="J101" s="493">
        <f t="shared" si="181"/>
        <v>10450</v>
      </c>
      <c r="K101" s="294">
        <f t="shared" si="178"/>
        <v>10450</v>
      </c>
      <c r="L101" s="493">
        <f t="shared" si="182"/>
        <v>10390</v>
      </c>
      <c r="M101" s="294">
        <f t="shared" si="183"/>
        <v>10390</v>
      </c>
      <c r="N101" s="493">
        <f t="shared" si="184"/>
        <v>10333</v>
      </c>
      <c r="O101" s="294">
        <f t="shared" si="185"/>
        <v>10333</v>
      </c>
      <c r="P101" s="493">
        <f t="shared" si="186"/>
        <v>10324</v>
      </c>
      <c r="Q101" s="294">
        <f t="shared" si="187"/>
        <v>10324</v>
      </c>
      <c r="R101" s="493">
        <f t="shared" si="188"/>
        <v>10315</v>
      </c>
      <c r="S101" s="294">
        <f t="shared" si="189"/>
        <v>10315</v>
      </c>
      <c r="T101" s="103">
        <f t="shared" si="190"/>
        <v>10307</v>
      </c>
      <c r="U101" s="313">
        <f t="shared" si="191"/>
        <v>10307</v>
      </c>
      <c r="V101" s="103">
        <f t="shared" si="192"/>
        <v>10302</v>
      </c>
      <c r="W101" s="313">
        <f t="shared" si="193"/>
        <v>10302</v>
      </c>
      <c r="X101" s="166"/>
      <c r="Y101" s="140"/>
      <c r="Z101" s="136"/>
      <c r="AA101" s="139"/>
      <c r="AB101" s="432" t="s">
        <v>156</v>
      </c>
      <c r="AC101" s="30"/>
    </row>
    <row r="102" spans="1:30" ht="12.6" customHeight="1" x14ac:dyDescent="0.2">
      <c r="A102" s="18"/>
      <c r="B102" s="644" t="s">
        <v>157</v>
      </c>
      <c r="C102" s="645"/>
      <c r="D102" s="645"/>
      <c r="E102" s="645"/>
      <c r="F102" s="392">
        <f>8.73*X2</f>
        <v>8965.7100000000009</v>
      </c>
      <c r="G102" s="293">
        <f t="shared" si="194"/>
        <v>8965.7100000000009</v>
      </c>
      <c r="H102" s="600">
        <f t="shared" si="179"/>
        <v>9385.7100000000009</v>
      </c>
      <c r="I102" s="293">
        <f t="shared" si="180"/>
        <v>9385.7100000000009</v>
      </c>
      <c r="J102" s="600">
        <f t="shared" si="181"/>
        <v>9145.7100000000009</v>
      </c>
      <c r="K102" s="293">
        <f t="shared" si="178"/>
        <v>9145.7100000000009</v>
      </c>
      <c r="L102" s="600">
        <f t="shared" si="182"/>
        <v>9085.7100000000009</v>
      </c>
      <c r="M102" s="293">
        <f t="shared" si="183"/>
        <v>9085.7100000000009</v>
      </c>
      <c r="N102" s="600">
        <f t="shared" si="184"/>
        <v>9028.7100000000009</v>
      </c>
      <c r="O102" s="293">
        <f t="shared" si="185"/>
        <v>9028.7100000000009</v>
      </c>
      <c r="P102" s="600">
        <f t="shared" si="186"/>
        <v>9019.7100000000009</v>
      </c>
      <c r="Q102" s="293">
        <f t="shared" si="187"/>
        <v>9019.7100000000009</v>
      </c>
      <c r="R102" s="600">
        <f t="shared" si="188"/>
        <v>9010.7100000000009</v>
      </c>
      <c r="S102" s="293">
        <f t="shared" si="189"/>
        <v>9010.7100000000009</v>
      </c>
      <c r="T102" s="104">
        <f t="shared" si="190"/>
        <v>9002.7100000000009</v>
      </c>
      <c r="U102" s="260">
        <f t="shared" si="191"/>
        <v>9002.7100000000009</v>
      </c>
      <c r="V102" s="104">
        <f t="shared" si="192"/>
        <v>8997.7100000000009</v>
      </c>
      <c r="W102" s="260">
        <f t="shared" si="193"/>
        <v>8997.7100000000009</v>
      </c>
      <c r="X102" s="166"/>
      <c r="Y102" s="140"/>
      <c r="Z102" s="136"/>
      <c r="AA102" s="139"/>
      <c r="AB102" s="432">
        <v>278</v>
      </c>
      <c r="AC102" s="30"/>
    </row>
    <row r="103" spans="1:30" ht="12.6" customHeight="1" x14ac:dyDescent="0.2">
      <c r="A103" s="18"/>
      <c r="B103" s="895" t="s">
        <v>158</v>
      </c>
      <c r="C103" s="1059"/>
      <c r="D103" s="1059"/>
      <c r="E103" s="1059"/>
      <c r="F103" s="393">
        <f>2.02*X2</f>
        <v>2074.54</v>
      </c>
      <c r="G103" s="294">
        <f>+F103*$X$1</f>
        <v>2074.54</v>
      </c>
      <c r="H103" s="493">
        <f t="shared" si="179"/>
        <v>2494.54</v>
      </c>
      <c r="I103" s="294">
        <f t="shared" si="180"/>
        <v>2494.54</v>
      </c>
      <c r="J103" s="493">
        <f t="shared" si="181"/>
        <v>2254.54</v>
      </c>
      <c r="K103" s="294">
        <f t="shared" si="178"/>
        <v>2254.54</v>
      </c>
      <c r="L103" s="493">
        <f t="shared" si="182"/>
        <v>2194.54</v>
      </c>
      <c r="M103" s="294">
        <f t="shared" si="183"/>
        <v>2194.54</v>
      </c>
      <c r="N103" s="493">
        <f t="shared" si="184"/>
        <v>2137.54</v>
      </c>
      <c r="O103" s="294">
        <f t="shared" si="185"/>
        <v>2137.54</v>
      </c>
      <c r="P103" s="493">
        <f t="shared" si="186"/>
        <v>2128.54</v>
      </c>
      <c r="Q103" s="294">
        <f t="shared" si="187"/>
        <v>2128.54</v>
      </c>
      <c r="R103" s="493">
        <f t="shared" si="188"/>
        <v>2119.54</v>
      </c>
      <c r="S103" s="294">
        <f t="shared" si="189"/>
        <v>2119.54</v>
      </c>
      <c r="T103" s="103">
        <f t="shared" si="190"/>
        <v>2111.54</v>
      </c>
      <c r="U103" s="313">
        <f t="shared" si="191"/>
        <v>2111.54</v>
      </c>
      <c r="V103" s="103">
        <f t="shared" si="192"/>
        <v>2106.54</v>
      </c>
      <c r="W103" s="313">
        <f t="shared" si="193"/>
        <v>2106.54</v>
      </c>
      <c r="X103" s="163"/>
      <c r="Y103" s="140"/>
      <c r="Z103" s="136"/>
      <c r="AA103" s="139"/>
      <c r="AB103" s="432">
        <v>288</v>
      </c>
      <c r="AC103" s="30"/>
    </row>
    <row r="104" spans="1:30" ht="12.6" customHeight="1" x14ac:dyDescent="0.2">
      <c r="A104" s="18"/>
      <c r="B104" s="644" t="s">
        <v>159</v>
      </c>
      <c r="C104" s="645"/>
      <c r="D104" s="645"/>
      <c r="E104" s="645"/>
      <c r="F104" s="293">
        <v>398</v>
      </c>
      <c r="G104" s="293">
        <f>+F104*$X$1</f>
        <v>398</v>
      </c>
      <c r="H104" s="72"/>
      <c r="I104" s="293"/>
      <c r="J104" s="600">
        <f t="shared" si="181"/>
        <v>578</v>
      </c>
      <c r="K104" s="293">
        <f t="shared" ref="K104" si="195">+J104*$X$1</f>
        <v>578</v>
      </c>
      <c r="L104" s="600">
        <f t="shared" ref="L104" si="196">F104+120</f>
        <v>518</v>
      </c>
      <c r="M104" s="293">
        <f t="shared" si="183"/>
        <v>518</v>
      </c>
      <c r="N104" s="600">
        <f t="shared" si="184"/>
        <v>461</v>
      </c>
      <c r="O104" s="293">
        <f t="shared" ref="O104" si="197">+N104*$X$1</f>
        <v>461</v>
      </c>
      <c r="P104" s="600">
        <f t="shared" ref="P104" si="198">F104+54</f>
        <v>452</v>
      </c>
      <c r="Q104" s="293">
        <f t="shared" si="187"/>
        <v>452</v>
      </c>
      <c r="R104" s="600">
        <f t="shared" si="188"/>
        <v>443</v>
      </c>
      <c r="S104" s="293">
        <f>+R104*$X$1</f>
        <v>443</v>
      </c>
      <c r="T104" s="104">
        <f t="shared" si="190"/>
        <v>435</v>
      </c>
      <c r="U104" s="260">
        <f>+T104*$X$1</f>
        <v>435</v>
      </c>
      <c r="V104" s="104">
        <f t="shared" si="192"/>
        <v>430</v>
      </c>
      <c r="W104" s="260">
        <f t="shared" si="193"/>
        <v>430</v>
      </c>
      <c r="X104" s="163"/>
      <c r="Y104" s="140"/>
      <c r="Z104" s="136"/>
      <c r="AA104" s="139"/>
      <c r="AB104" s="432">
        <v>289</v>
      </c>
      <c r="AC104" s="30"/>
    </row>
    <row r="105" spans="1:30" ht="12.6" customHeight="1" x14ac:dyDescent="0.2">
      <c r="A105" s="18"/>
      <c r="B105" s="642" t="s">
        <v>160</v>
      </c>
      <c r="C105" s="643"/>
      <c r="D105" s="643"/>
      <c r="E105" s="643"/>
      <c r="F105" s="294"/>
      <c r="G105" s="1054" t="s">
        <v>604</v>
      </c>
      <c r="H105" s="1055"/>
      <c r="I105" s="1055"/>
      <c r="J105" s="1055"/>
      <c r="K105" s="1055"/>
      <c r="L105" s="1055"/>
      <c r="M105" s="1055"/>
      <c r="N105" s="1055"/>
      <c r="O105" s="1056"/>
      <c r="P105" s="287">
        <v>383</v>
      </c>
      <c r="Q105" s="294">
        <f t="shared" ref="Q105:Q109" si="199">+P105*$X$1</f>
        <v>383</v>
      </c>
      <c r="R105" s="114">
        <v>380</v>
      </c>
      <c r="S105" s="313">
        <f t="shared" ref="S105:S108" si="200">+R105*$X$1</f>
        <v>380</v>
      </c>
      <c r="T105" s="103">
        <v>370</v>
      </c>
      <c r="U105" s="313">
        <f t="shared" ref="U105:U108" si="201">+T105*$X$1</f>
        <v>370</v>
      </c>
      <c r="V105" s="103">
        <v>361</v>
      </c>
      <c r="W105" s="313">
        <f t="shared" ref="W105:W108" si="202">+V105*$X$1</f>
        <v>361</v>
      </c>
      <c r="X105" s="1046"/>
      <c r="Y105" s="1047"/>
      <c r="Z105" s="1047"/>
      <c r="AA105" s="1048"/>
      <c r="AB105" s="432">
        <v>290</v>
      </c>
    </row>
    <row r="106" spans="1:30" ht="12.6" customHeight="1" x14ac:dyDescent="0.2">
      <c r="A106" s="18"/>
      <c r="B106" s="644" t="s">
        <v>420</v>
      </c>
      <c r="C106" s="645"/>
      <c r="D106" s="645"/>
      <c r="E106" s="645"/>
      <c r="F106" s="293"/>
      <c r="G106" s="1054" t="s">
        <v>605</v>
      </c>
      <c r="H106" s="1055"/>
      <c r="I106" s="1055"/>
      <c r="J106" s="1055"/>
      <c r="K106" s="1055"/>
      <c r="L106" s="1055"/>
      <c r="M106" s="1055"/>
      <c r="N106" s="1055"/>
      <c r="O106" s="1056"/>
      <c r="P106" s="288">
        <v>504</v>
      </c>
      <c r="Q106" s="293">
        <f t="shared" si="199"/>
        <v>504</v>
      </c>
      <c r="R106" s="417">
        <v>501</v>
      </c>
      <c r="S106" s="260">
        <f t="shared" si="200"/>
        <v>501</v>
      </c>
      <c r="T106" s="502">
        <v>488</v>
      </c>
      <c r="U106" s="260">
        <f t="shared" si="201"/>
        <v>488</v>
      </c>
      <c r="V106" s="502">
        <v>479</v>
      </c>
      <c r="W106" s="260">
        <f t="shared" si="202"/>
        <v>479</v>
      </c>
      <c r="X106" s="1046"/>
      <c r="Y106" s="1047"/>
      <c r="Z106" s="1047"/>
      <c r="AA106" s="1048"/>
      <c r="AB106" s="432" t="s">
        <v>161</v>
      </c>
    </row>
    <row r="107" spans="1:30" ht="12.6" customHeight="1" x14ac:dyDescent="0.2">
      <c r="A107" s="18"/>
      <c r="B107" s="642" t="s">
        <v>421</v>
      </c>
      <c r="C107" s="643"/>
      <c r="D107" s="643"/>
      <c r="E107" s="643"/>
      <c r="F107" s="294"/>
      <c r="G107" s="1054" t="s">
        <v>606</v>
      </c>
      <c r="H107" s="1055"/>
      <c r="I107" s="1055"/>
      <c r="J107" s="1055"/>
      <c r="K107" s="1055"/>
      <c r="L107" s="1055"/>
      <c r="M107" s="1056"/>
      <c r="N107" s="287">
        <v>565</v>
      </c>
      <c r="O107" s="294">
        <f t="shared" ref="O107:O108" si="203">+N107*$X$1</f>
        <v>565</v>
      </c>
      <c r="P107" s="287">
        <v>474</v>
      </c>
      <c r="Q107" s="294">
        <f t="shared" si="199"/>
        <v>474</v>
      </c>
      <c r="R107" s="499">
        <v>471</v>
      </c>
      <c r="S107" s="313">
        <f t="shared" si="200"/>
        <v>471</v>
      </c>
      <c r="T107" s="493">
        <v>462</v>
      </c>
      <c r="U107" s="313">
        <f t="shared" si="201"/>
        <v>462</v>
      </c>
      <c r="V107" s="493">
        <v>453</v>
      </c>
      <c r="W107" s="313">
        <f t="shared" si="202"/>
        <v>453</v>
      </c>
      <c r="X107" s="1046"/>
      <c r="Y107" s="1047"/>
      <c r="Z107" s="1047"/>
      <c r="AA107" s="1048"/>
      <c r="AB107" s="432">
        <v>291</v>
      </c>
    </row>
    <row r="108" spans="1:30" ht="12.6" customHeight="1" x14ac:dyDescent="0.2">
      <c r="A108" s="18"/>
      <c r="B108" s="644" t="s">
        <v>422</v>
      </c>
      <c r="C108" s="645"/>
      <c r="D108" s="645"/>
      <c r="E108" s="645"/>
      <c r="F108" s="293"/>
      <c r="G108" s="1054" t="s">
        <v>607</v>
      </c>
      <c r="H108" s="1055"/>
      <c r="I108" s="1055"/>
      <c r="J108" s="1055"/>
      <c r="K108" s="1055"/>
      <c r="L108" s="1055"/>
      <c r="M108" s="1056"/>
      <c r="N108" s="288">
        <v>781</v>
      </c>
      <c r="O108" s="293">
        <f t="shared" si="203"/>
        <v>781</v>
      </c>
      <c r="P108" s="288">
        <v>654</v>
      </c>
      <c r="Q108" s="293">
        <f t="shared" si="199"/>
        <v>654</v>
      </c>
      <c r="R108" s="417">
        <v>651</v>
      </c>
      <c r="S108" s="260">
        <f t="shared" si="200"/>
        <v>651</v>
      </c>
      <c r="T108" s="502">
        <v>641</v>
      </c>
      <c r="U108" s="260">
        <f t="shared" si="201"/>
        <v>641</v>
      </c>
      <c r="V108" s="502">
        <v>631</v>
      </c>
      <c r="W108" s="260">
        <f t="shared" si="202"/>
        <v>631</v>
      </c>
      <c r="X108" s="1046"/>
      <c r="Y108" s="1047"/>
      <c r="Z108" s="1047"/>
      <c r="AA108" s="1048"/>
      <c r="AB108" s="432" t="s">
        <v>162</v>
      </c>
    </row>
    <row r="109" spans="1:30" ht="12.6" customHeight="1" x14ac:dyDescent="0.2">
      <c r="A109" s="18"/>
      <c r="B109" s="642" t="s">
        <v>163</v>
      </c>
      <c r="C109" s="642"/>
      <c r="D109" s="642"/>
      <c r="E109" s="642"/>
      <c r="F109" s="350">
        <v>253</v>
      </c>
      <c r="G109" s="294">
        <f t="shared" ref="G109:G110" si="204">+F109*$X$1</f>
        <v>253</v>
      </c>
      <c r="H109" s="1193" t="s">
        <v>419</v>
      </c>
      <c r="I109" s="1194"/>
      <c r="J109" s="1194"/>
      <c r="K109" s="1194"/>
      <c r="L109" s="1195"/>
      <c r="M109" s="1196"/>
      <c r="N109" s="114">
        <f>F109+55</f>
        <v>308</v>
      </c>
      <c r="O109" s="328">
        <f>+N109*$X$1</f>
        <v>308</v>
      </c>
      <c r="P109" s="114">
        <f>F109+50</f>
        <v>303</v>
      </c>
      <c r="Q109" s="294">
        <f t="shared" si="199"/>
        <v>303</v>
      </c>
      <c r="R109" s="542"/>
      <c r="S109" s="313"/>
      <c r="T109" s="493"/>
      <c r="U109" s="313"/>
      <c r="V109" s="493"/>
      <c r="W109" s="313"/>
      <c r="X109" s="1046"/>
      <c r="Y109" s="1047"/>
      <c r="Z109" s="1047"/>
      <c r="AA109" s="1048"/>
      <c r="AB109" s="197">
        <v>296</v>
      </c>
      <c r="AD109" s="65"/>
    </row>
    <row r="110" spans="1:30" ht="12.6" customHeight="1" x14ac:dyDescent="0.2">
      <c r="A110" s="18"/>
      <c r="B110" s="644" t="s">
        <v>164</v>
      </c>
      <c r="C110" s="644"/>
      <c r="D110" s="644"/>
      <c r="E110" s="644"/>
      <c r="F110" s="315">
        <v>341</v>
      </c>
      <c r="G110" s="293">
        <f t="shared" si="204"/>
        <v>341</v>
      </c>
      <c r="H110" s="1197"/>
      <c r="I110" s="1198"/>
      <c r="J110" s="1198"/>
      <c r="K110" s="1198"/>
      <c r="L110" s="1199"/>
      <c r="M110" s="1200"/>
      <c r="N110" s="297">
        <f>F110+55</f>
        <v>396</v>
      </c>
      <c r="O110" s="314">
        <f>+N110*$X$1</f>
        <v>396</v>
      </c>
      <c r="P110" s="297">
        <f>F110+50</f>
        <v>391</v>
      </c>
      <c r="Q110" s="293">
        <f t="shared" ref="Q110" si="205">+P110*$X$1</f>
        <v>391</v>
      </c>
      <c r="R110" s="216"/>
      <c r="S110" s="260"/>
      <c r="T110" s="538"/>
      <c r="U110" s="260"/>
      <c r="V110" s="538"/>
      <c r="W110" s="260"/>
      <c r="X110" s="1046"/>
      <c r="Y110" s="1047"/>
      <c r="Z110" s="1047"/>
      <c r="AA110" s="1048"/>
      <c r="AB110" s="197">
        <v>297</v>
      </c>
    </row>
    <row r="111" spans="1:30" ht="12.6" customHeight="1" x14ac:dyDescent="0.2">
      <c r="A111" s="18"/>
      <c r="B111" s="694" t="s">
        <v>364</v>
      </c>
      <c r="C111" s="695"/>
      <c r="D111" s="695"/>
      <c r="E111" s="695"/>
      <c r="F111" s="328"/>
      <c r="G111" s="328"/>
      <c r="H111" s="94"/>
      <c r="I111" s="1016" t="s">
        <v>365</v>
      </c>
      <c r="J111" s="1017"/>
      <c r="K111" s="1017"/>
      <c r="L111" s="1017"/>
      <c r="M111" s="1017"/>
      <c r="N111" s="1017"/>
      <c r="O111" s="1017"/>
      <c r="P111" s="1017"/>
      <c r="Q111" s="1017"/>
      <c r="R111" s="1017"/>
      <c r="S111" s="1017"/>
      <c r="T111" s="1017"/>
      <c r="U111" s="1017"/>
      <c r="V111" s="1017"/>
      <c r="W111" s="1073"/>
      <c r="X111" s="652"/>
      <c r="Y111" s="658"/>
      <c r="Z111" s="658"/>
      <c r="AA111" s="654"/>
      <c r="AB111" s="432"/>
    </row>
    <row r="112" spans="1:30" ht="12.6" customHeight="1" x14ac:dyDescent="0.2">
      <c r="A112" s="18"/>
      <c r="B112" s="692" t="s">
        <v>366</v>
      </c>
      <c r="C112" s="789"/>
      <c r="D112" s="789"/>
      <c r="E112" s="789"/>
      <c r="F112" s="314"/>
      <c r="G112" s="362"/>
      <c r="H112" s="119"/>
      <c r="I112" s="1020"/>
      <c r="J112" s="1021"/>
      <c r="K112" s="1021"/>
      <c r="L112" s="1026"/>
      <c r="M112" s="1026"/>
      <c r="N112" s="1026"/>
      <c r="O112" s="1021"/>
      <c r="P112" s="1021"/>
      <c r="Q112" s="1021"/>
      <c r="R112" s="1021"/>
      <c r="S112" s="1021"/>
      <c r="T112" s="1026"/>
      <c r="U112" s="1026"/>
      <c r="V112" s="1026"/>
      <c r="W112" s="1074"/>
      <c r="X112" s="652"/>
      <c r="Y112" s="658"/>
      <c r="Z112" s="658"/>
      <c r="AA112" s="654"/>
      <c r="AB112" s="432"/>
    </row>
    <row r="113" spans="1:28" ht="12.6" customHeight="1" x14ac:dyDescent="0.2">
      <c r="A113" s="18"/>
      <c r="B113" s="642" t="s">
        <v>800</v>
      </c>
      <c r="C113" s="643"/>
      <c r="D113" s="643"/>
      <c r="E113" s="643"/>
      <c r="F113" s="366"/>
      <c r="G113" s="1054" t="s">
        <v>418</v>
      </c>
      <c r="H113" s="1055"/>
      <c r="I113" s="1055"/>
      <c r="J113" s="1055"/>
      <c r="K113" s="1056"/>
      <c r="L113" s="501">
        <v>1565</v>
      </c>
      <c r="M113" s="294">
        <f t="shared" ref="M113:O126" si="206">+L113*$X$1</f>
        <v>1565</v>
      </c>
      <c r="N113" s="125">
        <v>1333</v>
      </c>
      <c r="O113" s="294">
        <f t="shared" si="206"/>
        <v>1333</v>
      </c>
      <c r="P113" s="405">
        <v>1110</v>
      </c>
      <c r="Q113" s="294">
        <f t="shared" ref="Q113:Q125" si="207">+P113*$X$1</f>
        <v>1110</v>
      </c>
      <c r="R113" s="493">
        <v>1105</v>
      </c>
      <c r="S113" s="294">
        <f t="shared" ref="S113:S126" si="208">+R113*$X$1</f>
        <v>1105</v>
      </c>
      <c r="T113" s="493">
        <v>1093</v>
      </c>
      <c r="U113" s="328">
        <f t="shared" ref="U113:U123" si="209">+T113*$X$1</f>
        <v>1093</v>
      </c>
      <c r="V113" s="493">
        <v>827</v>
      </c>
      <c r="W113" s="328">
        <f t="shared" ref="W113:W123" si="210">+V113*$X$1</f>
        <v>827</v>
      </c>
      <c r="X113" s="1046"/>
      <c r="Y113" s="1047"/>
      <c r="Z113" s="1047"/>
      <c r="AA113" s="1048"/>
      <c r="AB113" s="432">
        <v>301</v>
      </c>
    </row>
    <row r="114" spans="1:28" ht="12.6" customHeight="1" x14ac:dyDescent="0.2">
      <c r="A114" s="18"/>
      <c r="B114" s="644" t="s">
        <v>801</v>
      </c>
      <c r="C114" s="645"/>
      <c r="D114" s="645"/>
      <c r="E114" s="645"/>
      <c r="F114" s="367"/>
      <c r="G114" s="1054" t="s">
        <v>418</v>
      </c>
      <c r="H114" s="1055"/>
      <c r="I114" s="1055"/>
      <c r="J114" s="1055"/>
      <c r="K114" s="1056"/>
      <c r="L114" s="311">
        <v>1722</v>
      </c>
      <c r="M114" s="505">
        <f t="shared" si="206"/>
        <v>1722</v>
      </c>
      <c r="N114" s="417">
        <v>1468</v>
      </c>
      <c r="O114" s="505">
        <f t="shared" si="206"/>
        <v>1468</v>
      </c>
      <c r="P114" s="312">
        <v>1221</v>
      </c>
      <c r="Q114" s="293">
        <f t="shared" si="207"/>
        <v>1221</v>
      </c>
      <c r="R114" s="119">
        <v>1217</v>
      </c>
      <c r="S114" s="505">
        <f t="shared" si="208"/>
        <v>1217</v>
      </c>
      <c r="T114" s="502">
        <v>1205</v>
      </c>
      <c r="U114" s="314">
        <f t="shared" si="209"/>
        <v>1205</v>
      </c>
      <c r="V114" s="502">
        <v>949</v>
      </c>
      <c r="W114" s="314">
        <f t="shared" si="210"/>
        <v>949</v>
      </c>
      <c r="X114" s="1046"/>
      <c r="Y114" s="1047"/>
      <c r="Z114" s="1047"/>
      <c r="AA114" s="1048"/>
      <c r="AB114" s="432" t="s">
        <v>165</v>
      </c>
    </row>
    <row r="115" spans="1:28" ht="12.6" customHeight="1" x14ac:dyDescent="0.2">
      <c r="A115" s="18"/>
      <c r="B115" s="642" t="s">
        <v>802</v>
      </c>
      <c r="C115" s="643"/>
      <c r="D115" s="643"/>
      <c r="E115" s="643"/>
      <c r="F115" s="366"/>
      <c r="G115" s="1054" t="s">
        <v>418</v>
      </c>
      <c r="H115" s="1055"/>
      <c r="I115" s="1055"/>
      <c r="J115" s="1055"/>
      <c r="K115" s="1056"/>
      <c r="L115" s="501">
        <v>4142</v>
      </c>
      <c r="M115" s="294">
        <f t="shared" ref="M115" si="211">+L115*$X$1</f>
        <v>4142</v>
      </c>
      <c r="N115" s="125">
        <v>3532</v>
      </c>
      <c r="O115" s="294">
        <f t="shared" ref="O115" si="212">+N115*$X$1</f>
        <v>3532</v>
      </c>
      <c r="P115" s="405">
        <v>3227</v>
      </c>
      <c r="Q115" s="294">
        <f t="shared" ref="Q115" si="213">+P115*$X$1</f>
        <v>3227</v>
      </c>
      <c r="R115" s="493">
        <v>3221</v>
      </c>
      <c r="S115" s="294">
        <f t="shared" ref="S115" si="214">+R115*$X$1</f>
        <v>3221</v>
      </c>
      <c r="T115" s="493">
        <v>3197</v>
      </c>
      <c r="U115" s="328">
        <f t="shared" ref="U115" si="215">+T115*$X$1</f>
        <v>3197</v>
      </c>
      <c r="V115" s="493">
        <v>2811</v>
      </c>
      <c r="W115" s="328">
        <f t="shared" ref="W115" si="216">+V115*$X$1</f>
        <v>2811</v>
      </c>
      <c r="X115" s="1046"/>
      <c r="Y115" s="1047"/>
      <c r="Z115" s="1047"/>
      <c r="AA115" s="1048"/>
      <c r="AB115" s="432" t="s">
        <v>166</v>
      </c>
    </row>
    <row r="116" spans="1:28" ht="12.6" customHeight="1" x14ac:dyDescent="0.2">
      <c r="A116" s="18"/>
      <c r="B116" s="644" t="s">
        <v>826</v>
      </c>
      <c r="C116" s="744"/>
      <c r="D116" s="744"/>
      <c r="E116" s="744"/>
      <c r="F116" s="367"/>
      <c r="G116" s="1054" t="s">
        <v>418</v>
      </c>
      <c r="H116" s="1055"/>
      <c r="I116" s="1055"/>
      <c r="J116" s="1055"/>
      <c r="K116" s="1056"/>
      <c r="L116" s="501">
        <v>2895</v>
      </c>
      <c r="M116" s="293">
        <f t="shared" ref="M116" si="217">+L116*$X$1</f>
        <v>2895</v>
      </c>
      <c r="N116" s="72">
        <v>2467</v>
      </c>
      <c r="O116" s="293">
        <f t="shared" ref="O116" si="218">+N116*$X$1</f>
        <v>2467</v>
      </c>
      <c r="P116" s="330">
        <v>2270</v>
      </c>
      <c r="Q116" s="293">
        <f t="shared" ref="Q116" si="219">+P116*$X$1</f>
        <v>2270</v>
      </c>
      <c r="R116" s="502">
        <v>2250</v>
      </c>
      <c r="S116" s="293">
        <f t="shared" ref="S116" si="220">+R116*$X$1</f>
        <v>2250</v>
      </c>
      <c r="T116" s="502">
        <v>2232</v>
      </c>
      <c r="U116" s="293">
        <f t="shared" ref="U116" si="221">+T116*$X$1</f>
        <v>2232</v>
      </c>
      <c r="V116" s="502">
        <v>1851</v>
      </c>
      <c r="W116" s="293">
        <f t="shared" ref="W116" si="222">+V116*$X$1</f>
        <v>1851</v>
      </c>
      <c r="X116" s="1046"/>
      <c r="Y116" s="1047"/>
      <c r="Z116" s="1047"/>
      <c r="AA116" s="1048"/>
      <c r="AB116" s="432" t="s">
        <v>829</v>
      </c>
    </row>
    <row r="117" spans="1:28" ht="12.6" customHeight="1" x14ac:dyDescent="0.2">
      <c r="A117" s="18"/>
      <c r="B117" s="637" t="s">
        <v>828</v>
      </c>
      <c r="C117" s="907"/>
      <c r="D117" s="907"/>
      <c r="E117" s="907"/>
      <c r="F117" s="366"/>
      <c r="G117" s="1054" t="s">
        <v>418</v>
      </c>
      <c r="H117" s="1055"/>
      <c r="I117" s="1055"/>
      <c r="J117" s="1055"/>
      <c r="K117" s="1056"/>
      <c r="L117" s="501">
        <v>2258</v>
      </c>
      <c r="M117" s="294">
        <f t="shared" ref="M117" si="223">+L117*$X$1</f>
        <v>2258</v>
      </c>
      <c r="N117" s="90">
        <v>1922</v>
      </c>
      <c r="O117" s="294">
        <f t="shared" ref="O117" si="224">+N117*$X$1</f>
        <v>1922</v>
      </c>
      <c r="P117" s="287">
        <v>1614</v>
      </c>
      <c r="Q117" s="294">
        <f t="shared" ref="Q117" si="225">+P117*$X$1</f>
        <v>1614</v>
      </c>
      <c r="R117" s="493">
        <v>1594</v>
      </c>
      <c r="S117" s="294">
        <f t="shared" ref="S117" si="226">+R117*$X$1</f>
        <v>1594</v>
      </c>
      <c r="T117" s="493">
        <v>1579</v>
      </c>
      <c r="U117" s="294">
        <f t="shared" ref="U117" si="227">+T117*$X$1</f>
        <v>1579</v>
      </c>
      <c r="V117" s="493">
        <v>1201</v>
      </c>
      <c r="W117" s="294">
        <f t="shared" ref="W117" si="228">+V117*$X$1</f>
        <v>1201</v>
      </c>
      <c r="X117" s="1046"/>
      <c r="Y117" s="1047"/>
      <c r="Z117" s="1047"/>
      <c r="AA117" s="1048"/>
      <c r="AB117" s="432" t="s">
        <v>832</v>
      </c>
    </row>
    <row r="118" spans="1:28" ht="12.6" customHeight="1" x14ac:dyDescent="0.2">
      <c r="A118" s="18"/>
      <c r="B118" s="644" t="s">
        <v>423</v>
      </c>
      <c r="C118" s="645"/>
      <c r="D118" s="645"/>
      <c r="E118" s="645"/>
      <c r="F118" s="356"/>
      <c r="G118" s="1054" t="s">
        <v>417</v>
      </c>
      <c r="H118" s="1055"/>
      <c r="I118" s="1055"/>
      <c r="J118" s="1055"/>
      <c r="K118" s="1056"/>
      <c r="L118" s="503">
        <v>1060</v>
      </c>
      <c r="M118" s="293">
        <f t="shared" si="206"/>
        <v>1060</v>
      </c>
      <c r="N118" s="72">
        <v>901</v>
      </c>
      <c r="O118" s="293">
        <f t="shared" si="206"/>
        <v>901</v>
      </c>
      <c r="P118" s="330">
        <v>751</v>
      </c>
      <c r="Q118" s="293">
        <f t="shared" si="207"/>
        <v>751</v>
      </c>
      <c r="R118" s="502">
        <v>747</v>
      </c>
      <c r="S118" s="293">
        <f t="shared" si="208"/>
        <v>747</v>
      </c>
      <c r="T118" s="502">
        <v>737</v>
      </c>
      <c r="U118" s="293">
        <f t="shared" si="209"/>
        <v>737</v>
      </c>
      <c r="V118" s="502">
        <v>621</v>
      </c>
      <c r="W118" s="293">
        <f t="shared" si="210"/>
        <v>621</v>
      </c>
      <c r="X118" s="1046"/>
      <c r="Y118" s="1047"/>
      <c r="Z118" s="1047"/>
      <c r="AA118" s="1048"/>
      <c r="AB118" s="432">
        <v>302</v>
      </c>
    </row>
    <row r="119" spans="1:28" ht="12.6" customHeight="1" x14ac:dyDescent="0.2">
      <c r="A119" s="18"/>
      <c r="B119" s="642" t="s">
        <v>424</v>
      </c>
      <c r="C119" s="643"/>
      <c r="D119" s="643"/>
      <c r="E119" s="643"/>
      <c r="F119" s="294"/>
      <c r="G119" s="1054" t="s">
        <v>417</v>
      </c>
      <c r="H119" s="1055"/>
      <c r="I119" s="1055"/>
      <c r="J119" s="1055"/>
      <c r="K119" s="1056"/>
      <c r="L119" s="501">
        <v>1215</v>
      </c>
      <c r="M119" s="294">
        <f t="shared" si="206"/>
        <v>1215</v>
      </c>
      <c r="N119" s="90">
        <v>1036</v>
      </c>
      <c r="O119" s="294">
        <f t="shared" si="206"/>
        <v>1036</v>
      </c>
      <c r="P119" s="287">
        <v>863</v>
      </c>
      <c r="Q119" s="294">
        <f t="shared" si="207"/>
        <v>863</v>
      </c>
      <c r="R119" s="493">
        <v>859</v>
      </c>
      <c r="S119" s="294">
        <f t="shared" si="208"/>
        <v>859</v>
      </c>
      <c r="T119" s="493">
        <v>848</v>
      </c>
      <c r="U119" s="294">
        <f t="shared" si="209"/>
        <v>848</v>
      </c>
      <c r="V119" s="493">
        <v>744</v>
      </c>
      <c r="W119" s="294">
        <f t="shared" si="210"/>
        <v>744</v>
      </c>
      <c r="X119" s="1046"/>
      <c r="Y119" s="1047"/>
      <c r="Z119" s="1047"/>
      <c r="AA119" s="1048"/>
      <c r="AB119" s="432" t="s">
        <v>167</v>
      </c>
    </row>
    <row r="120" spans="1:28" ht="12.6" customHeight="1" x14ac:dyDescent="0.2">
      <c r="A120" s="18"/>
      <c r="B120" s="644" t="s">
        <v>387</v>
      </c>
      <c r="C120" s="645"/>
      <c r="D120" s="645"/>
      <c r="E120" s="645"/>
      <c r="F120" s="356"/>
      <c r="G120" s="1054" t="s">
        <v>417</v>
      </c>
      <c r="H120" s="1055"/>
      <c r="I120" s="1055"/>
      <c r="J120" s="1055"/>
      <c r="K120" s="1056"/>
      <c r="L120" s="503">
        <v>3635</v>
      </c>
      <c r="M120" s="293">
        <f t="shared" ref="M120" si="229">+L120*$X$1</f>
        <v>3635</v>
      </c>
      <c r="N120" s="72">
        <v>3100</v>
      </c>
      <c r="O120" s="293">
        <f t="shared" ref="O120" si="230">+N120*$X$1</f>
        <v>3100</v>
      </c>
      <c r="P120" s="330">
        <v>2833</v>
      </c>
      <c r="Q120" s="293">
        <f t="shared" ref="Q120" si="231">+P120*$X$1</f>
        <v>2833</v>
      </c>
      <c r="R120" s="502">
        <v>2827</v>
      </c>
      <c r="S120" s="293">
        <f t="shared" ref="S120" si="232">+R120*$X$1</f>
        <v>2827</v>
      </c>
      <c r="T120" s="502">
        <v>2806</v>
      </c>
      <c r="U120" s="293">
        <f t="shared" ref="U120" si="233">+T120*$X$1</f>
        <v>2806</v>
      </c>
      <c r="V120" s="502">
        <v>2606</v>
      </c>
      <c r="W120" s="293">
        <f t="shared" ref="W120" si="234">+V120*$X$1</f>
        <v>2606</v>
      </c>
      <c r="X120" s="1046"/>
      <c r="Y120" s="1047"/>
      <c r="Z120" s="1047"/>
      <c r="AA120" s="1048"/>
      <c r="AB120" s="432" t="s">
        <v>168</v>
      </c>
    </row>
    <row r="121" spans="1:28" ht="12.6" customHeight="1" x14ac:dyDescent="0.2">
      <c r="A121" s="18"/>
      <c r="B121" s="642" t="s">
        <v>827</v>
      </c>
      <c r="C121" s="698"/>
      <c r="D121" s="698"/>
      <c r="E121" s="698"/>
      <c r="F121" s="355"/>
      <c r="G121" s="1054" t="s">
        <v>417</v>
      </c>
      <c r="H121" s="1055"/>
      <c r="I121" s="1055"/>
      <c r="J121" s="1055"/>
      <c r="K121" s="1056"/>
      <c r="L121" s="501">
        <v>2390</v>
      </c>
      <c r="M121" s="294">
        <f t="shared" ref="M121" si="235">+L121*$X$1</f>
        <v>2390</v>
      </c>
      <c r="N121" s="90">
        <v>2035</v>
      </c>
      <c r="O121" s="294">
        <f t="shared" ref="O121" si="236">+N121*$X$1</f>
        <v>2035</v>
      </c>
      <c r="P121" s="287">
        <v>1875</v>
      </c>
      <c r="Q121" s="294">
        <f t="shared" ref="Q121" si="237">+P121*$X$1</f>
        <v>1875</v>
      </c>
      <c r="R121" s="493">
        <v>1855</v>
      </c>
      <c r="S121" s="294">
        <f t="shared" ref="S121" si="238">+R121*$X$1</f>
        <v>1855</v>
      </c>
      <c r="T121" s="493">
        <v>1840</v>
      </c>
      <c r="U121" s="294">
        <f t="shared" ref="U121" si="239">+T121*$X$1</f>
        <v>1840</v>
      </c>
      <c r="V121" s="493">
        <v>1645</v>
      </c>
      <c r="W121" s="294">
        <f t="shared" ref="W121" si="240">+V121*$X$1</f>
        <v>1645</v>
      </c>
      <c r="X121" s="1046"/>
      <c r="Y121" s="1047"/>
      <c r="Z121" s="1047"/>
      <c r="AA121" s="1048"/>
      <c r="AB121" s="432" t="s">
        <v>830</v>
      </c>
    </row>
    <row r="122" spans="1:28" ht="12.6" customHeight="1" x14ac:dyDescent="0.2">
      <c r="A122" s="18"/>
      <c r="B122" s="637" t="s">
        <v>831</v>
      </c>
      <c r="C122" s="907"/>
      <c r="D122" s="907"/>
      <c r="E122" s="907"/>
      <c r="F122" s="356"/>
      <c r="G122" s="1054" t="s">
        <v>417</v>
      </c>
      <c r="H122" s="1055"/>
      <c r="I122" s="1055"/>
      <c r="J122" s="1055"/>
      <c r="K122" s="1056"/>
      <c r="L122" s="503">
        <v>1701</v>
      </c>
      <c r="M122" s="293">
        <f t="shared" ref="M122" si="241">+L122*$X$1</f>
        <v>1701</v>
      </c>
      <c r="N122" s="72">
        <v>1447</v>
      </c>
      <c r="O122" s="293">
        <f t="shared" ref="O122" si="242">+N122*$X$1</f>
        <v>1447</v>
      </c>
      <c r="P122" s="330">
        <v>1220</v>
      </c>
      <c r="Q122" s="293">
        <f t="shared" ref="Q122" si="243">+P122*$X$1</f>
        <v>1220</v>
      </c>
      <c r="R122" s="502">
        <v>1200</v>
      </c>
      <c r="S122" s="293">
        <f t="shared" ref="S122" si="244">+R122*$X$1</f>
        <v>1200</v>
      </c>
      <c r="T122" s="600">
        <v>1188</v>
      </c>
      <c r="U122" s="293">
        <f t="shared" ref="U122" si="245">+T122*$X$1</f>
        <v>1188</v>
      </c>
      <c r="V122" s="600">
        <v>996</v>
      </c>
      <c r="W122" s="293">
        <f t="shared" ref="W122" si="246">+V122*$X$1</f>
        <v>996</v>
      </c>
      <c r="X122" s="1046"/>
      <c r="Y122" s="1047"/>
      <c r="Z122" s="1047"/>
      <c r="AA122" s="1048"/>
      <c r="AB122" s="432" t="s">
        <v>834</v>
      </c>
    </row>
    <row r="123" spans="1:28" ht="12.6" customHeight="1" x14ac:dyDescent="0.2">
      <c r="A123" s="18"/>
      <c r="B123" s="694" t="s">
        <v>658</v>
      </c>
      <c r="C123" s="695"/>
      <c r="D123" s="695"/>
      <c r="E123" s="695"/>
      <c r="F123" s="328"/>
      <c r="G123" s="1054" t="s">
        <v>418</v>
      </c>
      <c r="H123" s="1055"/>
      <c r="I123" s="1055"/>
      <c r="J123" s="1055"/>
      <c r="K123" s="1056"/>
      <c r="L123" s="501">
        <v>1717</v>
      </c>
      <c r="M123" s="294">
        <f t="shared" si="206"/>
        <v>1717</v>
      </c>
      <c r="N123" s="418">
        <v>1465</v>
      </c>
      <c r="O123" s="294">
        <f t="shared" si="206"/>
        <v>1465</v>
      </c>
      <c r="P123" s="405">
        <v>1220</v>
      </c>
      <c r="Q123" s="294">
        <f t="shared" si="207"/>
        <v>1220</v>
      </c>
      <c r="R123" s="493">
        <v>1215</v>
      </c>
      <c r="S123" s="294">
        <f t="shared" si="208"/>
        <v>1215</v>
      </c>
      <c r="T123" s="493">
        <v>1201</v>
      </c>
      <c r="U123" s="294">
        <f t="shared" si="209"/>
        <v>1201</v>
      </c>
      <c r="V123" s="493">
        <v>1189</v>
      </c>
      <c r="W123" s="294">
        <f t="shared" si="210"/>
        <v>1189</v>
      </c>
      <c r="X123" s="1046"/>
      <c r="Y123" s="1047"/>
      <c r="Z123" s="1047"/>
      <c r="AA123" s="1048"/>
      <c r="AB123" s="432">
        <v>303</v>
      </c>
    </row>
    <row r="124" spans="1:28" ht="12.6" customHeight="1" x14ac:dyDescent="0.2">
      <c r="A124" s="18"/>
      <c r="B124" s="637" t="s">
        <v>883</v>
      </c>
      <c r="C124" s="638"/>
      <c r="D124" s="638"/>
      <c r="E124" s="638"/>
      <c r="F124" s="392">
        <v>1970</v>
      </c>
      <c r="G124" s="293">
        <f>+F124*$X$1</f>
        <v>1970</v>
      </c>
      <c r="H124" s="72"/>
      <c r="I124" s="293"/>
      <c r="J124" s="600">
        <f>F124+180</f>
        <v>2150</v>
      </c>
      <c r="K124" s="293">
        <f t="shared" ref="K124" si="247">+J124*$X$1</f>
        <v>2150</v>
      </c>
      <c r="L124" s="600">
        <f t="shared" ref="L124" si="248">F124+120</f>
        <v>2090</v>
      </c>
      <c r="M124" s="293">
        <f>+L124*$X$1</f>
        <v>2090</v>
      </c>
      <c r="N124" s="600">
        <f>F124+63</f>
        <v>2033</v>
      </c>
      <c r="O124" s="293">
        <f t="shared" si="206"/>
        <v>2033</v>
      </c>
      <c r="P124" s="600">
        <f t="shared" ref="P124" si="249">F124+54</f>
        <v>2024</v>
      </c>
      <c r="Q124" s="293">
        <f>+P124*$X$1</f>
        <v>2024</v>
      </c>
      <c r="R124" s="600">
        <f>F124+45</f>
        <v>2015</v>
      </c>
      <c r="S124" s="293">
        <f>+R124*$X$1</f>
        <v>2015</v>
      </c>
      <c r="T124" s="600">
        <f>F124+37</f>
        <v>2007</v>
      </c>
      <c r="U124" s="293">
        <f>+T124*$X$1</f>
        <v>2007</v>
      </c>
      <c r="V124" s="600">
        <f>F124+32</f>
        <v>2002</v>
      </c>
      <c r="W124" s="293">
        <f>+V124*$X$1</f>
        <v>2002</v>
      </c>
      <c r="X124" s="652"/>
      <c r="Y124" s="658"/>
      <c r="Z124" s="658"/>
      <c r="AA124" s="654"/>
      <c r="AB124" s="432">
        <v>304</v>
      </c>
    </row>
    <row r="125" spans="1:28" ht="12.6" customHeight="1" x14ac:dyDescent="0.2">
      <c r="A125" s="18"/>
      <c r="B125" s="642" t="s">
        <v>799</v>
      </c>
      <c r="C125" s="643"/>
      <c r="D125" s="643"/>
      <c r="E125" s="643"/>
      <c r="F125" s="339">
        <v>2270</v>
      </c>
      <c r="G125" s="294">
        <f t="shared" ref="G125" si="250">+F125*$X$1</f>
        <v>2270</v>
      </c>
      <c r="H125" s="493"/>
      <c r="I125" s="294"/>
      <c r="J125" s="493"/>
      <c r="K125" s="294"/>
      <c r="L125" s="493">
        <f>F125+90</f>
        <v>2360</v>
      </c>
      <c r="M125" s="294">
        <f t="shared" si="206"/>
        <v>2360</v>
      </c>
      <c r="N125" s="493">
        <f>F125+55</f>
        <v>2325</v>
      </c>
      <c r="O125" s="294">
        <f>+N125*$X$1</f>
        <v>2325</v>
      </c>
      <c r="P125" s="493">
        <f>F125+49</f>
        <v>2319</v>
      </c>
      <c r="Q125" s="294">
        <f t="shared" si="207"/>
        <v>2319</v>
      </c>
      <c r="R125" s="493">
        <f>F125+42</f>
        <v>2312</v>
      </c>
      <c r="S125" s="294">
        <f>+R125*$X$1</f>
        <v>2312</v>
      </c>
      <c r="T125" s="493">
        <f>F125+36</f>
        <v>2306</v>
      </c>
      <c r="U125" s="294">
        <f t="shared" ref="U125:U130" si="251">+T125*$X$1</f>
        <v>2306</v>
      </c>
      <c r="V125" s="493">
        <f>F125+32</f>
        <v>2302</v>
      </c>
      <c r="W125" s="294">
        <f t="shared" ref="W125:W130" si="252">+V125*$X$1</f>
        <v>2302</v>
      </c>
      <c r="X125" s="652"/>
      <c r="Y125" s="658"/>
      <c r="Z125" s="658"/>
      <c r="AA125" s="654"/>
      <c r="AB125" s="432">
        <v>307</v>
      </c>
    </row>
    <row r="126" spans="1:28" ht="12.6" customHeight="1" x14ac:dyDescent="0.2">
      <c r="A126" s="18"/>
      <c r="B126" s="644" t="s">
        <v>566</v>
      </c>
      <c r="C126" s="645"/>
      <c r="D126" s="645"/>
      <c r="E126" s="645"/>
      <c r="F126" s="314">
        <v>1340</v>
      </c>
      <c r="G126" s="293">
        <f>+F126*$X$1</f>
        <v>1340</v>
      </c>
      <c r="H126" s="286"/>
      <c r="I126" s="353"/>
      <c r="J126" s="557"/>
      <c r="K126" s="293"/>
      <c r="L126" s="557">
        <v>2595</v>
      </c>
      <c r="M126" s="293">
        <f>+L126*$X$1</f>
        <v>2595</v>
      </c>
      <c r="N126" s="557">
        <v>2162</v>
      </c>
      <c r="O126" s="293">
        <f t="shared" si="206"/>
        <v>2162</v>
      </c>
      <c r="P126" s="330">
        <v>2001</v>
      </c>
      <c r="Q126" s="293">
        <f t="shared" ref="Q126" si="253">+P126*$X$1</f>
        <v>2001</v>
      </c>
      <c r="R126" s="557">
        <v>1853</v>
      </c>
      <c r="S126" s="293">
        <f t="shared" si="208"/>
        <v>1853</v>
      </c>
      <c r="T126" s="557">
        <v>1737</v>
      </c>
      <c r="U126" s="293">
        <f t="shared" si="251"/>
        <v>1737</v>
      </c>
      <c r="V126" s="557">
        <v>1664</v>
      </c>
      <c r="W126" s="293">
        <f t="shared" si="252"/>
        <v>1664</v>
      </c>
      <c r="X126" s="652"/>
      <c r="Y126" s="658"/>
      <c r="Z126" s="658"/>
      <c r="AA126" s="654"/>
      <c r="AB126" s="432">
        <v>308</v>
      </c>
    </row>
    <row r="127" spans="1:28" ht="12.6" customHeight="1" x14ac:dyDescent="0.2">
      <c r="A127" s="18"/>
      <c r="B127" s="642" t="s">
        <v>565</v>
      </c>
      <c r="C127" s="643"/>
      <c r="D127" s="643"/>
      <c r="E127" s="643"/>
      <c r="F127" s="328">
        <v>1340</v>
      </c>
      <c r="G127" s="294">
        <f>+F127*$X$1</f>
        <v>1340</v>
      </c>
      <c r="H127" s="285"/>
      <c r="I127" s="354"/>
      <c r="J127" s="493"/>
      <c r="K127" s="294"/>
      <c r="L127" s="493">
        <v>2595</v>
      </c>
      <c r="M127" s="294">
        <f>+L127*$X$1</f>
        <v>2595</v>
      </c>
      <c r="N127" s="493">
        <v>2162</v>
      </c>
      <c r="O127" s="294">
        <f t="shared" ref="O127" si="254">+N127*$X$1</f>
        <v>2162</v>
      </c>
      <c r="P127" s="287">
        <v>2001</v>
      </c>
      <c r="Q127" s="294">
        <f t="shared" ref="Q127:Q128" si="255">+P127*$X$1</f>
        <v>2001</v>
      </c>
      <c r="R127" s="493">
        <v>1853</v>
      </c>
      <c r="S127" s="294">
        <f t="shared" ref="S127" si="256">+R127*$X$1</f>
        <v>1853</v>
      </c>
      <c r="T127" s="493">
        <v>1737</v>
      </c>
      <c r="U127" s="294">
        <f t="shared" si="251"/>
        <v>1737</v>
      </c>
      <c r="V127" s="493">
        <v>1664</v>
      </c>
      <c r="W127" s="294">
        <f t="shared" si="252"/>
        <v>1664</v>
      </c>
      <c r="X127" s="652"/>
      <c r="Y127" s="658"/>
      <c r="Z127" s="658"/>
      <c r="AA127" s="654"/>
      <c r="AB127" s="432">
        <v>309</v>
      </c>
    </row>
    <row r="128" spans="1:28" ht="12.6" customHeight="1" x14ac:dyDescent="0.2">
      <c r="A128" s="18"/>
      <c r="B128" s="637" t="s">
        <v>899</v>
      </c>
      <c r="C128" s="638"/>
      <c r="D128" s="638"/>
      <c r="E128" s="638"/>
      <c r="F128" s="392">
        <f>0.78*X2</f>
        <v>801.06000000000006</v>
      </c>
      <c r="G128" s="293">
        <f>+F128*$X$1</f>
        <v>801.06000000000006</v>
      </c>
      <c r="H128" s="574"/>
      <c r="I128" s="293"/>
      <c r="J128" s="574">
        <f>F128+120</f>
        <v>921.06000000000006</v>
      </c>
      <c r="K128" s="293">
        <f t="shared" ref="K128" si="257">+J128*$X$1</f>
        <v>921.06000000000006</v>
      </c>
      <c r="L128" s="574">
        <f>F128+90</f>
        <v>891.06000000000006</v>
      </c>
      <c r="M128" s="293">
        <f t="shared" ref="M128" si="258">+L128*$X$1</f>
        <v>891.06000000000006</v>
      </c>
      <c r="N128" s="574">
        <f>F128+55</f>
        <v>856.06000000000006</v>
      </c>
      <c r="O128" s="293">
        <f>+N128*$X$1</f>
        <v>856.06000000000006</v>
      </c>
      <c r="P128" s="574">
        <f>F128+49</f>
        <v>850.06000000000006</v>
      </c>
      <c r="Q128" s="293">
        <f t="shared" si="255"/>
        <v>850.06000000000006</v>
      </c>
      <c r="R128" s="574">
        <f>F128+42</f>
        <v>843.06000000000006</v>
      </c>
      <c r="S128" s="293">
        <f>+R128*$X$1</f>
        <v>843.06000000000006</v>
      </c>
      <c r="T128" s="574">
        <f>F128+36</f>
        <v>837.06000000000006</v>
      </c>
      <c r="U128" s="293">
        <f t="shared" si="251"/>
        <v>837.06000000000006</v>
      </c>
      <c r="V128" s="574">
        <f>F128+32</f>
        <v>833.06000000000006</v>
      </c>
      <c r="W128" s="293">
        <f t="shared" si="252"/>
        <v>833.06000000000006</v>
      </c>
      <c r="X128" s="652"/>
      <c r="Y128" s="658"/>
      <c r="Z128" s="658"/>
      <c r="AA128" s="654"/>
      <c r="AB128" s="432">
        <v>310</v>
      </c>
    </row>
    <row r="129" spans="1:33" ht="12.6" customHeight="1" x14ac:dyDescent="0.2">
      <c r="A129" s="18"/>
      <c r="B129" s="637" t="s">
        <v>841</v>
      </c>
      <c r="C129" s="638"/>
      <c r="D129" s="638"/>
      <c r="E129" s="638"/>
      <c r="F129" s="393">
        <f>0.85*X2</f>
        <v>872.94999999999993</v>
      </c>
      <c r="G129" s="294">
        <f>+F129*$X$1</f>
        <v>872.94999999999993</v>
      </c>
      <c r="H129" s="493"/>
      <c r="I129" s="294"/>
      <c r="J129" s="493">
        <f>F129+120</f>
        <v>992.94999999999993</v>
      </c>
      <c r="K129" s="294">
        <f t="shared" ref="K129" si="259">+J129*$X$1</f>
        <v>992.94999999999993</v>
      </c>
      <c r="L129" s="493">
        <f>F129+90</f>
        <v>962.94999999999993</v>
      </c>
      <c r="M129" s="294">
        <f t="shared" ref="M129:M130" si="260">+L129*$X$1</f>
        <v>962.94999999999993</v>
      </c>
      <c r="N129" s="493">
        <f>F129+55</f>
        <v>927.94999999999993</v>
      </c>
      <c r="O129" s="294">
        <f>+N129*$X$1</f>
        <v>927.94999999999993</v>
      </c>
      <c r="P129" s="493">
        <f>F129+49</f>
        <v>921.94999999999993</v>
      </c>
      <c r="Q129" s="294">
        <f t="shared" ref="Q129:Q130" si="261">+P129*$X$1</f>
        <v>921.94999999999993</v>
      </c>
      <c r="R129" s="493">
        <f>F129+42</f>
        <v>914.94999999999993</v>
      </c>
      <c r="S129" s="294">
        <f>+R129*$X$1</f>
        <v>914.94999999999993</v>
      </c>
      <c r="T129" s="493">
        <f>F129+36</f>
        <v>908.94999999999993</v>
      </c>
      <c r="U129" s="294">
        <f t="shared" si="251"/>
        <v>908.94999999999993</v>
      </c>
      <c r="V129" s="493">
        <f>F129+32</f>
        <v>904.94999999999993</v>
      </c>
      <c r="W129" s="294">
        <f t="shared" si="252"/>
        <v>904.94999999999993</v>
      </c>
      <c r="X129" s="652"/>
      <c r="Y129" s="658"/>
      <c r="Z129" s="658"/>
      <c r="AA129" s="654"/>
      <c r="AB129" s="432">
        <v>311</v>
      </c>
    </row>
    <row r="130" spans="1:33" ht="12.6" customHeight="1" x14ac:dyDescent="0.2">
      <c r="A130" s="18"/>
      <c r="B130" s="644" t="s">
        <v>503</v>
      </c>
      <c r="C130" s="645"/>
      <c r="D130" s="645"/>
      <c r="E130" s="645"/>
      <c r="F130" s="392">
        <f>1.4*X2</f>
        <v>1437.8</v>
      </c>
      <c r="G130" s="293">
        <f t="shared" ref="G130" si="262">+F130*$X$1</f>
        <v>1437.8</v>
      </c>
      <c r="H130" s="574"/>
      <c r="I130" s="293"/>
      <c r="J130" s="574">
        <f>F130+120</f>
        <v>1557.8</v>
      </c>
      <c r="K130" s="293">
        <f t="shared" ref="K130" si="263">+J130*$X$1</f>
        <v>1557.8</v>
      </c>
      <c r="L130" s="574">
        <f>F130+90</f>
        <v>1527.8</v>
      </c>
      <c r="M130" s="293">
        <f t="shared" si="260"/>
        <v>1527.8</v>
      </c>
      <c r="N130" s="574">
        <f>F130+55</f>
        <v>1492.8</v>
      </c>
      <c r="O130" s="293">
        <f>+N130*$X$1</f>
        <v>1492.8</v>
      </c>
      <c r="P130" s="574">
        <f>F130+49</f>
        <v>1486.8</v>
      </c>
      <c r="Q130" s="293">
        <f t="shared" si="261"/>
        <v>1486.8</v>
      </c>
      <c r="R130" s="574">
        <f>F130+42</f>
        <v>1479.8</v>
      </c>
      <c r="S130" s="293">
        <f>+R130*$X$1</f>
        <v>1479.8</v>
      </c>
      <c r="T130" s="574">
        <f>F130+36</f>
        <v>1473.8</v>
      </c>
      <c r="U130" s="293">
        <f t="shared" si="251"/>
        <v>1473.8</v>
      </c>
      <c r="V130" s="574">
        <f>F130+32</f>
        <v>1469.8</v>
      </c>
      <c r="W130" s="293">
        <f t="shared" si="252"/>
        <v>1469.8</v>
      </c>
      <c r="X130" s="652"/>
      <c r="Y130" s="658"/>
      <c r="Z130" s="658"/>
      <c r="AA130" s="654"/>
      <c r="AB130" s="432">
        <v>312</v>
      </c>
    </row>
    <row r="131" spans="1:33" ht="12.6" customHeight="1" x14ac:dyDescent="0.2">
      <c r="A131" s="18"/>
      <c r="B131" s="646" t="s">
        <v>169</v>
      </c>
      <c r="C131" s="647"/>
      <c r="D131" s="647"/>
      <c r="E131" s="648"/>
      <c r="F131" s="294"/>
      <c r="G131" s="294"/>
      <c r="H131" s="493"/>
      <c r="I131" s="294"/>
      <c r="J131" s="90"/>
      <c r="K131" s="294"/>
      <c r="L131" s="493"/>
      <c r="M131" s="294"/>
      <c r="N131" s="493"/>
      <c r="O131" s="294"/>
      <c r="P131" s="493"/>
      <c r="Q131" s="294"/>
      <c r="R131" s="493"/>
      <c r="S131" s="294"/>
      <c r="T131" s="493"/>
      <c r="U131" s="294"/>
      <c r="V131" s="493"/>
      <c r="W131" s="294"/>
      <c r="X131" s="652"/>
      <c r="Y131" s="658"/>
      <c r="Z131" s="658"/>
      <c r="AA131" s="654"/>
      <c r="AB131" s="432" t="s">
        <v>170</v>
      </c>
    </row>
    <row r="132" spans="1:33" ht="12.6" customHeight="1" x14ac:dyDescent="0.2">
      <c r="A132" s="18"/>
      <c r="B132" s="969" t="s">
        <v>171</v>
      </c>
      <c r="C132" s="970"/>
      <c r="D132" s="970"/>
      <c r="E132" s="971"/>
      <c r="F132" s="314"/>
      <c r="G132" s="293"/>
      <c r="H132" s="574"/>
      <c r="I132" s="293"/>
      <c r="J132" s="72"/>
      <c r="K132" s="293"/>
      <c r="L132" s="574"/>
      <c r="M132" s="293"/>
      <c r="N132" s="574"/>
      <c r="O132" s="293"/>
      <c r="P132" s="574"/>
      <c r="Q132" s="293"/>
      <c r="R132" s="574"/>
      <c r="S132" s="293"/>
      <c r="T132" s="574"/>
      <c r="U132" s="293"/>
      <c r="V132" s="574"/>
      <c r="W132" s="293"/>
      <c r="X132" s="874"/>
      <c r="Y132" s="871"/>
      <c r="Z132" s="871"/>
      <c r="AA132" s="876"/>
      <c r="AB132" s="476" t="s">
        <v>172</v>
      </c>
    </row>
    <row r="133" spans="1:33" ht="12.6" customHeight="1" x14ac:dyDescent="0.2">
      <c r="A133" s="18"/>
      <c r="B133" s="646" t="s">
        <v>173</v>
      </c>
      <c r="C133" s="647"/>
      <c r="D133" s="647"/>
      <c r="E133" s="648"/>
      <c r="F133" s="294"/>
      <c r="G133" s="294"/>
      <c r="H133" s="493"/>
      <c r="I133" s="294"/>
      <c r="J133" s="90"/>
      <c r="K133" s="294"/>
      <c r="L133" s="493"/>
      <c r="M133" s="294"/>
      <c r="N133" s="493"/>
      <c r="O133" s="294"/>
      <c r="P133" s="493"/>
      <c r="Q133" s="294"/>
      <c r="R133" s="493"/>
      <c r="S133" s="294"/>
      <c r="T133" s="493"/>
      <c r="U133" s="294"/>
      <c r="V133" s="493"/>
      <c r="W133" s="294"/>
      <c r="X133" s="871"/>
      <c r="Y133" s="871"/>
      <c r="Z133" s="871"/>
      <c r="AA133" s="871"/>
      <c r="AB133" s="197" t="s">
        <v>174</v>
      </c>
    </row>
    <row r="134" spans="1:33" ht="12.6" customHeight="1" x14ac:dyDescent="0.2">
      <c r="A134" s="18"/>
      <c r="B134" s="649" t="s">
        <v>175</v>
      </c>
      <c r="C134" s="650"/>
      <c r="D134" s="650"/>
      <c r="E134" s="651"/>
      <c r="F134" s="293"/>
      <c r="G134" s="293"/>
      <c r="H134" s="574"/>
      <c r="I134" s="293"/>
      <c r="J134" s="72"/>
      <c r="K134" s="293"/>
      <c r="L134" s="574"/>
      <c r="M134" s="293"/>
      <c r="N134" s="574"/>
      <c r="O134" s="293"/>
      <c r="P134" s="574"/>
      <c r="Q134" s="293"/>
      <c r="R134" s="574"/>
      <c r="S134" s="293"/>
      <c r="T134" s="574"/>
      <c r="U134" s="293"/>
      <c r="V134" s="574"/>
      <c r="W134" s="293"/>
      <c r="X134" s="871"/>
      <c r="Y134" s="871"/>
      <c r="Z134" s="871"/>
      <c r="AA134" s="871"/>
      <c r="AB134" s="197" t="s">
        <v>176</v>
      </c>
    </row>
    <row r="135" spans="1:33" ht="12.6" customHeight="1" x14ac:dyDescent="0.2">
      <c r="A135" s="98"/>
      <c r="B135" s="646" t="s">
        <v>377</v>
      </c>
      <c r="C135" s="655"/>
      <c r="D135" s="655"/>
      <c r="E135" s="656"/>
      <c r="F135" s="294"/>
      <c r="G135" s="294"/>
      <c r="H135" s="90"/>
      <c r="I135" s="493"/>
      <c r="J135" s="493"/>
      <c r="K135" s="493"/>
      <c r="L135" s="493"/>
      <c r="M135" s="294"/>
      <c r="N135" s="493"/>
      <c r="O135" s="294"/>
      <c r="P135" s="493"/>
      <c r="Q135" s="294"/>
      <c r="R135" s="493"/>
      <c r="S135" s="294"/>
      <c r="T135" s="493"/>
      <c r="U135" s="294"/>
      <c r="V135" s="493"/>
      <c r="W135" s="294"/>
      <c r="X135" s="901"/>
      <c r="Y135" s="1182"/>
      <c r="Z135" s="1182"/>
      <c r="AA135" s="1183"/>
      <c r="AB135" s="197"/>
    </row>
    <row r="136" spans="1:33" ht="12.6" customHeight="1" x14ac:dyDescent="0.2">
      <c r="A136" s="98"/>
      <c r="B136" s="644" t="s">
        <v>177</v>
      </c>
      <c r="C136" s="645"/>
      <c r="D136" s="645"/>
      <c r="E136" s="645"/>
      <c r="F136" s="293"/>
      <c r="G136" s="293"/>
      <c r="H136" s="72"/>
      <c r="I136" s="574"/>
      <c r="J136" s="574"/>
      <c r="K136" s="574"/>
      <c r="L136" s="574"/>
      <c r="M136" s="293"/>
      <c r="N136" s="574"/>
      <c r="O136" s="293"/>
      <c r="P136" s="574"/>
      <c r="Q136" s="293"/>
      <c r="R136" s="574"/>
      <c r="S136" s="293"/>
      <c r="T136" s="574"/>
      <c r="U136" s="293"/>
      <c r="V136" s="574"/>
      <c r="W136" s="293"/>
      <c r="X136" s="901"/>
      <c r="Y136" s="902"/>
      <c r="Z136" s="902"/>
      <c r="AA136" s="903"/>
      <c r="AB136" s="197">
        <v>316</v>
      </c>
      <c r="AC136" s="61"/>
      <c r="AD136" s="61"/>
      <c r="AE136" s="61"/>
      <c r="AF136" s="61"/>
    </row>
    <row r="137" spans="1:33" ht="12.6" customHeight="1" x14ac:dyDescent="0.2">
      <c r="A137" s="98"/>
      <c r="B137" s="642" t="s">
        <v>178</v>
      </c>
      <c r="C137" s="643"/>
      <c r="D137" s="643"/>
      <c r="E137" s="643"/>
      <c r="F137" s="294"/>
      <c r="G137" s="582"/>
      <c r="H137" s="90"/>
      <c r="I137" s="583"/>
      <c r="J137" s="493"/>
      <c r="K137" s="583"/>
      <c r="L137" s="493"/>
      <c r="M137" s="584"/>
      <c r="N137" s="493"/>
      <c r="O137" s="584"/>
      <c r="P137" s="493"/>
      <c r="Q137" s="584"/>
      <c r="R137" s="493"/>
      <c r="S137" s="584"/>
      <c r="T137" s="493"/>
      <c r="U137" s="294"/>
      <c r="V137" s="493"/>
      <c r="W137" s="294"/>
      <c r="X137" s="901"/>
      <c r="Y137" s="902"/>
      <c r="Z137" s="902"/>
      <c r="AA137" s="903"/>
      <c r="AB137" s="197">
        <v>318</v>
      </c>
      <c r="AC137" s="61"/>
      <c r="AD137" s="61"/>
      <c r="AE137" s="61"/>
      <c r="AF137" s="61"/>
    </row>
    <row r="138" spans="1:33" ht="12.6" customHeight="1" x14ac:dyDescent="0.2">
      <c r="A138" s="18"/>
      <c r="B138" s="745" t="s">
        <v>345</v>
      </c>
      <c r="C138" s="1049"/>
      <c r="D138" s="1049"/>
      <c r="E138" s="1049"/>
      <c r="F138" s="293">
        <v>1092</v>
      </c>
      <c r="G138" s="321">
        <f>+F138*$X$1</f>
        <v>1092</v>
      </c>
      <c r="H138" s="198" t="s">
        <v>179</v>
      </c>
      <c r="I138" s="201"/>
      <c r="J138" s="86"/>
      <c r="K138" s="86"/>
      <c r="L138" s="170"/>
      <c r="M138" s="86"/>
      <c r="N138" s="86"/>
      <c r="O138" s="86"/>
      <c r="P138" s="83">
        <v>80</v>
      </c>
      <c r="Q138" s="200">
        <f>+P138*$X$1</f>
        <v>80</v>
      </c>
      <c r="R138" s="578"/>
      <c r="S138" s="579"/>
      <c r="T138" s="72"/>
      <c r="U138" s="293"/>
      <c r="V138" s="574"/>
      <c r="W138" s="293"/>
      <c r="X138" s="901"/>
      <c r="Y138" s="902"/>
      <c r="Z138" s="902"/>
      <c r="AA138" s="903"/>
      <c r="AB138" s="435"/>
      <c r="AC138" s="1187"/>
      <c r="AD138" s="1188"/>
      <c r="AE138" s="1188"/>
      <c r="AF138" s="1188"/>
      <c r="AG138" s="4"/>
    </row>
    <row r="139" spans="1:33" ht="12.6" customHeight="1" x14ac:dyDescent="0.2">
      <c r="A139" s="18"/>
      <c r="B139" s="987" t="s">
        <v>346</v>
      </c>
      <c r="C139" s="988"/>
      <c r="D139" s="988"/>
      <c r="E139" s="988"/>
      <c r="F139" s="294">
        <v>1177</v>
      </c>
      <c r="G139" s="363">
        <f>+F139*$X$1</f>
        <v>1177</v>
      </c>
      <c r="H139" s="269" t="s">
        <v>179</v>
      </c>
      <c r="I139" s="270"/>
      <c r="J139" s="271"/>
      <c r="K139" s="271"/>
      <c r="L139" s="272"/>
      <c r="M139" s="271"/>
      <c r="N139" s="271"/>
      <c r="O139" s="271"/>
      <c r="P139" s="273">
        <v>80</v>
      </c>
      <c r="Q139" s="274">
        <f>+P139*$X$1</f>
        <v>80</v>
      </c>
      <c r="R139" s="587"/>
      <c r="S139" s="585"/>
      <c r="T139" s="586"/>
      <c r="U139" s="296"/>
      <c r="V139" s="96"/>
      <c r="W139" s="296"/>
      <c r="X139" s="901"/>
      <c r="Y139" s="902"/>
      <c r="Z139" s="902"/>
      <c r="AA139" s="903"/>
      <c r="AB139" s="435"/>
    </row>
    <row r="140" spans="1:33" ht="12.6" customHeight="1" x14ac:dyDescent="0.2">
      <c r="A140" s="18"/>
      <c r="B140" s="745" t="s">
        <v>873</v>
      </c>
      <c r="C140" s="1049"/>
      <c r="D140" s="1049"/>
      <c r="E140" s="1049"/>
      <c r="F140" s="340"/>
      <c r="G140" s="293"/>
      <c r="H140" s="276"/>
      <c r="I140" s="293"/>
      <c r="J140" s="574">
        <f>F139+170</f>
        <v>1347</v>
      </c>
      <c r="K140" s="293">
        <f t="shared" ref="K140:K141" si="264">+J140*$X$1</f>
        <v>1347</v>
      </c>
      <c r="L140" s="574">
        <f>F139+120</f>
        <v>1297</v>
      </c>
      <c r="M140" s="293">
        <f>+L140*$X$1</f>
        <v>1297</v>
      </c>
      <c r="N140" s="574">
        <f>F139+75</f>
        <v>1252</v>
      </c>
      <c r="O140" s="293">
        <f>+N140*$X$1</f>
        <v>1252</v>
      </c>
      <c r="P140" s="574">
        <f>F139+60</f>
        <v>1237</v>
      </c>
      <c r="Q140" s="293">
        <f t="shared" ref="Q140:Q141" si="265">+P140*$X$1</f>
        <v>1237</v>
      </c>
      <c r="R140" s="574">
        <f>F139+52</f>
        <v>1229</v>
      </c>
      <c r="S140" s="293">
        <f>+R140*$X$1</f>
        <v>1229</v>
      </c>
      <c r="T140" s="574">
        <f>F139+47</f>
        <v>1224</v>
      </c>
      <c r="U140" s="293">
        <f t="shared" ref="U140:U141" si="266">+T140*$X$1</f>
        <v>1224</v>
      </c>
      <c r="V140" s="574">
        <f>F139+43</f>
        <v>1220</v>
      </c>
      <c r="W140" s="293">
        <f>+V140*$X$1</f>
        <v>1220</v>
      </c>
      <c r="X140" s="901"/>
      <c r="Y140" s="902"/>
      <c r="Z140" s="902"/>
      <c r="AA140" s="903"/>
      <c r="AB140" s="432">
        <v>321</v>
      </c>
    </row>
    <row r="141" spans="1:33" ht="12.6" customHeight="1" x14ac:dyDescent="0.2">
      <c r="A141" s="18"/>
      <c r="B141" s="987" t="s">
        <v>561</v>
      </c>
      <c r="C141" s="988"/>
      <c r="D141" s="988"/>
      <c r="E141" s="988"/>
      <c r="F141" s="339"/>
      <c r="G141" s="294"/>
      <c r="H141" s="307"/>
      <c r="I141" s="294"/>
      <c r="J141" s="493">
        <f>F139+340</f>
        <v>1517</v>
      </c>
      <c r="K141" s="294">
        <f t="shared" si="264"/>
        <v>1517</v>
      </c>
      <c r="L141" s="493">
        <f>F139+220</f>
        <v>1397</v>
      </c>
      <c r="M141" s="294">
        <f>+L141*$X$1</f>
        <v>1397</v>
      </c>
      <c r="N141" s="493">
        <f>F139+160</f>
        <v>1337</v>
      </c>
      <c r="O141" s="294">
        <f>+N141*$X$1</f>
        <v>1337</v>
      </c>
      <c r="P141" s="493">
        <f>F139+141</f>
        <v>1318</v>
      </c>
      <c r="Q141" s="294">
        <f t="shared" si="265"/>
        <v>1318</v>
      </c>
      <c r="R141" s="493">
        <f>F139+120</f>
        <v>1297</v>
      </c>
      <c r="S141" s="294">
        <f>+R141*$X$1</f>
        <v>1297</v>
      </c>
      <c r="T141" s="493">
        <f>F139+110</f>
        <v>1287</v>
      </c>
      <c r="U141" s="294">
        <f t="shared" si="266"/>
        <v>1287</v>
      </c>
      <c r="V141" s="493">
        <f>F139+103</f>
        <v>1280</v>
      </c>
      <c r="W141" s="294">
        <f>+V141*$X$1</f>
        <v>1280</v>
      </c>
      <c r="X141" s="901"/>
      <c r="Y141" s="902"/>
      <c r="Z141" s="902"/>
      <c r="AA141" s="903"/>
      <c r="AB141" s="432">
        <v>322</v>
      </c>
    </row>
    <row r="142" spans="1:33" ht="12.6" customHeight="1" x14ac:dyDescent="0.2">
      <c r="A142" s="18"/>
      <c r="B142" s="745" t="s">
        <v>347</v>
      </c>
      <c r="C142" s="1049"/>
      <c r="D142" s="1049"/>
      <c r="E142" s="1049"/>
      <c r="F142" s="293">
        <v>1366</v>
      </c>
      <c r="G142" s="321">
        <f>+F142*$X$1</f>
        <v>1366</v>
      </c>
      <c r="H142" s="492" t="s">
        <v>179</v>
      </c>
      <c r="I142" s="199"/>
      <c r="J142" s="84"/>
      <c r="K142" s="84"/>
      <c r="L142" s="84"/>
      <c r="M142" s="84"/>
      <c r="N142" s="84"/>
      <c r="O142" s="84"/>
      <c r="P142" s="85">
        <v>110</v>
      </c>
      <c r="Q142" s="275">
        <f>+P142*$X$1</f>
        <v>110</v>
      </c>
      <c r="R142" s="66"/>
      <c r="S142" s="359"/>
      <c r="T142" s="278"/>
      <c r="U142" s="364"/>
      <c r="V142" s="87"/>
      <c r="W142" s="580"/>
      <c r="X142" s="901"/>
      <c r="Y142" s="902"/>
      <c r="Z142" s="902"/>
      <c r="AA142" s="903"/>
      <c r="AB142" s="435"/>
    </row>
    <row r="143" spans="1:33" ht="12.6" customHeight="1" x14ac:dyDescent="0.2">
      <c r="A143" s="18"/>
      <c r="B143" s="642" t="s">
        <v>180</v>
      </c>
      <c r="C143" s="643"/>
      <c r="D143" s="643"/>
      <c r="E143" s="643"/>
      <c r="F143" s="296">
        <v>1456</v>
      </c>
      <c r="G143" s="363">
        <f>+F143*$X$1</f>
        <v>1456</v>
      </c>
      <c r="H143" s="269" t="s">
        <v>179</v>
      </c>
      <c r="I143" s="279"/>
      <c r="J143" s="84"/>
      <c r="K143" s="84"/>
      <c r="L143" s="84"/>
      <c r="M143" s="84"/>
      <c r="N143" s="84"/>
      <c r="O143" s="84"/>
      <c r="P143" s="85">
        <v>110</v>
      </c>
      <c r="Q143" s="200">
        <f>+P143*$X$1</f>
        <v>110</v>
      </c>
      <c r="R143" s="264"/>
      <c r="S143" s="352"/>
      <c r="T143" s="277"/>
      <c r="U143" s="365"/>
      <c r="V143" s="90"/>
      <c r="W143" s="328"/>
      <c r="X143" s="901"/>
      <c r="Y143" s="902"/>
      <c r="Z143" s="902"/>
      <c r="AA143" s="903"/>
      <c r="AB143" s="435"/>
    </row>
    <row r="144" spans="1:33" ht="12.6" customHeight="1" x14ac:dyDescent="0.2">
      <c r="A144" s="18"/>
      <c r="B144" s="644" t="s">
        <v>872</v>
      </c>
      <c r="C144" s="645"/>
      <c r="D144" s="645"/>
      <c r="E144" s="645"/>
      <c r="F144" s="356"/>
      <c r="G144" s="356"/>
      <c r="H144" s="286"/>
      <c r="I144" s="353"/>
      <c r="J144" s="574">
        <f>F143+170</f>
        <v>1626</v>
      </c>
      <c r="K144" s="293">
        <f t="shared" ref="K144" si="267">+J144*$X$1</f>
        <v>1626</v>
      </c>
      <c r="L144" s="574">
        <f>F143+120</f>
        <v>1576</v>
      </c>
      <c r="M144" s="293">
        <f>+L144*$X$1</f>
        <v>1576</v>
      </c>
      <c r="N144" s="574">
        <f>F143+75</f>
        <v>1531</v>
      </c>
      <c r="O144" s="293">
        <f>+N144*$X$1</f>
        <v>1531</v>
      </c>
      <c r="P144" s="574">
        <f>F143+60</f>
        <v>1516</v>
      </c>
      <c r="Q144" s="293">
        <f t="shared" ref="Q144" si="268">+P144*$X$1</f>
        <v>1516</v>
      </c>
      <c r="R144" s="574">
        <f>F143+52</f>
        <v>1508</v>
      </c>
      <c r="S144" s="293">
        <f>+R144*$X$1</f>
        <v>1508</v>
      </c>
      <c r="T144" s="574">
        <f>F143+47</f>
        <v>1503</v>
      </c>
      <c r="U144" s="293">
        <f t="shared" ref="U144" si="269">+T144*$X$1</f>
        <v>1503</v>
      </c>
      <c r="V144" s="574">
        <f>F143+43</f>
        <v>1499</v>
      </c>
      <c r="W144" s="293">
        <f>+V144*$X$1</f>
        <v>1499</v>
      </c>
      <c r="X144" s="901"/>
      <c r="Y144" s="902"/>
      <c r="Z144" s="902"/>
      <c r="AA144" s="903"/>
      <c r="AB144" s="432">
        <v>325</v>
      </c>
    </row>
    <row r="145" spans="1:34" ht="12.6" customHeight="1" x14ac:dyDescent="0.2">
      <c r="A145" s="18"/>
      <c r="B145" s="642" t="s">
        <v>560</v>
      </c>
      <c r="C145" s="643"/>
      <c r="D145" s="643"/>
      <c r="E145" s="643"/>
      <c r="F145" s="355"/>
      <c r="G145" s="355"/>
      <c r="H145" s="285"/>
      <c r="I145" s="354"/>
      <c r="J145" s="493">
        <f>F143+360</f>
        <v>1816</v>
      </c>
      <c r="K145" s="294">
        <f t="shared" ref="K145" si="270">+J145*$X$1</f>
        <v>1816</v>
      </c>
      <c r="L145" s="493">
        <f>F143+240</f>
        <v>1696</v>
      </c>
      <c r="M145" s="294">
        <f>+L145*$X$1</f>
        <v>1696</v>
      </c>
      <c r="N145" s="493">
        <f>F143+170</f>
        <v>1626</v>
      </c>
      <c r="O145" s="294">
        <f>+N145*$X$1</f>
        <v>1626</v>
      </c>
      <c r="P145" s="493">
        <f>F143+150</f>
        <v>1606</v>
      </c>
      <c r="Q145" s="294">
        <f t="shared" ref="Q145" si="271">+P145*$X$1</f>
        <v>1606</v>
      </c>
      <c r="R145" s="493">
        <f>F143+130</f>
        <v>1586</v>
      </c>
      <c r="S145" s="294">
        <f>+R145*$X$1</f>
        <v>1586</v>
      </c>
      <c r="T145" s="493">
        <f>F143+120</f>
        <v>1576</v>
      </c>
      <c r="U145" s="294">
        <f t="shared" ref="U145" si="272">+T145*$X$1</f>
        <v>1576</v>
      </c>
      <c r="V145" s="493">
        <f>F143+110</f>
        <v>1566</v>
      </c>
      <c r="W145" s="294">
        <f>+V145*$X$1</f>
        <v>1566</v>
      </c>
      <c r="X145" s="901"/>
      <c r="Y145" s="902"/>
      <c r="Z145" s="902"/>
      <c r="AA145" s="903"/>
      <c r="AB145" s="432">
        <v>326</v>
      </c>
    </row>
    <row r="146" spans="1:34" ht="12.6" customHeight="1" x14ac:dyDescent="0.2">
      <c r="A146" s="18"/>
      <c r="B146" s="644" t="s">
        <v>367</v>
      </c>
      <c r="C146" s="645"/>
      <c r="D146" s="645"/>
      <c r="E146" s="645"/>
      <c r="F146" s="392">
        <f>8.3*X2</f>
        <v>8524.1</v>
      </c>
      <c r="G146" s="293">
        <f>+F146*$X$1</f>
        <v>8524.1</v>
      </c>
      <c r="H146" s="574">
        <f>F146+400</f>
        <v>8924.1</v>
      </c>
      <c r="I146" s="293">
        <f t="shared" ref="I146" si="273">+H146*$X$1</f>
        <v>8924.1</v>
      </c>
      <c r="J146" s="574">
        <f>F146+150</f>
        <v>8674.1</v>
      </c>
      <c r="K146" s="293">
        <f t="shared" ref="K146" si="274">+J146*$X$1</f>
        <v>8674.1</v>
      </c>
      <c r="L146" s="574">
        <f>F146+90</f>
        <v>8614.1</v>
      </c>
      <c r="M146" s="293">
        <f t="shared" ref="M146" si="275">+L146*$X$1</f>
        <v>8614.1</v>
      </c>
      <c r="N146" s="574">
        <f>F146+63</f>
        <v>8587.1</v>
      </c>
      <c r="O146" s="293">
        <f>+N146*$X$1</f>
        <v>8587.1</v>
      </c>
      <c r="P146" s="574">
        <f>F146+55</f>
        <v>8579.1</v>
      </c>
      <c r="Q146" s="293">
        <f t="shared" ref="Q146" si="276">+P146*$X$1</f>
        <v>8579.1</v>
      </c>
      <c r="R146" s="574">
        <f>F146+49</f>
        <v>8573.1</v>
      </c>
      <c r="S146" s="293">
        <f>+R146*$X$1</f>
        <v>8573.1</v>
      </c>
      <c r="T146" s="574">
        <f>F146+43</f>
        <v>8567.1</v>
      </c>
      <c r="U146" s="293">
        <f>+T146*$X$1</f>
        <v>8567.1</v>
      </c>
      <c r="V146" s="574">
        <f>F146+38</f>
        <v>8562.1</v>
      </c>
      <c r="W146" s="293">
        <f>+V146*$X$1</f>
        <v>8562.1</v>
      </c>
      <c r="X146" s="639"/>
      <c r="Y146" s="880"/>
      <c r="Z146" s="880"/>
      <c r="AA146" s="641"/>
      <c r="AB146" s="197">
        <v>332</v>
      </c>
    </row>
    <row r="147" spans="1:34" ht="12.6" customHeight="1" x14ac:dyDescent="0.2">
      <c r="A147" s="18"/>
      <c r="B147" s="642" t="s">
        <v>685</v>
      </c>
      <c r="C147" s="643"/>
      <c r="D147" s="643"/>
      <c r="E147" s="643"/>
      <c r="F147" s="393">
        <f>4.2*X2</f>
        <v>4313.4000000000005</v>
      </c>
      <c r="G147" s="294">
        <f>+F147*$X$1</f>
        <v>4313.4000000000005</v>
      </c>
      <c r="H147" s="493">
        <f>F147+400</f>
        <v>4713.4000000000005</v>
      </c>
      <c r="I147" s="294">
        <f t="shared" ref="I147" si="277">+H147*$X$1</f>
        <v>4713.4000000000005</v>
      </c>
      <c r="J147" s="493">
        <f>F147+150</f>
        <v>4463.4000000000005</v>
      </c>
      <c r="K147" s="294">
        <f t="shared" ref="K147" si="278">+J147*$X$1</f>
        <v>4463.4000000000005</v>
      </c>
      <c r="L147" s="493">
        <f>F147+90</f>
        <v>4403.4000000000005</v>
      </c>
      <c r="M147" s="294">
        <f t="shared" ref="M147" si="279">+L147*$X$1</f>
        <v>4403.4000000000005</v>
      </c>
      <c r="N147" s="493">
        <f>F147+63</f>
        <v>4376.4000000000005</v>
      </c>
      <c r="O147" s="294">
        <f>+N147*$X$1</f>
        <v>4376.4000000000005</v>
      </c>
      <c r="P147" s="493">
        <f>F147+55</f>
        <v>4368.4000000000005</v>
      </c>
      <c r="Q147" s="294">
        <f t="shared" ref="Q147" si="280">+P147*$X$1</f>
        <v>4368.4000000000005</v>
      </c>
      <c r="R147" s="493">
        <f>F147+49</f>
        <v>4362.4000000000005</v>
      </c>
      <c r="S147" s="294">
        <f>+R147*$X$1</f>
        <v>4362.4000000000005</v>
      </c>
      <c r="T147" s="493">
        <f>F147+43</f>
        <v>4356.4000000000005</v>
      </c>
      <c r="U147" s="294">
        <f>+T147*$X$1</f>
        <v>4356.4000000000005</v>
      </c>
      <c r="V147" s="493">
        <f>F147+38</f>
        <v>4351.4000000000005</v>
      </c>
      <c r="W147" s="294">
        <f>+V147*$X$1</f>
        <v>4351.4000000000005</v>
      </c>
      <c r="X147" s="639"/>
      <c r="Y147" s="880"/>
      <c r="Z147" s="880"/>
      <c r="AA147" s="641"/>
      <c r="AB147" s="197">
        <v>337</v>
      </c>
    </row>
    <row r="148" spans="1:34" ht="12.6" customHeight="1" x14ac:dyDescent="0.2">
      <c r="A148" s="20"/>
      <c r="B148" s="972" t="s">
        <v>181</v>
      </c>
      <c r="C148" s="973"/>
      <c r="D148" s="973"/>
      <c r="E148" s="973"/>
      <c r="F148" s="293">
        <v>430</v>
      </c>
      <c r="G148" s="293">
        <f t="shared" ref="G148" si="281">+F148*$X$1</f>
        <v>430</v>
      </c>
      <c r="H148" s="581"/>
      <c r="I148" s="581"/>
      <c r="J148" s="574">
        <f>F148+300</f>
        <v>730</v>
      </c>
      <c r="K148" s="293">
        <f t="shared" ref="K148" si="282">+J148*$X$1</f>
        <v>730</v>
      </c>
      <c r="L148" s="574">
        <f>F148+240</f>
        <v>670</v>
      </c>
      <c r="M148" s="293">
        <f>+L148*$X$1</f>
        <v>670</v>
      </c>
      <c r="N148" s="574">
        <f>F148+204</f>
        <v>634</v>
      </c>
      <c r="O148" s="293">
        <f>+N148*$X$1</f>
        <v>634</v>
      </c>
      <c r="P148" s="574">
        <f>F148+170</f>
        <v>600</v>
      </c>
      <c r="Q148" s="293">
        <f t="shared" ref="Q148" si="283">+P148*$X$1</f>
        <v>600</v>
      </c>
      <c r="R148" s="574">
        <f>F148+150</f>
        <v>580</v>
      </c>
      <c r="S148" s="293">
        <f>+R148*$X$1</f>
        <v>580</v>
      </c>
      <c r="T148" s="574">
        <f>F148+135</f>
        <v>565</v>
      </c>
      <c r="U148" s="293">
        <f t="shared" ref="U148" si="284">+T148*$X$1</f>
        <v>565</v>
      </c>
      <c r="V148" s="574">
        <f>F148+120</f>
        <v>550</v>
      </c>
      <c r="W148" s="293">
        <f>+V148*$X$1</f>
        <v>550</v>
      </c>
      <c r="X148" s="152"/>
      <c r="Y148" s="152"/>
      <c r="Z148" s="152"/>
      <c r="AA148" s="152"/>
      <c r="AB148" s="197">
        <v>347</v>
      </c>
    </row>
    <row r="149" spans="1:34" ht="12.6" customHeight="1" x14ac:dyDescent="0.2">
      <c r="A149" s="20"/>
      <c r="B149" s="642" t="s">
        <v>655</v>
      </c>
      <c r="C149" s="643"/>
      <c r="D149" s="643"/>
      <c r="E149" s="643"/>
      <c r="F149" s="305"/>
      <c r="G149" s="572"/>
      <c r="H149" s="493"/>
      <c r="I149" s="493"/>
      <c r="J149" s="493"/>
      <c r="K149" s="493"/>
      <c r="L149" s="265"/>
      <c r="M149" s="265"/>
      <c r="N149" s="290"/>
      <c r="O149" s="493"/>
      <c r="P149" s="265"/>
      <c r="Q149" s="265"/>
      <c r="R149" s="493"/>
      <c r="S149" s="493"/>
      <c r="T149" s="493"/>
      <c r="U149" s="95"/>
      <c r="V149" s="493"/>
      <c r="W149" s="95"/>
      <c r="X149" s="152"/>
      <c r="Y149" s="152"/>
      <c r="Z149" s="152"/>
      <c r="AA149" s="152"/>
      <c r="AB149" s="197">
        <v>348</v>
      </c>
    </row>
    <row r="150" spans="1:34" ht="12.6" customHeight="1" x14ac:dyDescent="0.2">
      <c r="A150" s="20"/>
      <c r="B150" s="644" t="s">
        <v>182</v>
      </c>
      <c r="C150" s="645"/>
      <c r="D150" s="645"/>
      <c r="E150" s="645"/>
      <c r="F150" s="306"/>
      <c r="G150" s="573"/>
      <c r="H150" s="574"/>
      <c r="I150" s="574"/>
      <c r="J150" s="574"/>
      <c r="K150" s="574"/>
      <c r="L150" s="267"/>
      <c r="M150" s="267"/>
      <c r="N150" s="283"/>
      <c r="O150" s="574"/>
      <c r="P150" s="267"/>
      <c r="Q150" s="267"/>
      <c r="R150" s="574"/>
      <c r="S150" s="574"/>
      <c r="T150" s="574"/>
      <c r="U150" s="97"/>
      <c r="V150" s="574"/>
      <c r="W150" s="97"/>
      <c r="X150" s="152"/>
      <c r="Y150" s="152"/>
      <c r="Z150" s="152"/>
      <c r="AA150" s="152"/>
      <c r="AB150" s="197">
        <v>349</v>
      </c>
    </row>
    <row r="151" spans="1:34" ht="12.6" customHeight="1" x14ac:dyDescent="0.2">
      <c r="A151" s="20"/>
      <c r="B151" s="642" t="s">
        <v>183</v>
      </c>
      <c r="C151" s="643"/>
      <c r="D151" s="643"/>
      <c r="E151" s="643"/>
      <c r="F151" s="305"/>
      <c r="G151" s="572"/>
      <c r="H151" s="493"/>
      <c r="I151" s="493"/>
      <c r="J151" s="493"/>
      <c r="K151" s="493"/>
      <c r="L151" s="265"/>
      <c r="M151" s="265"/>
      <c r="N151" s="290"/>
      <c r="O151" s="493"/>
      <c r="P151" s="265"/>
      <c r="Q151" s="265"/>
      <c r="R151" s="493"/>
      <c r="S151" s="493"/>
      <c r="T151" s="493"/>
      <c r="U151" s="95"/>
      <c r="V151" s="493"/>
      <c r="W151" s="95"/>
      <c r="X151" s="152"/>
      <c r="Y151" s="152"/>
      <c r="Z151" s="152"/>
      <c r="AA151" s="152"/>
      <c r="AB151" s="197">
        <v>350</v>
      </c>
    </row>
    <row r="152" spans="1:34" ht="12.6" customHeight="1" x14ac:dyDescent="0.2">
      <c r="A152" s="20"/>
      <c r="B152" s="644" t="s">
        <v>184</v>
      </c>
      <c r="C152" s="645"/>
      <c r="D152" s="645"/>
      <c r="E152" s="645"/>
      <c r="F152" s="306"/>
      <c r="G152" s="573"/>
      <c r="H152" s="574"/>
      <c r="I152" s="574"/>
      <c r="J152" s="574"/>
      <c r="K152" s="574"/>
      <c r="L152" s="267"/>
      <c r="M152" s="267"/>
      <c r="N152" s="283"/>
      <c r="O152" s="574"/>
      <c r="P152" s="267"/>
      <c r="Q152" s="267"/>
      <c r="R152" s="574"/>
      <c r="S152" s="574"/>
      <c r="T152" s="574"/>
      <c r="U152" s="97"/>
      <c r="V152" s="574"/>
      <c r="W152" s="97"/>
      <c r="X152" s="152"/>
      <c r="Y152" s="152"/>
      <c r="Z152" s="152"/>
      <c r="AA152" s="152"/>
      <c r="AB152" s="197">
        <v>351</v>
      </c>
    </row>
    <row r="153" spans="1:34" ht="12.6" customHeight="1" x14ac:dyDescent="0.2">
      <c r="A153" s="20"/>
      <c r="B153" s="642" t="s">
        <v>185</v>
      </c>
      <c r="C153" s="643"/>
      <c r="D153" s="643"/>
      <c r="E153" s="643"/>
      <c r="F153" s="305"/>
      <c r="G153" s="572"/>
      <c r="H153" s="493"/>
      <c r="I153" s="493"/>
      <c r="J153" s="493"/>
      <c r="K153" s="493"/>
      <c r="L153" s="265"/>
      <c r="M153" s="265"/>
      <c r="N153" s="103"/>
      <c r="O153" s="493"/>
      <c r="P153" s="265"/>
      <c r="Q153" s="265"/>
      <c r="R153" s="493"/>
      <c r="S153" s="493"/>
      <c r="T153" s="103"/>
      <c r="U153" s="588"/>
      <c r="V153" s="103"/>
      <c r="W153" s="588"/>
      <c r="X153" s="152"/>
      <c r="Y153" s="152"/>
      <c r="Z153" s="152"/>
      <c r="AA153" s="152"/>
      <c r="AB153" s="197">
        <v>352</v>
      </c>
    </row>
    <row r="154" spans="1:34" ht="12.6" customHeight="1" x14ac:dyDescent="0.2">
      <c r="A154" s="20"/>
      <c r="B154" s="649" t="s">
        <v>384</v>
      </c>
      <c r="C154" s="650"/>
      <c r="D154" s="650"/>
      <c r="E154" s="651"/>
      <c r="F154" s="397">
        <f>0.65*X2</f>
        <v>667.55000000000007</v>
      </c>
      <c r="G154" s="260">
        <f t="shared" ref="G154" si="285">+F154*$X$1</f>
        <v>667.55000000000007</v>
      </c>
      <c r="H154" s="575"/>
      <c r="I154" s="293"/>
      <c r="J154" s="574"/>
      <c r="K154" s="293"/>
      <c r="L154" s="598">
        <f>F154+120</f>
        <v>787.55000000000007</v>
      </c>
      <c r="M154" s="293">
        <f>+L154*$X$1</f>
        <v>787.55000000000007</v>
      </c>
      <c r="N154" s="598">
        <f>F154+63</f>
        <v>730.55000000000007</v>
      </c>
      <c r="O154" s="293">
        <f>+N154*$X$1</f>
        <v>730.55000000000007</v>
      </c>
      <c r="P154" s="598">
        <f>F154+54</f>
        <v>721.55000000000007</v>
      </c>
      <c r="Q154" s="293">
        <f>+P154*$X$1</f>
        <v>721.55000000000007</v>
      </c>
      <c r="R154" s="598">
        <f>F154+45</f>
        <v>712.55000000000007</v>
      </c>
      <c r="S154" s="293">
        <f>+R154*$X$1</f>
        <v>712.55000000000007</v>
      </c>
      <c r="T154" s="104">
        <f>F154+37</f>
        <v>704.55000000000007</v>
      </c>
      <c r="U154" s="260">
        <f>+T154*$X$1</f>
        <v>704.55000000000007</v>
      </c>
      <c r="V154" s="104">
        <f>F154+32</f>
        <v>699.55000000000007</v>
      </c>
      <c r="W154" s="260">
        <f>+V154*$X$1</f>
        <v>699.55000000000007</v>
      </c>
      <c r="X154" s="874"/>
      <c r="Y154" s="899"/>
      <c r="Z154" s="899"/>
      <c r="AA154" s="900"/>
      <c r="AB154" s="197">
        <v>370</v>
      </c>
    </row>
    <row r="155" spans="1:34" ht="12.75" customHeight="1" x14ac:dyDescent="0.2">
      <c r="A155" s="18"/>
      <c r="B155" s="3"/>
      <c r="C155" s="3"/>
      <c r="D155" s="3"/>
      <c r="E155" s="3"/>
      <c r="F155" s="129"/>
      <c r="G155" s="4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7"/>
      <c r="W155" s="7"/>
      <c r="Y155" s="4"/>
      <c r="Z155" s="4"/>
      <c r="AA155" s="4"/>
      <c r="AB155" s="4"/>
      <c r="AC155" s="4"/>
      <c r="AD155" s="4"/>
    </row>
    <row r="156" spans="1:34" ht="12.75" customHeight="1" x14ac:dyDescent="0.2">
      <c r="A156" s="18"/>
      <c r="B156" s="3"/>
      <c r="C156" s="3"/>
      <c r="D156" s="3"/>
      <c r="E156" s="66"/>
      <c r="F156" s="129"/>
      <c r="G156" s="4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7"/>
      <c r="W156" s="7"/>
      <c r="Y156" s="4"/>
      <c r="Z156" s="4"/>
      <c r="AA156" s="4"/>
      <c r="AB156" s="4"/>
      <c r="AC156" s="4"/>
      <c r="AD156" s="4"/>
    </row>
    <row r="157" spans="1:34" ht="12.75" customHeight="1" x14ac:dyDescent="0.2">
      <c r="A157" s="18"/>
      <c r="B157" s="3"/>
      <c r="C157" s="3"/>
      <c r="D157" s="3"/>
      <c r="E157" s="3"/>
      <c r="F157" s="100"/>
      <c r="G157" s="4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7"/>
      <c r="W157" s="7"/>
      <c r="Y157" s="4"/>
      <c r="Z157" s="4"/>
      <c r="AA157" s="4"/>
      <c r="AB157" s="4"/>
      <c r="AC157" s="4"/>
      <c r="AD157" s="4"/>
    </row>
    <row r="158" spans="1:34" ht="14.25" customHeight="1" x14ac:dyDescent="0.2">
      <c r="A158" s="18"/>
      <c r="B158" s="740" t="s">
        <v>11</v>
      </c>
      <c r="C158" s="706" t="s">
        <v>12</v>
      </c>
      <c r="D158" s="707"/>
      <c r="E158" s="707"/>
      <c r="F158" s="708" t="s">
        <v>13</v>
      </c>
      <c r="G158" s="708" t="s">
        <v>13</v>
      </c>
      <c r="H158" s="781" t="s">
        <v>838</v>
      </c>
      <c r="I158" s="781"/>
      <c r="J158" s="782"/>
      <c r="K158" s="782"/>
      <c r="L158" s="782"/>
      <c r="M158" s="782"/>
      <c r="N158" s="782"/>
      <c r="O158" s="782"/>
      <c r="P158" s="782"/>
      <c r="Q158" s="782"/>
      <c r="R158" s="782"/>
      <c r="S158" s="782"/>
      <c r="T158" s="782"/>
      <c r="U158" s="782"/>
      <c r="V158" s="782"/>
      <c r="W158" s="782"/>
      <c r="X158" s="771" t="s">
        <v>14</v>
      </c>
      <c r="Y158" s="772"/>
      <c r="Z158" s="772"/>
      <c r="AA158" s="773"/>
      <c r="AB158" s="779" t="s">
        <v>15</v>
      </c>
      <c r="AF158" s="777" t="s">
        <v>3</v>
      </c>
      <c r="AG158" s="778"/>
      <c r="AH158" s="778"/>
    </row>
    <row r="159" spans="1:34" ht="12.6" customHeight="1" x14ac:dyDescent="0.2">
      <c r="A159" s="18"/>
      <c r="B159" s="740"/>
      <c r="C159" s="707"/>
      <c r="D159" s="707"/>
      <c r="E159" s="707"/>
      <c r="F159" s="709"/>
      <c r="G159" s="709"/>
      <c r="H159" s="512"/>
      <c r="I159" s="510" t="s">
        <v>295</v>
      </c>
      <c r="J159" s="512"/>
      <c r="K159" s="510" t="s">
        <v>17</v>
      </c>
      <c r="L159" s="513"/>
      <c r="M159" s="513" t="s">
        <v>18</v>
      </c>
      <c r="N159" s="513"/>
      <c r="O159" s="510" t="s">
        <v>19</v>
      </c>
      <c r="P159" s="513"/>
      <c r="Q159" s="513" t="s">
        <v>297</v>
      </c>
      <c r="R159" s="513"/>
      <c r="S159" s="513" t="s">
        <v>20</v>
      </c>
      <c r="T159" s="513"/>
      <c r="U159" s="513" t="s">
        <v>21</v>
      </c>
      <c r="V159" s="513"/>
      <c r="W159" s="513" t="s">
        <v>22</v>
      </c>
      <c r="X159" s="774"/>
      <c r="Y159" s="775"/>
      <c r="Z159" s="775"/>
      <c r="AA159" s="776"/>
      <c r="AB159" s="780"/>
      <c r="AG159" s="33"/>
    </row>
    <row r="160" spans="1:34" ht="12.6" customHeight="1" x14ac:dyDescent="0.2">
      <c r="A160" s="20"/>
      <c r="B160" s="732" t="s">
        <v>564</v>
      </c>
      <c r="C160" s="733"/>
      <c r="D160" s="733"/>
      <c r="E160" s="734"/>
      <c r="F160" s="328">
        <v>1033</v>
      </c>
      <c r="G160" s="313">
        <f t="shared" ref="G160" si="286">+F160*$X$1</f>
        <v>1033</v>
      </c>
      <c r="H160" s="624"/>
      <c r="I160" s="294"/>
      <c r="J160" s="493"/>
      <c r="K160" s="294"/>
      <c r="L160" s="493">
        <f t="shared" ref="L160:L173" si="287">F160+120</f>
        <v>1153</v>
      </c>
      <c r="M160" s="294">
        <f>+L160*$X$1</f>
        <v>1153</v>
      </c>
      <c r="N160" s="493">
        <f>F160+63</f>
        <v>1096</v>
      </c>
      <c r="O160" s="294">
        <f t="shared" ref="O160:O173" si="288">+N160*$X$1</f>
        <v>1096</v>
      </c>
      <c r="P160" s="493">
        <f t="shared" ref="P160:P173" si="289">F160+54</f>
        <v>1087</v>
      </c>
      <c r="Q160" s="294">
        <f>+P160*$X$1</f>
        <v>1087</v>
      </c>
      <c r="R160" s="493">
        <f>F160+45</f>
        <v>1078</v>
      </c>
      <c r="S160" s="294">
        <f>+R160*$X$1</f>
        <v>1078</v>
      </c>
      <c r="T160" s="103">
        <f>F160+37</f>
        <v>1070</v>
      </c>
      <c r="U160" s="313">
        <f>+T160*$X$1</f>
        <v>1070</v>
      </c>
      <c r="V160" s="103">
        <f>F160+32</f>
        <v>1065</v>
      </c>
      <c r="W160" s="313">
        <f>+V160*$X$1</f>
        <v>1065</v>
      </c>
      <c r="X160" s="874"/>
      <c r="Y160" s="899"/>
      <c r="Z160" s="899"/>
      <c r="AA160" s="900"/>
      <c r="AB160" s="421">
        <v>373</v>
      </c>
    </row>
    <row r="161" spans="1:28" ht="12.6" customHeight="1" x14ac:dyDescent="0.2">
      <c r="A161" s="20"/>
      <c r="B161" s="649" t="s">
        <v>186</v>
      </c>
      <c r="C161" s="650"/>
      <c r="D161" s="650"/>
      <c r="E161" s="651"/>
      <c r="F161" s="392">
        <f>1.36*X2</f>
        <v>1396.72</v>
      </c>
      <c r="G161" s="260">
        <f>+F161*$X$1</f>
        <v>1396.72</v>
      </c>
      <c r="H161" s="622"/>
      <c r="I161" s="293"/>
      <c r="J161" s="622">
        <f>F161+180</f>
        <v>1576.72</v>
      </c>
      <c r="K161" s="293">
        <f t="shared" ref="K161" si="290">+J161*$X$1</f>
        <v>1576.72</v>
      </c>
      <c r="L161" s="622">
        <f t="shared" si="287"/>
        <v>1516.72</v>
      </c>
      <c r="M161" s="293">
        <f>+L161*$X$1</f>
        <v>1516.72</v>
      </c>
      <c r="N161" s="622">
        <f>F161+63</f>
        <v>1459.72</v>
      </c>
      <c r="O161" s="293">
        <f t="shared" si="288"/>
        <v>1459.72</v>
      </c>
      <c r="P161" s="622">
        <f t="shared" si="289"/>
        <v>1450.72</v>
      </c>
      <c r="Q161" s="293">
        <f>+P161*$X$1</f>
        <v>1450.72</v>
      </c>
      <c r="R161" s="622">
        <f>F161+45</f>
        <v>1441.72</v>
      </c>
      <c r="S161" s="293">
        <f>+R161*$X$1</f>
        <v>1441.72</v>
      </c>
      <c r="T161" s="104">
        <f>F161+37</f>
        <v>1433.72</v>
      </c>
      <c r="U161" s="260">
        <f>+T161*$X$1</f>
        <v>1433.72</v>
      </c>
      <c r="V161" s="104">
        <f>F161+32</f>
        <v>1428.72</v>
      </c>
      <c r="W161" s="260">
        <f>+V161*$X$1</f>
        <v>1428.72</v>
      </c>
      <c r="X161" s="874"/>
      <c r="Y161" s="899"/>
      <c r="Z161" s="899"/>
      <c r="AA161" s="900"/>
      <c r="AB161" s="197">
        <v>375</v>
      </c>
    </row>
    <row r="162" spans="1:28" ht="12.6" customHeight="1" x14ac:dyDescent="0.2">
      <c r="A162" s="20"/>
      <c r="B162" s="646" t="s">
        <v>187</v>
      </c>
      <c r="C162" s="647"/>
      <c r="D162" s="647"/>
      <c r="E162" s="648"/>
      <c r="F162" s="393">
        <f>4.67*X2</f>
        <v>4796.09</v>
      </c>
      <c r="G162" s="313">
        <f>+F162*$X$1</f>
        <v>4796.09</v>
      </c>
      <c r="H162" s="493">
        <f>F162+400</f>
        <v>5196.09</v>
      </c>
      <c r="I162" s="294">
        <f t="shared" ref="I162" si="291">+H162*$X$1</f>
        <v>5196.09</v>
      </c>
      <c r="J162" s="493">
        <f>F162+150</f>
        <v>4946.09</v>
      </c>
      <c r="K162" s="294">
        <f t="shared" ref="K162:K166" si="292">+J162*$X$1</f>
        <v>4946.09</v>
      </c>
      <c r="L162" s="493">
        <f t="shared" si="287"/>
        <v>4916.09</v>
      </c>
      <c r="M162" s="294">
        <f t="shared" ref="M162" si="293">+L162*$X$1</f>
        <v>4916.09</v>
      </c>
      <c r="N162" s="493">
        <f>F162+60</f>
        <v>4856.09</v>
      </c>
      <c r="O162" s="294">
        <f t="shared" si="288"/>
        <v>4856.09</v>
      </c>
      <c r="P162" s="493">
        <f t="shared" si="289"/>
        <v>4850.09</v>
      </c>
      <c r="Q162" s="294">
        <f t="shared" ref="Q162" si="294">+P162*$X$1</f>
        <v>4850.09</v>
      </c>
      <c r="R162" s="493">
        <f>F162+47</f>
        <v>4843.09</v>
      </c>
      <c r="S162" s="294">
        <f>+R162*$X$1</f>
        <v>4843.09</v>
      </c>
      <c r="T162" s="493">
        <f>F162+39</f>
        <v>4835.09</v>
      </c>
      <c r="U162" s="294">
        <f>+T162*$X$1</f>
        <v>4835.09</v>
      </c>
      <c r="V162" s="493">
        <f>F162+34</f>
        <v>4830.09</v>
      </c>
      <c r="W162" s="294">
        <f>+V162*$X$1</f>
        <v>4830.09</v>
      </c>
      <c r="X162" s="639"/>
      <c r="Y162" s="880"/>
      <c r="Z162" s="880"/>
      <c r="AA162" s="641"/>
      <c r="AB162" s="197">
        <v>376</v>
      </c>
    </row>
    <row r="163" spans="1:28" ht="12.6" customHeight="1" x14ac:dyDescent="0.2">
      <c r="A163" s="20"/>
      <c r="B163" s="649" t="s">
        <v>188</v>
      </c>
      <c r="C163" s="650"/>
      <c r="D163" s="650"/>
      <c r="E163" s="651"/>
      <c r="F163" s="392">
        <f>3.56*X2</f>
        <v>3656.12</v>
      </c>
      <c r="G163" s="260">
        <f t="shared" ref="G163:G165" si="295">+F163*$X$1</f>
        <v>3656.12</v>
      </c>
      <c r="H163" s="327"/>
      <c r="I163" s="353"/>
      <c r="J163" s="622">
        <f>F163+180</f>
        <v>3836.12</v>
      </c>
      <c r="K163" s="293">
        <f t="shared" si="292"/>
        <v>3836.12</v>
      </c>
      <c r="L163" s="622">
        <f t="shared" si="287"/>
        <v>3776.12</v>
      </c>
      <c r="M163" s="293">
        <f>+L163*$X$1</f>
        <v>3776.12</v>
      </c>
      <c r="N163" s="622">
        <f>F163+63</f>
        <v>3719.12</v>
      </c>
      <c r="O163" s="293">
        <f t="shared" si="288"/>
        <v>3719.12</v>
      </c>
      <c r="P163" s="622">
        <f t="shared" si="289"/>
        <v>3710.12</v>
      </c>
      <c r="Q163" s="293">
        <f>+P163*$X$1</f>
        <v>3710.12</v>
      </c>
      <c r="R163" s="622"/>
      <c r="S163" s="293"/>
      <c r="T163" s="104"/>
      <c r="U163" s="260"/>
      <c r="V163" s="104"/>
      <c r="W163" s="260"/>
      <c r="X163" s="874"/>
      <c r="Y163" s="899"/>
      <c r="Z163" s="899"/>
      <c r="AA163" s="900"/>
      <c r="AB163" s="197">
        <v>379</v>
      </c>
    </row>
    <row r="164" spans="1:28" ht="12.6" customHeight="1" x14ac:dyDescent="0.2">
      <c r="A164" s="105"/>
      <c r="B164" s="646" t="s">
        <v>406</v>
      </c>
      <c r="C164" s="647"/>
      <c r="D164" s="647"/>
      <c r="E164" s="648"/>
      <c r="F164" s="393">
        <f>1.862*X2</f>
        <v>1912.2740000000001</v>
      </c>
      <c r="G164" s="313">
        <f t="shared" si="295"/>
        <v>1912.2740000000001</v>
      </c>
      <c r="H164" s="493">
        <f>F164+420</f>
        <v>2332.2740000000003</v>
      </c>
      <c r="I164" s="294">
        <f>+H164*$X$1</f>
        <v>2332.2740000000003</v>
      </c>
      <c r="J164" s="493">
        <f>F164+180</f>
        <v>2092.2740000000003</v>
      </c>
      <c r="K164" s="294">
        <f t="shared" si="292"/>
        <v>2092.2740000000003</v>
      </c>
      <c r="L164" s="493">
        <f t="shared" si="287"/>
        <v>2032.2740000000001</v>
      </c>
      <c r="M164" s="294">
        <f>+L164*$X$1</f>
        <v>2032.2740000000001</v>
      </c>
      <c r="N164" s="493">
        <f>F164+63</f>
        <v>1975.2740000000001</v>
      </c>
      <c r="O164" s="294">
        <f t="shared" si="288"/>
        <v>1975.2740000000001</v>
      </c>
      <c r="P164" s="493">
        <f t="shared" si="289"/>
        <v>1966.2740000000001</v>
      </c>
      <c r="Q164" s="294">
        <f>+P164*$X$1</f>
        <v>1966.2740000000001</v>
      </c>
      <c r="R164" s="493">
        <f>F164+45</f>
        <v>1957.2740000000001</v>
      </c>
      <c r="S164" s="294">
        <f t="shared" ref="S164:S173" si="296">+R164*$X$1</f>
        <v>1957.2740000000001</v>
      </c>
      <c r="T164" s="103">
        <f>F164+37</f>
        <v>1949.2740000000001</v>
      </c>
      <c r="U164" s="313">
        <f t="shared" ref="U164:U173" si="297">+T164*$X$1</f>
        <v>1949.2740000000001</v>
      </c>
      <c r="V164" s="103">
        <f>F164+32</f>
        <v>1944.2740000000001</v>
      </c>
      <c r="W164" s="313">
        <f t="shared" ref="W164:W169" si="298">+V164*$X$1</f>
        <v>1944.2740000000001</v>
      </c>
      <c r="X164" s="874"/>
      <c r="Y164" s="899"/>
      <c r="Z164" s="899"/>
      <c r="AA164" s="900"/>
      <c r="AB164" s="197">
        <v>382</v>
      </c>
    </row>
    <row r="165" spans="1:28" ht="12.6" customHeight="1" x14ac:dyDescent="0.2">
      <c r="A165" s="20"/>
      <c r="B165" s="716" t="s">
        <v>930</v>
      </c>
      <c r="C165" s="717"/>
      <c r="D165" s="717"/>
      <c r="E165" s="718"/>
      <c r="F165" s="392">
        <f>23.17*X2</f>
        <v>23795.59</v>
      </c>
      <c r="G165" s="260">
        <f t="shared" si="295"/>
        <v>23795.59</v>
      </c>
      <c r="H165" s="622">
        <f>F165+400</f>
        <v>24195.59</v>
      </c>
      <c r="I165" s="293">
        <f t="shared" ref="I165" si="299">+H165*$X$1</f>
        <v>24195.59</v>
      </c>
      <c r="J165" s="622">
        <f>F165+150</f>
        <v>23945.59</v>
      </c>
      <c r="K165" s="293">
        <f t="shared" si="292"/>
        <v>23945.59</v>
      </c>
      <c r="L165" s="622">
        <f t="shared" ref="L165" si="300">F165+120</f>
        <v>23915.59</v>
      </c>
      <c r="M165" s="293">
        <f t="shared" ref="M165" si="301">+L165*$X$1</f>
        <v>23915.59</v>
      </c>
      <c r="N165" s="622">
        <f>F165+60</f>
        <v>23855.59</v>
      </c>
      <c r="O165" s="293">
        <f t="shared" ref="O165" si="302">+N165*$X$1</f>
        <v>23855.59</v>
      </c>
      <c r="P165" s="622">
        <f t="shared" ref="P165" si="303">F165+54</f>
        <v>23849.59</v>
      </c>
      <c r="Q165" s="293">
        <f t="shared" ref="Q165" si="304">+P165*$X$1</f>
        <v>23849.59</v>
      </c>
      <c r="R165" s="622">
        <f>F165+47</f>
        <v>23842.59</v>
      </c>
      <c r="S165" s="293">
        <f t="shared" ref="S165" si="305">+R165*$X$1</f>
        <v>23842.59</v>
      </c>
      <c r="T165" s="622">
        <f>F165+39</f>
        <v>23834.59</v>
      </c>
      <c r="U165" s="293">
        <f t="shared" ref="U165" si="306">+T165*$X$1</f>
        <v>23834.59</v>
      </c>
      <c r="V165" s="622">
        <f>F165+34</f>
        <v>23829.59</v>
      </c>
      <c r="W165" s="293">
        <f t="shared" si="298"/>
        <v>23829.59</v>
      </c>
      <c r="X165" s="874"/>
      <c r="Y165" s="899"/>
      <c r="Z165" s="899"/>
      <c r="AA165" s="900"/>
      <c r="AB165" s="197">
        <v>392</v>
      </c>
    </row>
    <row r="166" spans="1:28" ht="12.6" customHeight="1" x14ac:dyDescent="0.2">
      <c r="A166" s="20"/>
      <c r="B166" s="646" t="s">
        <v>587</v>
      </c>
      <c r="C166" s="647"/>
      <c r="D166" s="647"/>
      <c r="E166" s="648"/>
      <c r="F166" s="393">
        <f>17.8*X2</f>
        <v>18280.600000000002</v>
      </c>
      <c r="G166" s="313">
        <f t="shared" ref="G166" si="307">+F166*$X$1</f>
        <v>18280.600000000002</v>
      </c>
      <c r="H166" s="493">
        <f>F166+420</f>
        <v>18700.600000000002</v>
      </c>
      <c r="I166" s="294">
        <f>+H166*$X$1</f>
        <v>18700.600000000002</v>
      </c>
      <c r="J166" s="493">
        <f>F166+180</f>
        <v>18460.600000000002</v>
      </c>
      <c r="K166" s="294">
        <f t="shared" si="292"/>
        <v>18460.600000000002</v>
      </c>
      <c r="L166" s="493">
        <f t="shared" si="287"/>
        <v>18400.600000000002</v>
      </c>
      <c r="M166" s="294">
        <f>+L166*$X$1</f>
        <v>18400.600000000002</v>
      </c>
      <c r="N166" s="493">
        <f>F166+63</f>
        <v>18343.600000000002</v>
      </c>
      <c r="O166" s="294">
        <f t="shared" si="288"/>
        <v>18343.600000000002</v>
      </c>
      <c r="P166" s="493">
        <f t="shared" si="289"/>
        <v>18334.600000000002</v>
      </c>
      <c r="Q166" s="294">
        <f>+P166*$X$1</f>
        <v>18334.600000000002</v>
      </c>
      <c r="R166" s="493">
        <f>F166+45</f>
        <v>18325.600000000002</v>
      </c>
      <c r="S166" s="294">
        <f t="shared" si="296"/>
        <v>18325.600000000002</v>
      </c>
      <c r="T166" s="103">
        <f>F166+37</f>
        <v>18317.600000000002</v>
      </c>
      <c r="U166" s="313">
        <f t="shared" si="297"/>
        <v>18317.600000000002</v>
      </c>
      <c r="V166" s="103">
        <f>F166+32</f>
        <v>18312.600000000002</v>
      </c>
      <c r="W166" s="313">
        <f t="shared" si="298"/>
        <v>18312.600000000002</v>
      </c>
      <c r="X166" s="874"/>
      <c r="Y166" s="899"/>
      <c r="Z166" s="899"/>
      <c r="AA166" s="900"/>
      <c r="AB166" s="197">
        <v>395</v>
      </c>
    </row>
    <row r="167" spans="1:28" ht="12.6" customHeight="1" x14ac:dyDescent="0.2">
      <c r="A167" s="20"/>
      <c r="B167" s="649" t="s">
        <v>588</v>
      </c>
      <c r="C167" s="650"/>
      <c r="D167" s="650"/>
      <c r="E167" s="651"/>
      <c r="F167" s="392">
        <f>20.71*X2</f>
        <v>21269.170000000002</v>
      </c>
      <c r="G167" s="260">
        <f t="shared" ref="G167" si="308">+F167*$X$1</f>
        <v>21269.170000000002</v>
      </c>
      <c r="H167" s="598">
        <f>F167+400</f>
        <v>21669.170000000002</v>
      </c>
      <c r="I167" s="293">
        <f t="shared" ref="I167:I169" si="309">+H167*$X$1</f>
        <v>21669.170000000002</v>
      </c>
      <c r="J167" s="598">
        <f>F167+150</f>
        <v>21419.170000000002</v>
      </c>
      <c r="K167" s="293">
        <f t="shared" ref="K167:K169" si="310">+J167*$X$1</f>
        <v>21419.170000000002</v>
      </c>
      <c r="L167" s="598">
        <f t="shared" si="287"/>
        <v>21389.170000000002</v>
      </c>
      <c r="M167" s="293">
        <f t="shared" ref="M167:M169" si="311">+L167*$X$1</f>
        <v>21389.170000000002</v>
      </c>
      <c r="N167" s="598">
        <f>F167+60</f>
        <v>21329.170000000002</v>
      </c>
      <c r="O167" s="293">
        <f t="shared" si="288"/>
        <v>21329.170000000002</v>
      </c>
      <c r="P167" s="598">
        <f t="shared" si="289"/>
        <v>21323.170000000002</v>
      </c>
      <c r="Q167" s="293">
        <f t="shared" ref="Q167:Q169" si="312">+P167*$X$1</f>
        <v>21323.170000000002</v>
      </c>
      <c r="R167" s="598">
        <f>F167+47</f>
        <v>21316.170000000002</v>
      </c>
      <c r="S167" s="293">
        <f t="shared" si="296"/>
        <v>21316.170000000002</v>
      </c>
      <c r="T167" s="598">
        <f>F167+39</f>
        <v>21308.170000000002</v>
      </c>
      <c r="U167" s="293">
        <f t="shared" si="297"/>
        <v>21308.170000000002</v>
      </c>
      <c r="V167" s="598">
        <f>F167+34</f>
        <v>21303.170000000002</v>
      </c>
      <c r="W167" s="293">
        <f t="shared" si="298"/>
        <v>21303.170000000002</v>
      </c>
      <c r="X167" s="874"/>
      <c r="Y167" s="899"/>
      <c r="Z167" s="899"/>
      <c r="AA167" s="900"/>
      <c r="AB167" s="197">
        <v>398</v>
      </c>
    </row>
    <row r="168" spans="1:28" ht="12.6" customHeight="1" x14ac:dyDescent="0.2">
      <c r="A168" s="20"/>
      <c r="B168" s="664" t="s">
        <v>626</v>
      </c>
      <c r="C168" s="665"/>
      <c r="D168" s="665"/>
      <c r="E168" s="665"/>
      <c r="F168" s="393">
        <f>13.317*X2</f>
        <v>13676.558999999999</v>
      </c>
      <c r="G168" s="313">
        <f t="shared" ref="G168" si="313">+F168*$X$1</f>
        <v>13676.558999999999</v>
      </c>
      <c r="H168" s="493">
        <f>F168+400</f>
        <v>14076.558999999999</v>
      </c>
      <c r="I168" s="294">
        <f t="shared" si="309"/>
        <v>14076.558999999999</v>
      </c>
      <c r="J168" s="493">
        <f>F168+150</f>
        <v>13826.558999999999</v>
      </c>
      <c r="K168" s="294">
        <f t="shared" si="310"/>
        <v>13826.558999999999</v>
      </c>
      <c r="L168" s="493">
        <f t="shared" si="287"/>
        <v>13796.558999999999</v>
      </c>
      <c r="M168" s="294">
        <f t="shared" si="311"/>
        <v>13796.558999999999</v>
      </c>
      <c r="N168" s="493">
        <f>F168+60</f>
        <v>13736.558999999999</v>
      </c>
      <c r="O168" s="294">
        <f t="shared" si="288"/>
        <v>13736.558999999999</v>
      </c>
      <c r="P168" s="493">
        <f t="shared" si="289"/>
        <v>13730.558999999999</v>
      </c>
      <c r="Q168" s="294">
        <f t="shared" si="312"/>
        <v>13730.558999999999</v>
      </c>
      <c r="R168" s="493">
        <f>F168+47</f>
        <v>13723.558999999999</v>
      </c>
      <c r="S168" s="294">
        <f t="shared" si="296"/>
        <v>13723.558999999999</v>
      </c>
      <c r="T168" s="493">
        <f>F168+39</f>
        <v>13715.558999999999</v>
      </c>
      <c r="U168" s="294">
        <f t="shared" si="297"/>
        <v>13715.558999999999</v>
      </c>
      <c r="V168" s="493">
        <f>F168+34</f>
        <v>13710.558999999999</v>
      </c>
      <c r="W168" s="294">
        <f t="shared" si="298"/>
        <v>13710.558999999999</v>
      </c>
      <c r="X168" s="640"/>
      <c r="Y168" s="880"/>
      <c r="Z168" s="880"/>
      <c r="AA168" s="641"/>
      <c r="AB168" s="197" t="s">
        <v>627</v>
      </c>
    </row>
    <row r="169" spans="1:28" ht="12.6" customHeight="1" x14ac:dyDescent="0.2">
      <c r="A169" s="20"/>
      <c r="B169" s="662" t="s">
        <v>635</v>
      </c>
      <c r="C169" s="678"/>
      <c r="D169" s="678"/>
      <c r="E169" s="678"/>
      <c r="F169" s="392">
        <f>17.78*X2</f>
        <v>18260.060000000001</v>
      </c>
      <c r="G169" s="260">
        <f t="shared" ref="G169" si="314">+F169*$X$1</f>
        <v>18260.060000000001</v>
      </c>
      <c r="H169" s="598">
        <f>F169+400</f>
        <v>18660.060000000001</v>
      </c>
      <c r="I169" s="293">
        <f t="shared" si="309"/>
        <v>18660.060000000001</v>
      </c>
      <c r="J169" s="598">
        <f>F169+150</f>
        <v>18410.060000000001</v>
      </c>
      <c r="K169" s="293">
        <f t="shared" si="310"/>
        <v>18410.060000000001</v>
      </c>
      <c r="L169" s="598">
        <f t="shared" si="287"/>
        <v>18380.060000000001</v>
      </c>
      <c r="M169" s="293">
        <f t="shared" si="311"/>
        <v>18380.060000000001</v>
      </c>
      <c r="N169" s="598">
        <f>F169+60</f>
        <v>18320.060000000001</v>
      </c>
      <c r="O169" s="293">
        <f t="shared" si="288"/>
        <v>18320.060000000001</v>
      </c>
      <c r="P169" s="598">
        <f t="shared" si="289"/>
        <v>18314.060000000001</v>
      </c>
      <c r="Q169" s="293">
        <f t="shared" si="312"/>
        <v>18314.060000000001</v>
      </c>
      <c r="R169" s="598">
        <f>F169+47</f>
        <v>18307.060000000001</v>
      </c>
      <c r="S169" s="293">
        <f t="shared" si="296"/>
        <v>18307.060000000001</v>
      </c>
      <c r="T169" s="598">
        <f>F169+39</f>
        <v>18299.060000000001</v>
      </c>
      <c r="U169" s="293">
        <f t="shared" si="297"/>
        <v>18299.060000000001</v>
      </c>
      <c r="V169" s="598">
        <f>F169+34</f>
        <v>18294.060000000001</v>
      </c>
      <c r="W169" s="293">
        <f t="shared" si="298"/>
        <v>18294.060000000001</v>
      </c>
      <c r="X169" s="183"/>
      <c r="Y169" s="185"/>
      <c r="Z169" s="185"/>
      <c r="AA169" s="183"/>
      <c r="AB169" s="197" t="s">
        <v>634</v>
      </c>
    </row>
    <row r="170" spans="1:28" ht="12.6" customHeight="1" x14ac:dyDescent="0.2">
      <c r="A170" s="20"/>
      <c r="B170" s="664" t="s">
        <v>629</v>
      </c>
      <c r="C170" s="665"/>
      <c r="D170" s="665"/>
      <c r="E170" s="665"/>
      <c r="F170" s="393">
        <f>12.84*X2</f>
        <v>13186.68</v>
      </c>
      <c r="G170" s="313">
        <f t="shared" ref="G170" si="315">+F170*$X$1</f>
        <v>13186.68</v>
      </c>
      <c r="H170" s="493">
        <f>F170+420</f>
        <v>13606.68</v>
      </c>
      <c r="I170" s="294">
        <f>+H170*$X$1</f>
        <v>13606.68</v>
      </c>
      <c r="J170" s="493">
        <f>F170+180</f>
        <v>13366.68</v>
      </c>
      <c r="K170" s="294">
        <f t="shared" ref="K170" si="316">+J170*$X$1</f>
        <v>13366.68</v>
      </c>
      <c r="L170" s="493">
        <f t="shared" si="287"/>
        <v>13306.68</v>
      </c>
      <c r="M170" s="294">
        <f>+L170*$X$1</f>
        <v>13306.68</v>
      </c>
      <c r="N170" s="493">
        <f>F170+63</f>
        <v>13249.68</v>
      </c>
      <c r="O170" s="294">
        <f t="shared" si="288"/>
        <v>13249.68</v>
      </c>
      <c r="P170" s="493">
        <f t="shared" si="289"/>
        <v>13240.68</v>
      </c>
      <c r="Q170" s="294">
        <f>+P170*$X$1</f>
        <v>13240.68</v>
      </c>
      <c r="R170" s="493">
        <f>F170+45</f>
        <v>13231.68</v>
      </c>
      <c r="S170" s="294">
        <f t="shared" si="296"/>
        <v>13231.68</v>
      </c>
      <c r="T170" s="103">
        <f>F170+37</f>
        <v>13223.68</v>
      </c>
      <c r="U170" s="313">
        <f t="shared" si="297"/>
        <v>13223.68</v>
      </c>
      <c r="V170" s="103"/>
      <c r="W170" s="313"/>
      <c r="X170" s="874"/>
      <c r="Y170" s="899"/>
      <c r="Z170" s="899"/>
      <c r="AA170" s="900"/>
      <c r="AB170" s="197" t="s">
        <v>628</v>
      </c>
    </row>
    <row r="171" spans="1:28" ht="12.6" customHeight="1" x14ac:dyDescent="0.2">
      <c r="A171" s="20"/>
      <c r="B171" s="662" t="s">
        <v>360</v>
      </c>
      <c r="C171" s="678"/>
      <c r="D171" s="678"/>
      <c r="E171" s="678"/>
      <c r="F171" s="392">
        <f>15.93*X2</f>
        <v>16360.11</v>
      </c>
      <c r="G171" s="260">
        <f t="shared" ref="G171:G172" si="317">+F171*$X$1</f>
        <v>16360.11</v>
      </c>
      <c r="H171" s="598"/>
      <c r="I171" s="293"/>
      <c r="J171" s="598">
        <f>F171+180</f>
        <v>16540.11</v>
      </c>
      <c r="K171" s="293">
        <f t="shared" ref="K171:K173" si="318">+J171*$X$1</f>
        <v>16540.11</v>
      </c>
      <c r="L171" s="598">
        <f t="shared" si="287"/>
        <v>16480.11</v>
      </c>
      <c r="M171" s="293">
        <f>+L171*$X$1</f>
        <v>16480.11</v>
      </c>
      <c r="N171" s="598">
        <f>F171+63</f>
        <v>16423.11</v>
      </c>
      <c r="O171" s="293">
        <f t="shared" si="288"/>
        <v>16423.11</v>
      </c>
      <c r="P171" s="598">
        <f t="shared" si="289"/>
        <v>16414.11</v>
      </c>
      <c r="Q171" s="293">
        <f>+P171*$X$1</f>
        <v>16414.11</v>
      </c>
      <c r="R171" s="598">
        <f>F171+45</f>
        <v>16405.11</v>
      </c>
      <c r="S171" s="293">
        <f t="shared" si="296"/>
        <v>16405.11</v>
      </c>
      <c r="T171" s="104">
        <f>F171+37</f>
        <v>16397.11</v>
      </c>
      <c r="U171" s="260">
        <f t="shared" si="297"/>
        <v>16397.11</v>
      </c>
      <c r="V171" s="72"/>
      <c r="W171" s="72"/>
      <c r="X171" s="874"/>
      <c r="Y171" s="899"/>
      <c r="Z171" s="899"/>
      <c r="AA171" s="900"/>
      <c r="AB171" s="197">
        <v>405</v>
      </c>
    </row>
    <row r="172" spans="1:28" ht="12.6" customHeight="1" x14ac:dyDescent="0.2">
      <c r="A172" s="20"/>
      <c r="B172" s="664" t="s">
        <v>633</v>
      </c>
      <c r="C172" s="665"/>
      <c r="D172" s="665"/>
      <c r="E172" s="665"/>
      <c r="F172" s="393">
        <f>15.6*X2</f>
        <v>16021.199999999999</v>
      </c>
      <c r="G172" s="313">
        <f t="shared" si="317"/>
        <v>16021.199999999999</v>
      </c>
      <c r="H172" s="493">
        <f>F172+400</f>
        <v>16421.199999999997</v>
      </c>
      <c r="I172" s="294">
        <f t="shared" ref="I172:I173" si="319">+H172*$X$1</f>
        <v>16421.199999999997</v>
      </c>
      <c r="J172" s="493">
        <f>F172+150</f>
        <v>16171.199999999999</v>
      </c>
      <c r="K172" s="294">
        <f t="shared" si="318"/>
        <v>16171.199999999999</v>
      </c>
      <c r="L172" s="493">
        <f t="shared" si="287"/>
        <v>16141.199999999999</v>
      </c>
      <c r="M172" s="294">
        <f t="shared" ref="M172:M173" si="320">+L172*$X$1</f>
        <v>16141.199999999999</v>
      </c>
      <c r="N172" s="493">
        <f>F172+60</f>
        <v>16081.199999999999</v>
      </c>
      <c r="O172" s="294">
        <f t="shared" si="288"/>
        <v>16081.199999999999</v>
      </c>
      <c r="P172" s="493">
        <f t="shared" si="289"/>
        <v>16075.199999999999</v>
      </c>
      <c r="Q172" s="294">
        <f t="shared" ref="Q172:Q173" si="321">+P172*$X$1</f>
        <v>16075.199999999999</v>
      </c>
      <c r="R172" s="493">
        <f>F172+47</f>
        <v>16068.199999999999</v>
      </c>
      <c r="S172" s="294">
        <f t="shared" si="296"/>
        <v>16068.199999999999</v>
      </c>
      <c r="T172" s="493">
        <f>F172+39</f>
        <v>16060.199999999999</v>
      </c>
      <c r="U172" s="294">
        <f t="shared" si="297"/>
        <v>16060.199999999999</v>
      </c>
      <c r="V172" s="493">
        <f>F172+34</f>
        <v>16055.199999999999</v>
      </c>
      <c r="W172" s="294">
        <f>+V172*$X$1</f>
        <v>16055.199999999999</v>
      </c>
      <c r="X172" s="640"/>
      <c r="Y172" s="880"/>
      <c r="Z172" s="880"/>
      <c r="AA172" s="641"/>
      <c r="AB172" s="197" t="s">
        <v>632</v>
      </c>
    </row>
    <row r="173" spans="1:28" ht="12.6" customHeight="1" x14ac:dyDescent="0.2">
      <c r="A173" s="20"/>
      <c r="B173" s="644" t="s">
        <v>631</v>
      </c>
      <c r="C173" s="645"/>
      <c r="D173" s="645"/>
      <c r="E173" s="645"/>
      <c r="F173" s="392">
        <f>16.54*X2</f>
        <v>16986.579999999998</v>
      </c>
      <c r="G173" s="260">
        <f t="shared" ref="G173" si="322">+F173*$X$1</f>
        <v>16986.579999999998</v>
      </c>
      <c r="H173" s="598">
        <f>F173+400</f>
        <v>17386.579999999998</v>
      </c>
      <c r="I173" s="293">
        <f t="shared" si="319"/>
        <v>17386.579999999998</v>
      </c>
      <c r="J173" s="598">
        <f>F173+150</f>
        <v>17136.579999999998</v>
      </c>
      <c r="K173" s="293">
        <f t="shared" si="318"/>
        <v>17136.579999999998</v>
      </c>
      <c r="L173" s="598">
        <f t="shared" si="287"/>
        <v>17106.579999999998</v>
      </c>
      <c r="M173" s="293">
        <f t="shared" si="320"/>
        <v>17106.579999999998</v>
      </c>
      <c r="N173" s="598">
        <f>F173+60</f>
        <v>17046.579999999998</v>
      </c>
      <c r="O173" s="293">
        <f t="shared" si="288"/>
        <v>17046.579999999998</v>
      </c>
      <c r="P173" s="598">
        <f t="shared" si="289"/>
        <v>17040.579999999998</v>
      </c>
      <c r="Q173" s="293">
        <f t="shared" si="321"/>
        <v>17040.579999999998</v>
      </c>
      <c r="R173" s="598">
        <f>F173+47</f>
        <v>17033.579999999998</v>
      </c>
      <c r="S173" s="293">
        <f t="shared" si="296"/>
        <v>17033.579999999998</v>
      </c>
      <c r="T173" s="598">
        <f>F173+39</f>
        <v>17025.579999999998</v>
      </c>
      <c r="U173" s="293">
        <f t="shared" si="297"/>
        <v>17025.579999999998</v>
      </c>
      <c r="V173" s="598">
        <f>F173+34</f>
        <v>17020.579999999998</v>
      </c>
      <c r="W173" s="293">
        <f>+V173*$X$1</f>
        <v>17020.579999999998</v>
      </c>
      <c r="X173" s="874"/>
      <c r="Y173" s="899"/>
      <c r="Z173" s="899"/>
      <c r="AA173" s="900"/>
      <c r="AB173" s="197" t="s">
        <v>630</v>
      </c>
    </row>
    <row r="174" spans="1:28" ht="12.6" customHeight="1" x14ac:dyDescent="0.2">
      <c r="A174" s="25"/>
      <c r="B174" s="694" t="s">
        <v>656</v>
      </c>
      <c r="C174" s="695"/>
      <c r="D174" s="695"/>
      <c r="E174" s="695"/>
      <c r="F174" s="328">
        <v>171</v>
      </c>
      <c r="G174" s="549"/>
      <c r="H174" s="380"/>
      <c r="I174" s="1203" t="s">
        <v>598</v>
      </c>
      <c r="J174" s="1195"/>
      <c r="K174" s="1195"/>
      <c r="L174" s="1195"/>
      <c r="M174" s="1196"/>
      <c r="N174" s="493">
        <f>F174+154</f>
        <v>325</v>
      </c>
      <c r="O174" s="294">
        <f t="shared" ref="O174" si="323">+N174*$X$1</f>
        <v>325</v>
      </c>
      <c r="P174" s="493">
        <f>F174+137</f>
        <v>308</v>
      </c>
      <c r="Q174" s="294">
        <f t="shared" ref="Q174" si="324">+P174*$X$1</f>
        <v>308</v>
      </c>
      <c r="R174" s="493">
        <f>F174+127</f>
        <v>298</v>
      </c>
      <c r="S174" s="294">
        <f t="shared" ref="S174" si="325">+R174*$X$1</f>
        <v>298</v>
      </c>
      <c r="T174" s="493">
        <f>F174+105</f>
        <v>276</v>
      </c>
      <c r="U174" s="294">
        <f t="shared" ref="U174" si="326">+T174*$X$1</f>
        <v>276</v>
      </c>
      <c r="V174" s="493">
        <f>F174+94</f>
        <v>265</v>
      </c>
      <c r="W174" s="294">
        <f t="shared" ref="W174" si="327">+V174*$X$1</f>
        <v>265</v>
      </c>
      <c r="X174" s="162"/>
      <c r="Y174" s="152"/>
      <c r="Z174" s="152"/>
      <c r="AA174" s="152"/>
      <c r="AB174" s="197">
        <v>415</v>
      </c>
    </row>
    <row r="175" spans="1:28" ht="12.6" customHeight="1" x14ac:dyDescent="0.2">
      <c r="A175" s="25"/>
      <c r="B175" s="644" t="s">
        <v>544</v>
      </c>
      <c r="C175" s="645"/>
      <c r="D175" s="645"/>
      <c r="E175" s="645"/>
      <c r="F175" s="314">
        <v>191</v>
      </c>
      <c r="G175" s="491"/>
      <c r="H175" s="381"/>
      <c r="I175" s="1204"/>
      <c r="J175" s="1204"/>
      <c r="K175" s="1204"/>
      <c r="L175" s="1204"/>
      <c r="M175" s="1205"/>
      <c r="N175" s="598">
        <f>F175+154</f>
        <v>345</v>
      </c>
      <c r="O175" s="293">
        <f t="shared" ref="O175:O177" si="328">+N175*$X$1</f>
        <v>345</v>
      </c>
      <c r="P175" s="598">
        <f>F175+137</f>
        <v>328</v>
      </c>
      <c r="Q175" s="293">
        <f t="shared" ref="Q175:Q177" si="329">+P175*$X$1</f>
        <v>328</v>
      </c>
      <c r="R175" s="598">
        <f>F175+127</f>
        <v>318</v>
      </c>
      <c r="S175" s="293">
        <f t="shared" ref="S175:S177" si="330">+R175*$X$1</f>
        <v>318</v>
      </c>
      <c r="T175" s="598">
        <f>F175+105</f>
        <v>296</v>
      </c>
      <c r="U175" s="293">
        <f t="shared" ref="U175:U177" si="331">+T175*$X$1</f>
        <v>296</v>
      </c>
      <c r="V175" s="598">
        <f>F175+94</f>
        <v>285</v>
      </c>
      <c r="W175" s="293">
        <f t="shared" ref="W175:W177" si="332">+V175*$X$1</f>
        <v>285</v>
      </c>
      <c r="X175" s="162"/>
      <c r="Y175" s="152"/>
      <c r="Z175" s="152"/>
      <c r="AA175" s="152"/>
      <c r="AB175" s="197">
        <v>416</v>
      </c>
    </row>
    <row r="176" spans="1:28" ht="12.6" customHeight="1" x14ac:dyDescent="0.2">
      <c r="A176" s="25"/>
      <c r="B176" s="642" t="s">
        <v>545</v>
      </c>
      <c r="C176" s="643"/>
      <c r="D176" s="643"/>
      <c r="E176" s="643"/>
      <c r="F176" s="328">
        <v>183</v>
      </c>
      <c r="G176" s="549"/>
      <c r="H176" s="381"/>
      <c r="I176" s="1204"/>
      <c r="J176" s="1204"/>
      <c r="K176" s="1204"/>
      <c r="L176" s="1204"/>
      <c r="M176" s="1205"/>
      <c r="N176" s="493">
        <f>F176+154</f>
        <v>337</v>
      </c>
      <c r="O176" s="294">
        <f t="shared" si="328"/>
        <v>337</v>
      </c>
      <c r="P176" s="493">
        <f>F176+137</f>
        <v>320</v>
      </c>
      <c r="Q176" s="294">
        <f t="shared" si="329"/>
        <v>320</v>
      </c>
      <c r="R176" s="493">
        <f>F176+127</f>
        <v>310</v>
      </c>
      <c r="S176" s="294">
        <f t="shared" si="330"/>
        <v>310</v>
      </c>
      <c r="T176" s="493">
        <f>F176+105</f>
        <v>288</v>
      </c>
      <c r="U176" s="294">
        <f t="shared" si="331"/>
        <v>288</v>
      </c>
      <c r="V176" s="493">
        <f>F176+94</f>
        <v>277</v>
      </c>
      <c r="W176" s="294">
        <f t="shared" si="332"/>
        <v>277</v>
      </c>
      <c r="X176" s="162"/>
      <c r="Y176" s="152"/>
      <c r="Z176" s="152"/>
      <c r="AA176" s="152"/>
      <c r="AB176" s="197">
        <v>417</v>
      </c>
    </row>
    <row r="177" spans="1:28" ht="12.6" customHeight="1" x14ac:dyDescent="0.2">
      <c r="A177" s="25"/>
      <c r="B177" s="644" t="s">
        <v>546</v>
      </c>
      <c r="C177" s="645"/>
      <c r="D177" s="645"/>
      <c r="E177" s="645"/>
      <c r="F177" s="314">
        <v>183</v>
      </c>
      <c r="G177" s="547"/>
      <c r="H177" s="382"/>
      <c r="I177" s="1199"/>
      <c r="J177" s="1199"/>
      <c r="K177" s="1199"/>
      <c r="L177" s="1199"/>
      <c r="M177" s="1200"/>
      <c r="N177" s="598">
        <f>F177+154</f>
        <v>337</v>
      </c>
      <c r="O177" s="293">
        <f t="shared" si="328"/>
        <v>337</v>
      </c>
      <c r="P177" s="598">
        <f>F177+137</f>
        <v>320</v>
      </c>
      <c r="Q177" s="293">
        <f t="shared" si="329"/>
        <v>320</v>
      </c>
      <c r="R177" s="598">
        <f>F177+127</f>
        <v>310</v>
      </c>
      <c r="S177" s="293">
        <f t="shared" si="330"/>
        <v>310</v>
      </c>
      <c r="T177" s="598">
        <f>F177+105</f>
        <v>288</v>
      </c>
      <c r="U177" s="293">
        <f t="shared" si="331"/>
        <v>288</v>
      </c>
      <c r="V177" s="598">
        <f>F177+94</f>
        <v>277</v>
      </c>
      <c r="W177" s="293">
        <f t="shared" si="332"/>
        <v>277</v>
      </c>
      <c r="X177" s="162"/>
      <c r="Y177" s="152"/>
      <c r="Z177" s="152"/>
      <c r="AA177" s="152"/>
      <c r="AB177" s="197">
        <v>418</v>
      </c>
    </row>
    <row r="178" spans="1:28" ht="12.6" customHeight="1" x14ac:dyDescent="0.2">
      <c r="A178" s="25"/>
      <c r="B178" s="642" t="s">
        <v>189</v>
      </c>
      <c r="C178" s="643"/>
      <c r="D178" s="643"/>
      <c r="E178" s="643"/>
      <c r="F178" s="396">
        <v>896</v>
      </c>
      <c r="G178" s="328">
        <f t="shared" ref="G178:G189" si="333">+F178*$X$1</f>
        <v>896</v>
      </c>
      <c r="H178" s="292"/>
      <c r="I178" s="361"/>
      <c r="J178" s="120"/>
      <c r="K178" s="548"/>
      <c r="L178" s="103">
        <f>F178+75</f>
        <v>971</v>
      </c>
      <c r="M178" s="313">
        <f t="shared" ref="M178:M179" si="334">+L178*$X$1</f>
        <v>971</v>
      </c>
      <c r="N178" s="103">
        <f>F178+55</f>
        <v>951</v>
      </c>
      <c r="O178" s="328">
        <f>+N178*$X$1</f>
        <v>951</v>
      </c>
      <c r="P178" s="103">
        <f>F178+49</f>
        <v>945</v>
      </c>
      <c r="Q178" s="328">
        <f>+P178*$X$1</f>
        <v>945</v>
      </c>
      <c r="R178" s="493">
        <f>F178+42</f>
        <v>938</v>
      </c>
      <c r="S178" s="294">
        <f>+R178*$X$1</f>
        <v>938</v>
      </c>
      <c r="T178" s="493">
        <f>F178+34</f>
        <v>930</v>
      </c>
      <c r="U178" s="294">
        <f>+T178*$X$1</f>
        <v>930</v>
      </c>
      <c r="V178" s="493">
        <f>F178+30</f>
        <v>926</v>
      </c>
      <c r="W178" s="294">
        <f>+V178*$X$1</f>
        <v>926</v>
      </c>
      <c r="X178" s="904"/>
      <c r="Y178" s="905"/>
      <c r="Z178" s="905"/>
      <c r="AA178" s="906"/>
      <c r="AB178" s="432">
        <v>421</v>
      </c>
    </row>
    <row r="179" spans="1:28" ht="12.6" customHeight="1" x14ac:dyDescent="0.2">
      <c r="A179" s="25"/>
      <c r="B179" s="637" t="s">
        <v>603</v>
      </c>
      <c r="C179" s="638"/>
      <c r="D179" s="638"/>
      <c r="E179" s="638"/>
      <c r="F179" s="397">
        <v>813</v>
      </c>
      <c r="G179" s="314">
        <f t="shared" si="333"/>
        <v>813</v>
      </c>
      <c r="H179" s="1034" t="s">
        <v>640</v>
      </c>
      <c r="I179" s="1035"/>
      <c r="J179" s="1035"/>
      <c r="K179" s="1036"/>
      <c r="L179" s="598">
        <f>F179+200</f>
        <v>1013</v>
      </c>
      <c r="M179" s="293">
        <f t="shared" si="334"/>
        <v>1013</v>
      </c>
      <c r="N179" s="598">
        <f>F179+110</f>
        <v>923</v>
      </c>
      <c r="O179" s="293">
        <f t="shared" ref="O179" si="335">+N179*$X$1</f>
        <v>923</v>
      </c>
      <c r="P179" s="598">
        <f>F179+80</f>
        <v>893</v>
      </c>
      <c r="Q179" s="293">
        <f t="shared" ref="Q179" si="336">+P179*$X$1</f>
        <v>893</v>
      </c>
      <c r="R179" s="598">
        <f>F179+70</f>
        <v>883</v>
      </c>
      <c r="S179" s="293">
        <f t="shared" ref="S179" si="337">+R179*$X$1</f>
        <v>883</v>
      </c>
      <c r="T179" s="104">
        <f>F179+63</f>
        <v>876</v>
      </c>
      <c r="U179" s="260">
        <f t="shared" ref="U179" si="338">+T179*$X$1</f>
        <v>876</v>
      </c>
      <c r="V179" s="598">
        <f>F179+57</f>
        <v>870</v>
      </c>
      <c r="W179" s="293">
        <f t="shared" ref="W179" si="339">+V179*$X$1</f>
        <v>870</v>
      </c>
      <c r="X179" s="904"/>
      <c r="Y179" s="905"/>
      <c r="Z179" s="905"/>
      <c r="AA179" s="906"/>
      <c r="AB179" s="432" t="s">
        <v>746</v>
      </c>
    </row>
    <row r="180" spans="1:28" ht="12.6" customHeight="1" x14ac:dyDescent="0.2">
      <c r="A180" s="25"/>
      <c r="B180" s="637" t="s">
        <v>600</v>
      </c>
      <c r="C180" s="638"/>
      <c r="D180" s="638"/>
      <c r="E180" s="638"/>
      <c r="F180" s="396">
        <v>813</v>
      </c>
      <c r="G180" s="328">
        <f t="shared" si="333"/>
        <v>813</v>
      </c>
      <c r="H180" s="1037"/>
      <c r="I180" s="1038"/>
      <c r="J180" s="1038"/>
      <c r="K180" s="1039"/>
      <c r="L180" s="493">
        <f>F180+200</f>
        <v>1013</v>
      </c>
      <c r="M180" s="294">
        <f t="shared" ref="M180:M182" si="340">+L180*$X$1</f>
        <v>1013</v>
      </c>
      <c r="N180" s="493">
        <f>F180+110</f>
        <v>923</v>
      </c>
      <c r="O180" s="294">
        <f t="shared" ref="O180:O182" si="341">+N180*$X$1</f>
        <v>923</v>
      </c>
      <c r="P180" s="493">
        <f>F180+80</f>
        <v>893</v>
      </c>
      <c r="Q180" s="294">
        <f t="shared" ref="Q180:Q182" si="342">+P180*$X$1</f>
        <v>893</v>
      </c>
      <c r="R180" s="493">
        <f>F180+70</f>
        <v>883</v>
      </c>
      <c r="S180" s="294">
        <f t="shared" ref="S180:S182" si="343">+R180*$X$1</f>
        <v>883</v>
      </c>
      <c r="T180" s="103">
        <f>F180+63</f>
        <v>876</v>
      </c>
      <c r="U180" s="313">
        <f t="shared" ref="U180:U182" si="344">+T180*$X$1</f>
        <v>876</v>
      </c>
      <c r="V180" s="493">
        <f>F180+57</f>
        <v>870</v>
      </c>
      <c r="W180" s="294">
        <f t="shared" ref="W180:W182" si="345">+V180*$X$1</f>
        <v>870</v>
      </c>
      <c r="X180" s="904"/>
      <c r="Y180" s="905"/>
      <c r="Z180" s="905"/>
      <c r="AA180" s="906"/>
      <c r="AB180" s="432" t="s">
        <v>741</v>
      </c>
    </row>
    <row r="181" spans="1:28" ht="12.6" customHeight="1" x14ac:dyDescent="0.2">
      <c r="A181" s="25"/>
      <c r="B181" s="637" t="s">
        <v>599</v>
      </c>
      <c r="C181" s="638"/>
      <c r="D181" s="638"/>
      <c r="E181" s="638"/>
      <c r="F181" s="397">
        <v>813</v>
      </c>
      <c r="G181" s="314">
        <f t="shared" si="333"/>
        <v>813</v>
      </c>
      <c r="H181" s="1037"/>
      <c r="I181" s="1038"/>
      <c r="J181" s="1038"/>
      <c r="K181" s="1039"/>
      <c r="L181" s="598">
        <f>F181+200</f>
        <v>1013</v>
      </c>
      <c r="M181" s="293">
        <f t="shared" si="340"/>
        <v>1013</v>
      </c>
      <c r="N181" s="598">
        <f>F181+110</f>
        <v>923</v>
      </c>
      <c r="O181" s="293">
        <f t="shared" si="341"/>
        <v>923</v>
      </c>
      <c r="P181" s="598">
        <f>F181+80</f>
        <v>893</v>
      </c>
      <c r="Q181" s="293">
        <f t="shared" si="342"/>
        <v>893</v>
      </c>
      <c r="R181" s="598">
        <f>F181+70</f>
        <v>883</v>
      </c>
      <c r="S181" s="293">
        <f t="shared" si="343"/>
        <v>883</v>
      </c>
      <c r="T181" s="104">
        <f>F181+63</f>
        <v>876</v>
      </c>
      <c r="U181" s="260">
        <f t="shared" si="344"/>
        <v>876</v>
      </c>
      <c r="V181" s="598">
        <f>F181+57</f>
        <v>870</v>
      </c>
      <c r="W181" s="293">
        <f t="shared" si="345"/>
        <v>870</v>
      </c>
      <c r="X181" s="904"/>
      <c r="Y181" s="905"/>
      <c r="Z181" s="905"/>
      <c r="AA181" s="906"/>
      <c r="AB181" s="432" t="s">
        <v>743</v>
      </c>
    </row>
    <row r="182" spans="1:28" ht="12.6" customHeight="1" x14ac:dyDescent="0.2">
      <c r="A182" s="25"/>
      <c r="B182" s="637" t="s">
        <v>602</v>
      </c>
      <c r="C182" s="638"/>
      <c r="D182" s="638"/>
      <c r="E182" s="638"/>
      <c r="F182" s="396">
        <v>813</v>
      </c>
      <c r="G182" s="328">
        <f t="shared" si="333"/>
        <v>813</v>
      </c>
      <c r="H182" s="1037"/>
      <c r="I182" s="1038"/>
      <c r="J182" s="1038"/>
      <c r="K182" s="1039"/>
      <c r="L182" s="493">
        <f>F182+200</f>
        <v>1013</v>
      </c>
      <c r="M182" s="294">
        <f t="shared" si="340"/>
        <v>1013</v>
      </c>
      <c r="N182" s="493">
        <f>F182+110</f>
        <v>923</v>
      </c>
      <c r="O182" s="294">
        <f t="shared" si="341"/>
        <v>923</v>
      </c>
      <c r="P182" s="493">
        <f>F182+80</f>
        <v>893</v>
      </c>
      <c r="Q182" s="294">
        <f t="shared" si="342"/>
        <v>893</v>
      </c>
      <c r="R182" s="493">
        <f>F182+70</f>
        <v>883</v>
      </c>
      <c r="S182" s="294">
        <f t="shared" si="343"/>
        <v>883</v>
      </c>
      <c r="T182" s="103">
        <f>F182+63</f>
        <v>876</v>
      </c>
      <c r="U182" s="313">
        <f t="shared" si="344"/>
        <v>876</v>
      </c>
      <c r="V182" s="493">
        <f>F182+57</f>
        <v>870</v>
      </c>
      <c r="W182" s="294">
        <f t="shared" si="345"/>
        <v>870</v>
      </c>
      <c r="X182" s="980"/>
      <c r="Y182" s="981"/>
      <c r="Z182" s="981"/>
      <c r="AA182" s="982"/>
      <c r="AB182" s="432" t="s">
        <v>742</v>
      </c>
    </row>
    <row r="183" spans="1:28" ht="12.6" customHeight="1" x14ac:dyDescent="0.2">
      <c r="A183" s="25"/>
      <c r="B183" s="637" t="s">
        <v>745</v>
      </c>
      <c r="C183" s="638"/>
      <c r="D183" s="638"/>
      <c r="E183" s="638"/>
      <c r="F183" s="397">
        <v>890</v>
      </c>
      <c r="G183" s="314">
        <f t="shared" ref="G183" si="346">+F183*$X$1</f>
        <v>890</v>
      </c>
      <c r="H183" s="1037"/>
      <c r="I183" s="1038"/>
      <c r="J183" s="1038"/>
      <c r="K183" s="1039"/>
      <c r="L183" s="598">
        <f>F183+200</f>
        <v>1090</v>
      </c>
      <c r="M183" s="293">
        <f t="shared" ref="M183" si="347">+L183*$X$1</f>
        <v>1090</v>
      </c>
      <c r="N183" s="598">
        <f>F183+110</f>
        <v>1000</v>
      </c>
      <c r="O183" s="293">
        <f t="shared" ref="O183" si="348">+N183*$X$1</f>
        <v>1000</v>
      </c>
      <c r="P183" s="598">
        <f>F183+80</f>
        <v>970</v>
      </c>
      <c r="Q183" s="293">
        <f t="shared" ref="Q183" si="349">+P183*$X$1</f>
        <v>970</v>
      </c>
      <c r="R183" s="598">
        <f>F183+70</f>
        <v>960</v>
      </c>
      <c r="S183" s="293">
        <f t="shared" ref="S183" si="350">+R183*$X$1</f>
        <v>960</v>
      </c>
      <c r="T183" s="104">
        <f>F183+63</f>
        <v>953</v>
      </c>
      <c r="U183" s="260">
        <f t="shared" ref="U183" si="351">+T183*$X$1</f>
        <v>953</v>
      </c>
      <c r="V183" s="598">
        <f>F183+57</f>
        <v>947</v>
      </c>
      <c r="W183" s="293">
        <f t="shared" ref="W183" si="352">+V183*$X$1</f>
        <v>947</v>
      </c>
      <c r="X183" s="904"/>
      <c r="Y183" s="905"/>
      <c r="Z183" s="905"/>
      <c r="AA183" s="906"/>
      <c r="AB183" s="432" t="s">
        <v>744</v>
      </c>
    </row>
    <row r="184" spans="1:28" ht="12.6" customHeight="1" x14ac:dyDescent="0.2">
      <c r="A184" s="25"/>
      <c r="B184" s="637" t="s">
        <v>601</v>
      </c>
      <c r="C184" s="638"/>
      <c r="D184" s="638"/>
      <c r="E184" s="638"/>
      <c r="F184" s="396">
        <v>906</v>
      </c>
      <c r="G184" s="328">
        <f t="shared" si="333"/>
        <v>906</v>
      </c>
      <c r="H184" s="1040"/>
      <c r="I184" s="1041"/>
      <c r="J184" s="1041"/>
      <c r="K184" s="1042"/>
      <c r="L184" s="493">
        <f>F184+230</f>
        <v>1136</v>
      </c>
      <c r="M184" s="294">
        <f t="shared" ref="M184" si="353">+L184*$X$1</f>
        <v>1136</v>
      </c>
      <c r="N184" s="493">
        <f>F184+130</f>
        <v>1036</v>
      </c>
      <c r="O184" s="294">
        <f t="shared" ref="O184" si="354">+N184*$X$1</f>
        <v>1036</v>
      </c>
      <c r="P184" s="493">
        <f>F184+100</f>
        <v>1006</v>
      </c>
      <c r="Q184" s="294">
        <f t="shared" ref="Q184" si="355">+P184*$X$1</f>
        <v>1006</v>
      </c>
      <c r="R184" s="493">
        <f>F184+90</f>
        <v>996</v>
      </c>
      <c r="S184" s="294">
        <f t="shared" ref="S184" si="356">+R184*$X$1</f>
        <v>996</v>
      </c>
      <c r="T184" s="103">
        <f>F184+83</f>
        <v>989</v>
      </c>
      <c r="U184" s="313">
        <f t="shared" ref="U184" si="357">+T184*$X$1</f>
        <v>989</v>
      </c>
      <c r="V184" s="493">
        <f>F184+77</f>
        <v>983</v>
      </c>
      <c r="W184" s="294">
        <f t="shared" ref="W184" si="358">+V184*$X$1</f>
        <v>983</v>
      </c>
      <c r="X184" s="904"/>
      <c r="Y184" s="905"/>
      <c r="Z184" s="905"/>
      <c r="AA184" s="906"/>
      <c r="AB184" s="432" t="s">
        <v>740</v>
      </c>
    </row>
    <row r="185" spans="1:28" ht="12.6" customHeight="1" x14ac:dyDescent="0.2">
      <c r="A185" s="105"/>
      <c r="B185" s="761" t="s">
        <v>400</v>
      </c>
      <c r="C185" s="762"/>
      <c r="D185" s="762"/>
      <c r="E185" s="762"/>
      <c r="F185" s="546">
        <f>0.9*X2</f>
        <v>924.30000000000007</v>
      </c>
      <c r="G185" s="474">
        <f t="shared" si="333"/>
        <v>924.30000000000007</v>
      </c>
      <c r="H185" s="407"/>
      <c r="I185" s="340"/>
      <c r="J185" s="407"/>
      <c r="K185" s="340"/>
      <c r="L185" s="598">
        <f>F185+120</f>
        <v>1044.3000000000002</v>
      </c>
      <c r="M185" s="293">
        <f>+L185*$X$1</f>
        <v>1044.3000000000002</v>
      </c>
      <c r="N185" s="598">
        <f>F185+63</f>
        <v>987.30000000000007</v>
      </c>
      <c r="O185" s="293">
        <f>+N185*$X$1</f>
        <v>987.30000000000007</v>
      </c>
      <c r="P185" s="598">
        <f>F185+54</f>
        <v>978.30000000000007</v>
      </c>
      <c r="Q185" s="293">
        <f>+P185*$X$1</f>
        <v>978.30000000000007</v>
      </c>
      <c r="R185" s="598">
        <f>F185+45</f>
        <v>969.30000000000007</v>
      </c>
      <c r="S185" s="293">
        <f>+R185*$X$1</f>
        <v>969.30000000000007</v>
      </c>
      <c r="T185" s="104">
        <f>F185+37</f>
        <v>961.30000000000007</v>
      </c>
      <c r="U185" s="260">
        <f>+T185*$X$1</f>
        <v>961.30000000000007</v>
      </c>
      <c r="V185" s="104">
        <f>F185+32</f>
        <v>956.30000000000007</v>
      </c>
      <c r="W185" s="260">
        <f>+V185*$X$1</f>
        <v>956.30000000000007</v>
      </c>
      <c r="X185" s="152"/>
      <c r="Y185" s="161"/>
      <c r="Z185" s="152"/>
      <c r="AA185" s="152"/>
      <c r="AB185" s="197">
        <v>425</v>
      </c>
    </row>
    <row r="186" spans="1:28" ht="12.6" customHeight="1" x14ac:dyDescent="0.2">
      <c r="A186" s="105"/>
      <c r="B186" s="637" t="s">
        <v>879</v>
      </c>
      <c r="C186" s="907"/>
      <c r="D186" s="907"/>
      <c r="E186" s="907"/>
      <c r="F186" s="294">
        <f>0.62*X2</f>
        <v>636.74</v>
      </c>
      <c r="G186" s="294">
        <f t="shared" ref="G186" si="359">+F186*$X$1</f>
        <v>636.74</v>
      </c>
      <c r="H186" s="101"/>
      <c r="I186" s="339"/>
      <c r="J186" s="101"/>
      <c r="K186" s="339"/>
      <c r="L186" s="493">
        <f>F186+120</f>
        <v>756.74</v>
      </c>
      <c r="M186" s="294">
        <f>+L186*$X$1</f>
        <v>756.74</v>
      </c>
      <c r="N186" s="493">
        <f>F186+63</f>
        <v>699.74</v>
      </c>
      <c r="O186" s="294">
        <f>+N186*$X$1</f>
        <v>699.74</v>
      </c>
      <c r="P186" s="493">
        <f>F186+54</f>
        <v>690.74</v>
      </c>
      <c r="Q186" s="294">
        <f>+P186*$X$1</f>
        <v>690.74</v>
      </c>
      <c r="R186" s="493">
        <f>F186+45</f>
        <v>681.74</v>
      </c>
      <c r="S186" s="294">
        <f>+R186*$X$1</f>
        <v>681.74</v>
      </c>
      <c r="T186" s="103">
        <f>F186+37</f>
        <v>673.74</v>
      </c>
      <c r="U186" s="313">
        <f>+T186*$X$1</f>
        <v>673.74</v>
      </c>
      <c r="V186" s="103">
        <f>F186+32</f>
        <v>668.74</v>
      </c>
      <c r="W186" s="313">
        <f>+V186*$X$1</f>
        <v>668.74</v>
      </c>
      <c r="X186" s="152"/>
      <c r="Y186" s="161"/>
      <c r="Z186" s="152"/>
      <c r="AA186" s="152"/>
      <c r="AB186" s="197">
        <v>426</v>
      </c>
    </row>
    <row r="187" spans="1:28" ht="12.6" customHeight="1" x14ac:dyDescent="0.2">
      <c r="A187" s="105"/>
      <c r="B187" s="644" t="s">
        <v>512</v>
      </c>
      <c r="C187" s="645"/>
      <c r="D187" s="645"/>
      <c r="E187" s="645"/>
      <c r="F187" s="392">
        <f>1.006*X2</f>
        <v>1033.162</v>
      </c>
      <c r="G187" s="293">
        <f t="shared" si="333"/>
        <v>1033.162</v>
      </c>
      <c r="H187" s="407"/>
      <c r="I187" s="340"/>
      <c r="J187" s="407"/>
      <c r="K187" s="340"/>
      <c r="L187" s="598">
        <f>F187+120</f>
        <v>1153.162</v>
      </c>
      <c r="M187" s="293">
        <f>+L187*$X$1</f>
        <v>1153.162</v>
      </c>
      <c r="N187" s="598">
        <f>F187+63</f>
        <v>1096.162</v>
      </c>
      <c r="O187" s="293">
        <f>+N187*$X$1</f>
        <v>1096.162</v>
      </c>
      <c r="P187" s="598">
        <f>F187+54</f>
        <v>1087.162</v>
      </c>
      <c r="Q187" s="293">
        <f>+P187*$X$1</f>
        <v>1087.162</v>
      </c>
      <c r="R187" s="598">
        <f>F187+45</f>
        <v>1078.162</v>
      </c>
      <c r="S187" s="293">
        <f>+R187*$X$1</f>
        <v>1078.162</v>
      </c>
      <c r="T187" s="104">
        <f>F187+37</f>
        <v>1070.162</v>
      </c>
      <c r="U187" s="260">
        <f>+T187*$X$1</f>
        <v>1070.162</v>
      </c>
      <c r="V187" s="104">
        <f>F187+32</f>
        <v>1065.162</v>
      </c>
      <c r="W187" s="260">
        <f>+V187*$X$1</f>
        <v>1065.162</v>
      </c>
      <c r="X187" s="152"/>
      <c r="Y187" s="161"/>
      <c r="Z187" s="152"/>
      <c r="AA187" s="152"/>
      <c r="AB187" s="197" t="s">
        <v>563</v>
      </c>
    </row>
    <row r="188" spans="1:28" ht="12.6" customHeight="1" x14ac:dyDescent="0.2">
      <c r="A188" s="105"/>
      <c r="B188" s="642" t="s">
        <v>502</v>
      </c>
      <c r="C188" s="643"/>
      <c r="D188" s="643"/>
      <c r="E188" s="643"/>
      <c r="F188" s="393">
        <f>0.74*X2</f>
        <v>759.98</v>
      </c>
      <c r="G188" s="294">
        <f t="shared" ref="G188" si="360">+F188*$X$1</f>
        <v>759.98</v>
      </c>
      <c r="H188" s="101"/>
      <c r="I188" s="339"/>
      <c r="J188" s="101"/>
      <c r="K188" s="339"/>
      <c r="L188" s="493">
        <f>F188+120</f>
        <v>879.98</v>
      </c>
      <c r="M188" s="294">
        <f>+L188*$X$1</f>
        <v>879.98</v>
      </c>
      <c r="N188" s="493">
        <f>F188+63</f>
        <v>822.98</v>
      </c>
      <c r="O188" s="294">
        <f>+N188*$X$1</f>
        <v>822.98</v>
      </c>
      <c r="P188" s="493">
        <f>F188+54</f>
        <v>813.98</v>
      </c>
      <c r="Q188" s="294">
        <f>+P188*$X$1</f>
        <v>813.98</v>
      </c>
      <c r="R188" s="493">
        <f>F188+45</f>
        <v>804.98</v>
      </c>
      <c r="S188" s="294">
        <f>+R188*$X$1</f>
        <v>804.98</v>
      </c>
      <c r="T188" s="103">
        <f>F188+37</f>
        <v>796.98</v>
      </c>
      <c r="U188" s="313">
        <f>+T188*$X$1</f>
        <v>796.98</v>
      </c>
      <c r="V188" s="103">
        <f>F188+32</f>
        <v>791.98</v>
      </c>
      <c r="W188" s="313">
        <f>+V188*$X$1</f>
        <v>791.98</v>
      </c>
      <c r="X188" s="152"/>
      <c r="Y188" s="161"/>
      <c r="Z188" s="152"/>
      <c r="AA188" s="152"/>
      <c r="AB188" s="197">
        <v>428</v>
      </c>
    </row>
    <row r="189" spans="1:28" ht="12.6" customHeight="1" x14ac:dyDescent="0.2">
      <c r="A189" s="18"/>
      <c r="B189" s="644" t="s">
        <v>190</v>
      </c>
      <c r="C189" s="645"/>
      <c r="D189" s="645"/>
      <c r="E189" s="645"/>
      <c r="F189" s="392">
        <f>1.527*X2</f>
        <v>1568.2289999999998</v>
      </c>
      <c r="G189" s="293">
        <f t="shared" si="333"/>
        <v>1568.2289999999998</v>
      </c>
      <c r="H189" s="407">
        <f>F189+420</f>
        <v>1988.2289999999998</v>
      </c>
      <c r="I189" s="293">
        <f>+H189*$X$1</f>
        <v>1988.2289999999998</v>
      </c>
      <c r="J189" s="598">
        <f>F189+180</f>
        <v>1748.2289999999998</v>
      </c>
      <c r="K189" s="293">
        <f t="shared" ref="K189" si="361">+J189*$X$1</f>
        <v>1748.2289999999998</v>
      </c>
      <c r="L189" s="598">
        <f>F189+120</f>
        <v>1688.2289999999998</v>
      </c>
      <c r="M189" s="293">
        <f>+L189*$X$1</f>
        <v>1688.2289999999998</v>
      </c>
      <c r="N189" s="598">
        <f>F189+63</f>
        <v>1631.2289999999998</v>
      </c>
      <c r="O189" s="293">
        <f>+N189*$X$1</f>
        <v>1631.2289999999998</v>
      </c>
      <c r="P189" s="598">
        <f>F189+54</f>
        <v>1622.2289999999998</v>
      </c>
      <c r="Q189" s="293">
        <f>+P189*$X$1</f>
        <v>1622.2289999999998</v>
      </c>
      <c r="R189" s="598">
        <f>F189+45</f>
        <v>1613.2289999999998</v>
      </c>
      <c r="S189" s="293">
        <f>+R189*$X$1</f>
        <v>1613.2289999999998</v>
      </c>
      <c r="T189" s="104">
        <f>F189+37</f>
        <v>1605.2289999999998</v>
      </c>
      <c r="U189" s="260">
        <f>+T189*$X$1</f>
        <v>1605.2289999999998</v>
      </c>
      <c r="V189" s="104">
        <f>F189+32</f>
        <v>1600.2289999999998</v>
      </c>
      <c r="W189" s="260">
        <f>+V189*$X$1</f>
        <v>1600.2289999999998</v>
      </c>
      <c r="X189" s="152"/>
      <c r="Y189" s="161"/>
      <c r="Z189" s="152"/>
      <c r="AA189" s="152"/>
      <c r="AB189" s="197">
        <v>442</v>
      </c>
    </row>
    <row r="190" spans="1:28" ht="12.6" customHeight="1" x14ac:dyDescent="0.2">
      <c r="A190" s="18"/>
      <c r="B190" s="694" t="s">
        <v>191</v>
      </c>
      <c r="C190" s="695"/>
      <c r="D190" s="695"/>
      <c r="E190" s="695"/>
      <c r="F190" s="385"/>
      <c r="G190" s="1016" t="s">
        <v>868</v>
      </c>
      <c r="H190" s="1017"/>
      <c r="I190" s="1017"/>
      <c r="J190" s="1017"/>
      <c r="K190" s="1017"/>
      <c r="L190" s="1017"/>
      <c r="M190" s="1017"/>
      <c r="N190" s="1017"/>
      <c r="O190" s="1017"/>
      <c r="P190" s="1018"/>
      <c r="Q190" s="1018"/>
      <c r="R190" s="1018"/>
      <c r="S190" s="1019"/>
      <c r="T190" s="72"/>
      <c r="U190" s="294"/>
      <c r="V190" s="103"/>
      <c r="W190" s="313"/>
      <c r="X190" s="162"/>
      <c r="Y190" s="161"/>
      <c r="Z190" s="152"/>
      <c r="AA190" s="152"/>
      <c r="AB190" s="197">
        <v>450</v>
      </c>
    </row>
    <row r="191" spans="1:28" ht="12.6" customHeight="1" x14ac:dyDescent="0.2">
      <c r="A191" s="18"/>
      <c r="B191" s="644" t="s">
        <v>192</v>
      </c>
      <c r="C191" s="645"/>
      <c r="D191" s="645"/>
      <c r="E191" s="645"/>
      <c r="F191" s="128"/>
      <c r="G191" s="1020"/>
      <c r="H191" s="1021"/>
      <c r="I191" s="1021"/>
      <c r="J191" s="1021"/>
      <c r="K191" s="1021"/>
      <c r="L191" s="1021"/>
      <c r="M191" s="1021"/>
      <c r="N191" s="1021"/>
      <c r="O191" s="1021"/>
      <c r="P191" s="1022"/>
      <c r="Q191" s="1023"/>
      <c r="R191" s="1022"/>
      <c r="S191" s="1024"/>
      <c r="T191" s="72"/>
      <c r="U191" s="293"/>
      <c r="V191" s="104"/>
      <c r="W191" s="260"/>
      <c r="X191" s="162"/>
      <c r="Y191" s="161"/>
      <c r="Z191" s="152"/>
      <c r="AA191" s="152"/>
      <c r="AB191" s="197">
        <v>451</v>
      </c>
    </row>
    <row r="192" spans="1:28" ht="12.6" customHeight="1" x14ac:dyDescent="0.2">
      <c r="A192" s="18"/>
      <c r="B192" s="642" t="s">
        <v>193</v>
      </c>
      <c r="C192" s="643"/>
      <c r="D192" s="643"/>
      <c r="E192" s="643"/>
      <c r="F192" s="92"/>
      <c r="G192" s="1020"/>
      <c r="H192" s="1021"/>
      <c r="I192" s="1021"/>
      <c r="J192" s="1021"/>
      <c r="K192" s="1021"/>
      <c r="L192" s="1021"/>
      <c r="M192" s="1021"/>
      <c r="N192" s="1021"/>
      <c r="O192" s="1021"/>
      <c r="P192" s="1022"/>
      <c r="Q192" s="1023"/>
      <c r="R192" s="1022"/>
      <c r="S192" s="1024"/>
      <c r="T192" s="72"/>
      <c r="U192" s="294"/>
      <c r="V192" s="103"/>
      <c r="W192" s="313"/>
      <c r="X192" s="162"/>
      <c r="Y192" s="161"/>
      <c r="Z192" s="152"/>
      <c r="AA192" s="152"/>
      <c r="AB192" s="197">
        <v>452</v>
      </c>
    </row>
    <row r="193" spans="1:28" ht="12.6" customHeight="1" x14ac:dyDescent="0.2">
      <c r="A193" s="18"/>
      <c r="B193" s="644" t="s">
        <v>194</v>
      </c>
      <c r="C193" s="645"/>
      <c r="D193" s="645"/>
      <c r="E193" s="645"/>
      <c r="F193" s="128"/>
      <c r="G193" s="1020"/>
      <c r="H193" s="1021"/>
      <c r="I193" s="1021"/>
      <c r="J193" s="1021"/>
      <c r="K193" s="1021"/>
      <c r="L193" s="1021"/>
      <c r="M193" s="1021"/>
      <c r="N193" s="1021"/>
      <c r="O193" s="1021"/>
      <c r="P193" s="1022"/>
      <c r="Q193" s="1023"/>
      <c r="R193" s="1022"/>
      <c r="S193" s="1024"/>
      <c r="T193" s="72"/>
      <c r="U193" s="293"/>
      <c r="V193" s="104"/>
      <c r="W193" s="260"/>
      <c r="X193" s="162"/>
      <c r="Y193" s="161"/>
      <c r="Z193" s="152"/>
      <c r="AA193" s="152"/>
      <c r="AB193" s="197">
        <v>453</v>
      </c>
    </row>
    <row r="194" spans="1:28" ht="12.6" customHeight="1" x14ac:dyDescent="0.2">
      <c r="A194" s="18"/>
      <c r="B194" s="642" t="s">
        <v>195</v>
      </c>
      <c r="C194" s="643"/>
      <c r="D194" s="643"/>
      <c r="E194" s="643"/>
      <c r="F194" s="92"/>
      <c r="G194" s="1020"/>
      <c r="H194" s="1021"/>
      <c r="I194" s="1021"/>
      <c r="J194" s="1021"/>
      <c r="K194" s="1021"/>
      <c r="L194" s="1021"/>
      <c r="M194" s="1021"/>
      <c r="N194" s="1021"/>
      <c r="O194" s="1021"/>
      <c r="P194" s="1022"/>
      <c r="Q194" s="1023"/>
      <c r="R194" s="1022"/>
      <c r="S194" s="1024"/>
      <c r="T194" s="72"/>
      <c r="U194" s="294"/>
      <c r="V194" s="103"/>
      <c r="W194" s="313"/>
      <c r="X194" s="162"/>
      <c r="Y194" s="161"/>
      <c r="Z194" s="152"/>
      <c r="AA194" s="152"/>
      <c r="AB194" s="197">
        <v>454</v>
      </c>
    </row>
    <row r="195" spans="1:28" ht="12.6" customHeight="1" x14ac:dyDescent="0.2">
      <c r="A195" s="18"/>
      <c r="B195" s="644" t="s">
        <v>196</v>
      </c>
      <c r="C195" s="645"/>
      <c r="D195" s="645"/>
      <c r="E195" s="645"/>
      <c r="F195" s="384"/>
      <c r="G195" s="1025"/>
      <c r="H195" s="1026"/>
      <c r="I195" s="1026"/>
      <c r="J195" s="1026"/>
      <c r="K195" s="1026"/>
      <c r="L195" s="1026"/>
      <c r="M195" s="1026"/>
      <c r="N195" s="1026"/>
      <c r="O195" s="1026"/>
      <c r="P195" s="1027"/>
      <c r="Q195" s="1027"/>
      <c r="R195" s="1027"/>
      <c r="S195" s="1028"/>
      <c r="T195" s="72"/>
      <c r="U195" s="293"/>
      <c r="V195" s="104"/>
      <c r="W195" s="260"/>
      <c r="X195" s="162"/>
      <c r="Y195" s="161"/>
      <c r="Z195" s="152"/>
      <c r="AA195" s="152"/>
      <c r="AB195" s="197">
        <v>460</v>
      </c>
    </row>
    <row r="196" spans="1:28" ht="12.6" customHeight="1" x14ac:dyDescent="0.2">
      <c r="A196" s="18"/>
      <c r="B196" s="642" t="s">
        <v>378</v>
      </c>
      <c r="C196" s="689"/>
      <c r="D196" s="689"/>
      <c r="E196" s="689"/>
      <c r="F196" s="393">
        <f>1.974*X2</f>
        <v>2027.298</v>
      </c>
      <c r="G196" s="551">
        <f t="shared" ref="G196:G198" si="362">+F196*$X$1</f>
        <v>2027.298</v>
      </c>
      <c r="H196" s="493"/>
      <c r="I196" s="294"/>
      <c r="J196" s="493">
        <f t="shared" ref="J196:J201" si="363">F196+180</f>
        <v>2207.2979999999998</v>
      </c>
      <c r="K196" s="294">
        <f t="shared" ref="K196:K199" si="364">+J196*$X$1</f>
        <v>2207.2979999999998</v>
      </c>
      <c r="L196" s="493">
        <f t="shared" ref="L196:L201" si="365">F196+120</f>
        <v>2147.2979999999998</v>
      </c>
      <c r="M196" s="294">
        <f t="shared" ref="M196:M201" si="366">+L196*$X$1</f>
        <v>2147.2979999999998</v>
      </c>
      <c r="N196" s="493">
        <f t="shared" ref="N196:N202" si="367">F196+63</f>
        <v>2090.2979999999998</v>
      </c>
      <c r="O196" s="294">
        <f t="shared" ref="O196:O202" si="368">+N196*$X$1</f>
        <v>2090.2979999999998</v>
      </c>
      <c r="P196" s="493">
        <f t="shared" ref="P196:P202" si="369">F196+54</f>
        <v>2081.2979999999998</v>
      </c>
      <c r="Q196" s="294">
        <f t="shared" ref="Q196:Q202" si="370">+P196*$X$1</f>
        <v>2081.2979999999998</v>
      </c>
      <c r="R196" s="493">
        <f t="shared" ref="R196:R202" si="371">F196+45</f>
        <v>2072.2979999999998</v>
      </c>
      <c r="S196" s="294">
        <f t="shared" ref="S196:S202" si="372">+R196*$X$1</f>
        <v>2072.2979999999998</v>
      </c>
      <c r="T196" s="103">
        <f t="shared" ref="T196:T205" si="373">F196+37</f>
        <v>2064.2979999999998</v>
      </c>
      <c r="U196" s="313">
        <f t="shared" ref="U196:U205" si="374">+T196*$X$1</f>
        <v>2064.2979999999998</v>
      </c>
      <c r="V196" s="103">
        <f t="shared" ref="V196:V205" si="375">F196+32</f>
        <v>2059.2979999999998</v>
      </c>
      <c r="W196" s="313">
        <f t="shared" ref="W196:W205" si="376">+V196*$X$1</f>
        <v>2059.2979999999998</v>
      </c>
      <c r="X196" s="152"/>
      <c r="Y196" s="161"/>
      <c r="Z196" s="152"/>
      <c r="AA196" s="152"/>
      <c r="AB196" s="197">
        <v>465</v>
      </c>
    </row>
    <row r="197" spans="1:28" ht="12.6" customHeight="1" x14ac:dyDescent="0.2">
      <c r="A197" s="18"/>
      <c r="B197" s="637" t="s">
        <v>837</v>
      </c>
      <c r="C197" s="1033"/>
      <c r="D197" s="1033"/>
      <c r="E197" s="1033"/>
      <c r="F197" s="392">
        <f>1.46*X2</f>
        <v>1499.42</v>
      </c>
      <c r="G197" s="349">
        <f t="shared" ref="G197" si="377">+F197*$X$1</f>
        <v>1499.42</v>
      </c>
      <c r="H197" s="598"/>
      <c r="I197" s="293"/>
      <c r="J197" s="598">
        <f t="shared" si="363"/>
        <v>1679.42</v>
      </c>
      <c r="K197" s="293">
        <f t="shared" si="364"/>
        <v>1679.42</v>
      </c>
      <c r="L197" s="598">
        <f t="shared" si="365"/>
        <v>1619.42</v>
      </c>
      <c r="M197" s="293">
        <f t="shared" si="366"/>
        <v>1619.42</v>
      </c>
      <c r="N197" s="598">
        <f t="shared" si="367"/>
        <v>1562.42</v>
      </c>
      <c r="O197" s="293">
        <f t="shared" si="368"/>
        <v>1562.42</v>
      </c>
      <c r="P197" s="598">
        <f t="shared" si="369"/>
        <v>1553.42</v>
      </c>
      <c r="Q197" s="293">
        <f t="shared" si="370"/>
        <v>1553.42</v>
      </c>
      <c r="R197" s="598">
        <f t="shared" si="371"/>
        <v>1544.42</v>
      </c>
      <c r="S197" s="293">
        <f t="shared" si="372"/>
        <v>1544.42</v>
      </c>
      <c r="T197" s="104">
        <f t="shared" si="373"/>
        <v>1536.42</v>
      </c>
      <c r="U197" s="260">
        <f t="shared" si="374"/>
        <v>1536.42</v>
      </c>
      <c r="V197" s="104">
        <f t="shared" si="375"/>
        <v>1531.42</v>
      </c>
      <c r="W197" s="260">
        <f t="shared" si="376"/>
        <v>1531.42</v>
      </c>
      <c r="X197" s="152"/>
      <c r="Y197" s="161"/>
      <c r="Z197" s="152"/>
      <c r="AA197" s="152"/>
      <c r="AB197" s="197">
        <v>466</v>
      </c>
    </row>
    <row r="198" spans="1:28" ht="12.6" customHeight="1" x14ac:dyDescent="0.2">
      <c r="A198" s="18"/>
      <c r="B198" s="694" t="s">
        <v>647</v>
      </c>
      <c r="C198" s="831"/>
      <c r="D198" s="831"/>
      <c r="E198" s="831"/>
      <c r="F198" s="396">
        <f>1.08*X2</f>
        <v>1109.1600000000001</v>
      </c>
      <c r="G198" s="350">
        <f t="shared" si="362"/>
        <v>1109.1600000000001</v>
      </c>
      <c r="H198" s="493"/>
      <c r="I198" s="294"/>
      <c r="J198" s="493">
        <f t="shared" si="363"/>
        <v>1289.1600000000001</v>
      </c>
      <c r="K198" s="294">
        <f t="shared" si="364"/>
        <v>1289.1600000000001</v>
      </c>
      <c r="L198" s="493">
        <f t="shared" si="365"/>
        <v>1229.1600000000001</v>
      </c>
      <c r="M198" s="294">
        <f t="shared" si="366"/>
        <v>1229.1600000000001</v>
      </c>
      <c r="N198" s="493">
        <f t="shared" si="367"/>
        <v>1172.1600000000001</v>
      </c>
      <c r="O198" s="294">
        <f t="shared" si="368"/>
        <v>1172.1600000000001</v>
      </c>
      <c r="P198" s="493">
        <f t="shared" si="369"/>
        <v>1163.1600000000001</v>
      </c>
      <c r="Q198" s="294">
        <f t="shared" si="370"/>
        <v>1163.1600000000001</v>
      </c>
      <c r="R198" s="493">
        <f t="shared" si="371"/>
        <v>1154.1600000000001</v>
      </c>
      <c r="S198" s="294">
        <f t="shared" si="372"/>
        <v>1154.1600000000001</v>
      </c>
      <c r="T198" s="103">
        <f t="shared" si="373"/>
        <v>1146.1600000000001</v>
      </c>
      <c r="U198" s="313">
        <f t="shared" si="374"/>
        <v>1146.1600000000001</v>
      </c>
      <c r="V198" s="103">
        <f t="shared" si="375"/>
        <v>1141.1600000000001</v>
      </c>
      <c r="W198" s="313">
        <f t="shared" si="376"/>
        <v>1141.1600000000001</v>
      </c>
      <c r="X198" s="152"/>
      <c r="Y198" s="152"/>
      <c r="Z198" s="152"/>
      <c r="AA198" s="152"/>
      <c r="AB198" s="197">
        <v>528</v>
      </c>
    </row>
    <row r="199" spans="1:28" ht="12.6" customHeight="1" x14ac:dyDescent="0.2">
      <c r="A199" s="18"/>
      <c r="B199" s="649" t="s">
        <v>379</v>
      </c>
      <c r="C199" s="674"/>
      <c r="D199" s="674"/>
      <c r="E199" s="675"/>
      <c r="F199" s="314">
        <v>3705</v>
      </c>
      <c r="G199" s="321">
        <f t="shared" ref="G199:G203" si="378">+F199*$X$1</f>
        <v>3705</v>
      </c>
      <c r="H199" s="598"/>
      <c r="I199" s="293"/>
      <c r="J199" s="598">
        <f t="shared" si="363"/>
        <v>3885</v>
      </c>
      <c r="K199" s="293">
        <f t="shared" si="364"/>
        <v>3885</v>
      </c>
      <c r="L199" s="598">
        <f t="shared" si="365"/>
        <v>3825</v>
      </c>
      <c r="M199" s="293">
        <f t="shared" si="366"/>
        <v>3825</v>
      </c>
      <c r="N199" s="598">
        <f t="shared" si="367"/>
        <v>3768</v>
      </c>
      <c r="O199" s="293">
        <f t="shared" si="368"/>
        <v>3768</v>
      </c>
      <c r="P199" s="598">
        <f t="shared" si="369"/>
        <v>3759</v>
      </c>
      <c r="Q199" s="293">
        <f t="shared" si="370"/>
        <v>3759</v>
      </c>
      <c r="R199" s="598">
        <f t="shared" si="371"/>
        <v>3750</v>
      </c>
      <c r="S199" s="293">
        <f t="shared" si="372"/>
        <v>3750</v>
      </c>
      <c r="T199" s="104">
        <f t="shared" si="373"/>
        <v>3742</v>
      </c>
      <c r="U199" s="260">
        <f t="shared" si="374"/>
        <v>3742</v>
      </c>
      <c r="V199" s="104">
        <f t="shared" si="375"/>
        <v>3737</v>
      </c>
      <c r="W199" s="260">
        <f t="shared" si="376"/>
        <v>3737</v>
      </c>
      <c r="X199" s="152"/>
      <c r="Y199" s="152"/>
      <c r="Z199" s="152"/>
      <c r="AA199" s="152"/>
      <c r="AB199" s="197"/>
    </row>
    <row r="200" spans="1:28" ht="12.6" customHeight="1" x14ac:dyDescent="0.2">
      <c r="A200" s="18"/>
      <c r="B200" s="642" t="s">
        <v>833</v>
      </c>
      <c r="C200" s="689"/>
      <c r="D200" s="689"/>
      <c r="E200" s="689"/>
      <c r="F200" s="393">
        <f>1.1*X2</f>
        <v>1129.7</v>
      </c>
      <c r="G200" s="551">
        <f t="shared" si="378"/>
        <v>1129.7</v>
      </c>
      <c r="H200" s="493">
        <f>F200+420</f>
        <v>1549.7</v>
      </c>
      <c r="I200" s="294">
        <f>+H200*$X$1</f>
        <v>1549.7</v>
      </c>
      <c r="J200" s="493">
        <f t="shared" si="363"/>
        <v>1309.7</v>
      </c>
      <c r="K200" s="294">
        <f t="shared" ref="K200:K201" si="379">+J200*$X$1</f>
        <v>1309.7</v>
      </c>
      <c r="L200" s="493">
        <f t="shared" si="365"/>
        <v>1249.7</v>
      </c>
      <c r="M200" s="294">
        <f t="shared" si="366"/>
        <v>1249.7</v>
      </c>
      <c r="N200" s="493">
        <f t="shared" si="367"/>
        <v>1192.7</v>
      </c>
      <c r="O200" s="294">
        <f t="shared" si="368"/>
        <v>1192.7</v>
      </c>
      <c r="P200" s="493">
        <f t="shared" si="369"/>
        <v>1183.7</v>
      </c>
      <c r="Q200" s="294">
        <f t="shared" si="370"/>
        <v>1183.7</v>
      </c>
      <c r="R200" s="493">
        <f t="shared" si="371"/>
        <v>1174.7</v>
      </c>
      <c r="S200" s="294">
        <f t="shared" si="372"/>
        <v>1174.7</v>
      </c>
      <c r="T200" s="103">
        <f t="shared" si="373"/>
        <v>1166.7</v>
      </c>
      <c r="U200" s="313">
        <f t="shared" si="374"/>
        <v>1166.7</v>
      </c>
      <c r="V200" s="103">
        <f t="shared" si="375"/>
        <v>1161.7</v>
      </c>
      <c r="W200" s="313">
        <f t="shared" si="376"/>
        <v>1161.7</v>
      </c>
      <c r="X200" s="152"/>
      <c r="Y200" s="161"/>
      <c r="Z200" s="152"/>
      <c r="AA200" s="152"/>
      <c r="AB200" s="197">
        <v>534</v>
      </c>
    </row>
    <row r="201" spans="1:28" ht="12.6" customHeight="1" x14ac:dyDescent="0.2">
      <c r="A201" s="18"/>
      <c r="B201" s="649" t="s">
        <v>380</v>
      </c>
      <c r="C201" s="650"/>
      <c r="D201" s="650"/>
      <c r="E201" s="651"/>
      <c r="F201" s="314">
        <v>1132</v>
      </c>
      <c r="G201" s="321">
        <f t="shared" si="378"/>
        <v>1132</v>
      </c>
      <c r="H201" s="286"/>
      <c r="I201" s="286"/>
      <c r="J201" s="598">
        <f t="shared" si="363"/>
        <v>1312</v>
      </c>
      <c r="K201" s="293">
        <f t="shared" si="379"/>
        <v>1312</v>
      </c>
      <c r="L201" s="598">
        <f t="shared" si="365"/>
        <v>1252</v>
      </c>
      <c r="M201" s="293">
        <f t="shared" si="366"/>
        <v>1252</v>
      </c>
      <c r="N201" s="598">
        <f t="shared" si="367"/>
        <v>1195</v>
      </c>
      <c r="O201" s="293">
        <f t="shared" si="368"/>
        <v>1195</v>
      </c>
      <c r="P201" s="598">
        <f t="shared" si="369"/>
        <v>1186</v>
      </c>
      <c r="Q201" s="293">
        <f t="shared" si="370"/>
        <v>1186</v>
      </c>
      <c r="R201" s="598">
        <f t="shared" si="371"/>
        <v>1177</v>
      </c>
      <c r="S201" s="293">
        <f t="shared" si="372"/>
        <v>1177</v>
      </c>
      <c r="T201" s="104">
        <f t="shared" si="373"/>
        <v>1169</v>
      </c>
      <c r="U201" s="260">
        <f t="shared" si="374"/>
        <v>1169</v>
      </c>
      <c r="V201" s="104">
        <f t="shared" si="375"/>
        <v>1164</v>
      </c>
      <c r="W201" s="260">
        <f t="shared" si="376"/>
        <v>1164</v>
      </c>
      <c r="X201" s="152"/>
      <c r="Y201" s="152"/>
      <c r="Z201" s="152"/>
      <c r="AA201" s="152"/>
      <c r="AB201" s="197"/>
    </row>
    <row r="202" spans="1:28" ht="12.6" customHeight="1" x14ac:dyDescent="0.2">
      <c r="A202" s="18"/>
      <c r="B202" s="694" t="s">
        <v>197</v>
      </c>
      <c r="C202" s="695"/>
      <c r="D202" s="695"/>
      <c r="E202" s="695"/>
      <c r="F202" s="328">
        <v>210</v>
      </c>
      <c r="G202" s="363">
        <f>+F202*$X$1</f>
        <v>210</v>
      </c>
      <c r="H202" s="1029" t="s">
        <v>371</v>
      </c>
      <c r="I202" s="1029"/>
      <c r="J202" s="1030"/>
      <c r="K202" s="1030"/>
      <c r="L202" s="1030"/>
      <c r="M202" s="1031"/>
      <c r="N202" s="493">
        <f t="shared" si="367"/>
        <v>273</v>
      </c>
      <c r="O202" s="294">
        <f t="shared" si="368"/>
        <v>273</v>
      </c>
      <c r="P202" s="493">
        <f t="shared" si="369"/>
        <v>264</v>
      </c>
      <c r="Q202" s="294">
        <f t="shared" si="370"/>
        <v>264</v>
      </c>
      <c r="R202" s="493">
        <f t="shared" si="371"/>
        <v>255</v>
      </c>
      <c r="S202" s="294">
        <f t="shared" si="372"/>
        <v>255</v>
      </c>
      <c r="T202" s="103">
        <f t="shared" si="373"/>
        <v>247</v>
      </c>
      <c r="U202" s="313">
        <f t="shared" si="374"/>
        <v>247</v>
      </c>
      <c r="V202" s="103">
        <f t="shared" si="375"/>
        <v>242</v>
      </c>
      <c r="W202" s="313">
        <f t="shared" si="376"/>
        <v>242</v>
      </c>
      <c r="X202" s="152"/>
      <c r="Y202" s="152"/>
      <c r="Z202" s="152"/>
      <c r="AA202" s="152"/>
      <c r="AB202" s="197">
        <v>539</v>
      </c>
    </row>
    <row r="203" spans="1:28" ht="12.6" customHeight="1" x14ac:dyDescent="0.2">
      <c r="A203" s="18"/>
      <c r="B203" s="692" t="s">
        <v>495</v>
      </c>
      <c r="C203" s="693"/>
      <c r="D203" s="693"/>
      <c r="E203" s="693"/>
      <c r="F203" s="314">
        <v>451</v>
      </c>
      <c r="G203" s="315">
        <f t="shared" si="378"/>
        <v>451</v>
      </c>
      <c r="H203" s="286"/>
      <c r="I203" s="286"/>
      <c r="J203" s="72"/>
      <c r="K203" s="293"/>
      <c r="L203" s="598"/>
      <c r="M203" s="293"/>
      <c r="N203" s="598"/>
      <c r="O203" s="293"/>
      <c r="P203" s="598"/>
      <c r="Q203" s="293"/>
      <c r="R203" s="598"/>
      <c r="S203" s="293"/>
      <c r="T203" s="104">
        <f t="shared" si="373"/>
        <v>488</v>
      </c>
      <c r="U203" s="260">
        <f t="shared" si="374"/>
        <v>488</v>
      </c>
      <c r="V203" s="104">
        <f t="shared" si="375"/>
        <v>483</v>
      </c>
      <c r="W203" s="260">
        <f t="shared" si="376"/>
        <v>483</v>
      </c>
      <c r="X203" s="152"/>
      <c r="Y203" s="152"/>
      <c r="Z203" s="152"/>
      <c r="AA203" s="152"/>
      <c r="AB203" s="197">
        <v>540</v>
      </c>
    </row>
    <row r="204" spans="1:28" ht="12.6" customHeight="1" x14ac:dyDescent="0.2">
      <c r="A204" s="18"/>
      <c r="B204" s="694" t="s">
        <v>497</v>
      </c>
      <c r="C204" s="831"/>
      <c r="D204" s="831"/>
      <c r="E204" s="831"/>
      <c r="F204" s="328">
        <v>780</v>
      </c>
      <c r="G204" s="350">
        <f t="shared" ref="G204" si="380">+F204*$X$1</f>
        <v>780</v>
      </c>
      <c r="H204" s="285"/>
      <c r="I204" s="285"/>
      <c r="J204" s="90"/>
      <c r="K204" s="294"/>
      <c r="L204" s="493"/>
      <c r="M204" s="294"/>
      <c r="N204" s="493"/>
      <c r="O204" s="294"/>
      <c r="P204" s="493"/>
      <c r="Q204" s="294"/>
      <c r="R204" s="493"/>
      <c r="S204" s="294"/>
      <c r="T204" s="103">
        <f t="shared" si="373"/>
        <v>817</v>
      </c>
      <c r="U204" s="313">
        <f t="shared" si="374"/>
        <v>817</v>
      </c>
      <c r="V204" s="103">
        <f t="shared" si="375"/>
        <v>812</v>
      </c>
      <c r="W204" s="313">
        <f t="shared" si="376"/>
        <v>812</v>
      </c>
      <c r="X204" s="152"/>
      <c r="Y204" s="152"/>
      <c r="Z204" s="152"/>
      <c r="AA204" s="152"/>
      <c r="AB204" s="197" t="s">
        <v>580</v>
      </c>
    </row>
    <row r="205" spans="1:28" ht="12.6" customHeight="1" x14ac:dyDescent="0.2">
      <c r="A205" s="18"/>
      <c r="B205" s="649" t="s">
        <v>448</v>
      </c>
      <c r="C205" s="650"/>
      <c r="D205" s="650"/>
      <c r="E205" s="651"/>
      <c r="F205" s="397">
        <f>18.74*X2</f>
        <v>19245.98</v>
      </c>
      <c r="G205" s="315">
        <f t="shared" ref="G205" si="381">+F205*$X$1</f>
        <v>19245.98</v>
      </c>
      <c r="H205" s="598">
        <f>F205+420</f>
        <v>19665.98</v>
      </c>
      <c r="I205" s="293">
        <f>+H205*$X$1</f>
        <v>19665.98</v>
      </c>
      <c r="J205" s="598">
        <f>F205+180</f>
        <v>19425.98</v>
      </c>
      <c r="K205" s="293">
        <f t="shared" ref="K205" si="382">+J205*$X$1</f>
        <v>19425.98</v>
      </c>
      <c r="L205" s="598">
        <f>F205+120</f>
        <v>19365.98</v>
      </c>
      <c r="M205" s="293">
        <f>+L205*$X$1</f>
        <v>19365.98</v>
      </c>
      <c r="N205" s="598">
        <f>F205+63</f>
        <v>19308.98</v>
      </c>
      <c r="O205" s="293">
        <f>+N205*$X$1</f>
        <v>19308.98</v>
      </c>
      <c r="P205" s="598">
        <f>F205+54</f>
        <v>19299.98</v>
      </c>
      <c r="Q205" s="293">
        <f>+P205*$X$1</f>
        <v>19299.98</v>
      </c>
      <c r="R205" s="598">
        <f>F205+45</f>
        <v>19290.98</v>
      </c>
      <c r="S205" s="293">
        <f>+R205*$X$1</f>
        <v>19290.98</v>
      </c>
      <c r="T205" s="104">
        <f t="shared" si="373"/>
        <v>19282.98</v>
      </c>
      <c r="U205" s="260">
        <f t="shared" si="374"/>
        <v>19282.98</v>
      </c>
      <c r="V205" s="104">
        <f t="shared" si="375"/>
        <v>19277.98</v>
      </c>
      <c r="W205" s="260">
        <f t="shared" si="376"/>
        <v>19277.98</v>
      </c>
      <c r="X205" s="152"/>
      <c r="Y205" s="152"/>
      <c r="Z205" s="152"/>
      <c r="AA205" s="152"/>
      <c r="AB205" s="197">
        <v>542</v>
      </c>
    </row>
    <row r="206" spans="1:28" ht="12.6" customHeight="1" x14ac:dyDescent="0.2">
      <c r="A206" s="18"/>
      <c r="B206" s="642" t="s">
        <v>496</v>
      </c>
      <c r="C206" s="643"/>
      <c r="D206" s="643"/>
      <c r="E206" s="643"/>
      <c r="F206" s="294"/>
      <c r="G206" s="294"/>
      <c r="H206" s="493"/>
      <c r="I206" s="493"/>
      <c r="J206" s="493"/>
      <c r="K206" s="294"/>
      <c r="L206" s="493"/>
      <c r="M206" s="294"/>
      <c r="N206" s="493"/>
      <c r="O206" s="294"/>
      <c r="P206" s="493"/>
      <c r="Q206" s="294"/>
      <c r="R206" s="493"/>
      <c r="S206" s="294"/>
      <c r="T206" s="493"/>
      <c r="U206" s="294"/>
      <c r="V206" s="90"/>
      <c r="W206" s="355"/>
      <c r="X206" s="152"/>
      <c r="Y206" s="152"/>
      <c r="Z206" s="152"/>
      <c r="AA206" s="152"/>
      <c r="AB206" s="197">
        <v>544</v>
      </c>
    </row>
    <row r="207" spans="1:28" ht="12.6" customHeight="1" x14ac:dyDescent="0.2">
      <c r="A207" s="18"/>
      <c r="B207" s="893" t="s">
        <v>198</v>
      </c>
      <c r="C207" s="976"/>
      <c r="D207" s="976"/>
      <c r="E207" s="976"/>
      <c r="F207" s="601">
        <v>350</v>
      </c>
      <c r="G207" s="602">
        <f t="shared" ref="G207:G212" si="383">+F207*$X$1</f>
        <v>350</v>
      </c>
      <c r="H207" s="603"/>
      <c r="I207" s="603"/>
      <c r="J207" s="604">
        <f t="shared" ref="J207" si="384">F207+150</f>
        <v>500</v>
      </c>
      <c r="K207" s="602">
        <f t="shared" ref="K207:K213" si="385">+J207*$X$1</f>
        <v>500</v>
      </c>
      <c r="L207" s="604">
        <f t="shared" ref="L207" si="386">F207+90</f>
        <v>440</v>
      </c>
      <c r="M207" s="602">
        <f t="shared" ref="M207" si="387">+L207*$X$1</f>
        <v>440</v>
      </c>
      <c r="N207" s="604">
        <f t="shared" ref="N207" si="388">F207+55</f>
        <v>405</v>
      </c>
      <c r="O207" s="602">
        <f t="shared" ref="O207" si="389">+N207*$X$1</f>
        <v>405</v>
      </c>
      <c r="P207" s="605"/>
      <c r="Q207" s="1043" t="s">
        <v>152</v>
      </c>
      <c r="R207" s="1044"/>
      <c r="S207" s="1044"/>
      <c r="T207" s="1044"/>
      <c r="U207" s="1044"/>
      <c r="V207" s="1044"/>
      <c r="W207" s="1045"/>
      <c r="X207" s="132"/>
      <c r="Y207" s="132"/>
      <c r="Z207" s="132"/>
      <c r="AA207" s="132"/>
      <c r="AB207" s="197">
        <v>547</v>
      </c>
    </row>
    <row r="208" spans="1:28" ht="12.6" customHeight="1" x14ac:dyDescent="0.2">
      <c r="A208" s="18"/>
      <c r="B208" s="646" t="s">
        <v>381</v>
      </c>
      <c r="C208" s="974"/>
      <c r="D208" s="974"/>
      <c r="E208" s="975"/>
      <c r="F208" s="294">
        <v>3607</v>
      </c>
      <c r="G208" s="294">
        <f t="shared" si="383"/>
        <v>3607</v>
      </c>
      <c r="H208" s="285"/>
      <c r="I208" s="285"/>
      <c r="J208" s="493">
        <f t="shared" ref="J208:J213" si="390">F208+180</f>
        <v>3787</v>
      </c>
      <c r="K208" s="294">
        <f t="shared" si="385"/>
        <v>3787</v>
      </c>
      <c r="L208" s="493">
        <f t="shared" ref="L208:L213" si="391">F208+120</f>
        <v>3727</v>
      </c>
      <c r="M208" s="294">
        <f t="shared" ref="M208:M213" si="392">+L208*$X$1</f>
        <v>3727</v>
      </c>
      <c r="N208" s="493">
        <f t="shared" ref="N208:N213" si="393">F208+63</f>
        <v>3670</v>
      </c>
      <c r="O208" s="294">
        <f t="shared" ref="O208:O213" si="394">+N208*$X$1</f>
        <v>3670</v>
      </c>
      <c r="P208" s="493">
        <f t="shared" ref="P208:P213" si="395">F208+54</f>
        <v>3661</v>
      </c>
      <c r="Q208" s="294">
        <f t="shared" ref="Q208:Q213" si="396">+P208*$X$1</f>
        <v>3661</v>
      </c>
      <c r="R208" s="493">
        <f t="shared" ref="R208:R213" si="397">F208+45</f>
        <v>3652</v>
      </c>
      <c r="S208" s="294">
        <f t="shared" ref="S208:S213" si="398">+R208*$X$1</f>
        <v>3652</v>
      </c>
      <c r="T208" s="103">
        <f t="shared" ref="T208:T213" si="399">F208+37</f>
        <v>3644</v>
      </c>
      <c r="U208" s="313">
        <f t="shared" ref="U208:U213" si="400">+T208*$X$1</f>
        <v>3644</v>
      </c>
      <c r="V208" s="103">
        <f t="shared" ref="V208:V213" si="401">F208+32</f>
        <v>3639</v>
      </c>
      <c r="W208" s="313">
        <f t="shared" ref="W208:W213" si="402">+V208*$X$1</f>
        <v>3639</v>
      </c>
      <c r="X208" s="132"/>
      <c r="Y208" s="132"/>
      <c r="Z208" s="132"/>
      <c r="AA208" s="132"/>
      <c r="AB208" s="436"/>
    </row>
    <row r="209" spans="1:28" ht="12.6" customHeight="1" x14ac:dyDescent="0.2">
      <c r="A209" s="18"/>
      <c r="B209" s="649" t="s">
        <v>510</v>
      </c>
      <c r="C209" s="650"/>
      <c r="D209" s="650"/>
      <c r="E209" s="651"/>
      <c r="F209" s="314">
        <v>1014</v>
      </c>
      <c r="G209" s="293">
        <f t="shared" si="383"/>
        <v>1014</v>
      </c>
      <c r="H209" s="286"/>
      <c r="I209" s="286"/>
      <c r="J209" s="598">
        <f t="shared" si="390"/>
        <v>1194</v>
      </c>
      <c r="K209" s="293">
        <f t="shared" si="385"/>
        <v>1194</v>
      </c>
      <c r="L209" s="598">
        <f t="shared" si="391"/>
        <v>1134</v>
      </c>
      <c r="M209" s="293">
        <f t="shared" si="392"/>
        <v>1134</v>
      </c>
      <c r="N209" s="598">
        <f t="shared" si="393"/>
        <v>1077</v>
      </c>
      <c r="O209" s="293">
        <f t="shared" si="394"/>
        <v>1077</v>
      </c>
      <c r="P209" s="598">
        <f t="shared" si="395"/>
        <v>1068</v>
      </c>
      <c r="Q209" s="293">
        <f t="shared" si="396"/>
        <v>1068</v>
      </c>
      <c r="R209" s="598">
        <f t="shared" si="397"/>
        <v>1059</v>
      </c>
      <c r="S209" s="293">
        <f t="shared" si="398"/>
        <v>1059</v>
      </c>
      <c r="T209" s="104">
        <f t="shared" si="399"/>
        <v>1051</v>
      </c>
      <c r="U209" s="260">
        <f t="shared" si="400"/>
        <v>1051</v>
      </c>
      <c r="V209" s="104">
        <f t="shared" si="401"/>
        <v>1046</v>
      </c>
      <c r="W209" s="260">
        <f t="shared" si="402"/>
        <v>1046</v>
      </c>
      <c r="X209" s="152"/>
      <c r="Y209" s="152"/>
      <c r="Z209" s="152"/>
      <c r="AA209" s="152"/>
      <c r="AB209" s="197"/>
    </row>
    <row r="210" spans="1:28" ht="12.6" customHeight="1" x14ac:dyDescent="0.2">
      <c r="A210" s="18"/>
      <c r="B210" s="646" t="s">
        <v>470</v>
      </c>
      <c r="C210" s="974"/>
      <c r="D210" s="974"/>
      <c r="E210" s="975"/>
      <c r="F210" s="294">
        <v>3490</v>
      </c>
      <c r="G210" s="294">
        <f t="shared" si="383"/>
        <v>3490</v>
      </c>
      <c r="H210" s="285"/>
      <c r="I210" s="285"/>
      <c r="J210" s="493">
        <f t="shared" si="390"/>
        <v>3670</v>
      </c>
      <c r="K210" s="294">
        <f t="shared" si="385"/>
        <v>3670</v>
      </c>
      <c r="L210" s="493">
        <f t="shared" si="391"/>
        <v>3610</v>
      </c>
      <c r="M210" s="294">
        <f t="shared" si="392"/>
        <v>3610</v>
      </c>
      <c r="N210" s="493">
        <f t="shared" si="393"/>
        <v>3553</v>
      </c>
      <c r="O210" s="294">
        <f t="shared" si="394"/>
        <v>3553</v>
      </c>
      <c r="P210" s="493">
        <f t="shared" si="395"/>
        <v>3544</v>
      </c>
      <c r="Q210" s="294">
        <f t="shared" si="396"/>
        <v>3544</v>
      </c>
      <c r="R210" s="493">
        <f t="shared" si="397"/>
        <v>3535</v>
      </c>
      <c r="S210" s="294">
        <f t="shared" si="398"/>
        <v>3535</v>
      </c>
      <c r="T210" s="103">
        <f t="shared" si="399"/>
        <v>3527</v>
      </c>
      <c r="U210" s="313">
        <f t="shared" si="400"/>
        <v>3527</v>
      </c>
      <c r="V210" s="103">
        <f t="shared" si="401"/>
        <v>3522</v>
      </c>
      <c r="W210" s="313">
        <f t="shared" si="402"/>
        <v>3522</v>
      </c>
      <c r="X210" s="132"/>
      <c r="Y210" s="132"/>
      <c r="Z210" s="132"/>
      <c r="AA210" s="132"/>
      <c r="AB210" s="197">
        <v>551</v>
      </c>
    </row>
    <row r="211" spans="1:28" ht="12.6" customHeight="1" x14ac:dyDescent="0.2">
      <c r="A211" s="18"/>
      <c r="B211" s="969" t="s">
        <v>468</v>
      </c>
      <c r="C211" s="970"/>
      <c r="D211" s="970"/>
      <c r="E211" s="971"/>
      <c r="F211" s="314">
        <v>3880</v>
      </c>
      <c r="G211" s="293">
        <f t="shared" si="383"/>
        <v>3880</v>
      </c>
      <c r="H211" s="286"/>
      <c r="I211" s="286"/>
      <c r="J211" s="598">
        <f t="shared" si="390"/>
        <v>4060</v>
      </c>
      <c r="K211" s="293">
        <f t="shared" si="385"/>
        <v>4060</v>
      </c>
      <c r="L211" s="598">
        <f t="shared" si="391"/>
        <v>4000</v>
      </c>
      <c r="M211" s="293">
        <f t="shared" si="392"/>
        <v>4000</v>
      </c>
      <c r="N211" s="598">
        <f t="shared" si="393"/>
        <v>3943</v>
      </c>
      <c r="O211" s="293">
        <f t="shared" si="394"/>
        <v>3943</v>
      </c>
      <c r="P211" s="598">
        <f t="shared" si="395"/>
        <v>3934</v>
      </c>
      <c r="Q211" s="293">
        <f t="shared" si="396"/>
        <v>3934</v>
      </c>
      <c r="R211" s="598">
        <f t="shared" si="397"/>
        <v>3925</v>
      </c>
      <c r="S211" s="293">
        <f t="shared" si="398"/>
        <v>3925</v>
      </c>
      <c r="T211" s="104">
        <f t="shared" si="399"/>
        <v>3917</v>
      </c>
      <c r="U211" s="260">
        <f t="shared" si="400"/>
        <v>3917</v>
      </c>
      <c r="V211" s="104">
        <f t="shared" si="401"/>
        <v>3912</v>
      </c>
      <c r="W211" s="260">
        <f t="shared" si="402"/>
        <v>3912</v>
      </c>
      <c r="X211" s="132"/>
      <c r="Y211" s="132"/>
      <c r="Z211" s="132"/>
      <c r="AA211" s="132"/>
      <c r="AB211" s="197" t="s">
        <v>467</v>
      </c>
    </row>
    <row r="212" spans="1:28" ht="12.6" customHeight="1" x14ac:dyDescent="0.2">
      <c r="A212" s="18"/>
      <c r="B212" s="732" t="s">
        <v>469</v>
      </c>
      <c r="C212" s="733"/>
      <c r="D212" s="733"/>
      <c r="E212" s="734"/>
      <c r="F212" s="328">
        <v>4172</v>
      </c>
      <c r="G212" s="294">
        <f t="shared" si="383"/>
        <v>4172</v>
      </c>
      <c r="H212" s="285"/>
      <c r="I212" s="285"/>
      <c r="J212" s="493">
        <f t="shared" si="390"/>
        <v>4352</v>
      </c>
      <c r="K212" s="294">
        <f t="shared" si="385"/>
        <v>4352</v>
      </c>
      <c r="L212" s="493">
        <f t="shared" si="391"/>
        <v>4292</v>
      </c>
      <c r="M212" s="294">
        <f t="shared" si="392"/>
        <v>4292</v>
      </c>
      <c r="N212" s="493">
        <f t="shared" si="393"/>
        <v>4235</v>
      </c>
      <c r="O212" s="294">
        <f t="shared" si="394"/>
        <v>4235</v>
      </c>
      <c r="P212" s="493">
        <f t="shared" si="395"/>
        <v>4226</v>
      </c>
      <c r="Q212" s="294">
        <f t="shared" si="396"/>
        <v>4226</v>
      </c>
      <c r="R212" s="493">
        <f t="shared" si="397"/>
        <v>4217</v>
      </c>
      <c r="S212" s="294">
        <f t="shared" si="398"/>
        <v>4217</v>
      </c>
      <c r="T212" s="103">
        <f t="shared" si="399"/>
        <v>4209</v>
      </c>
      <c r="U212" s="313">
        <f t="shared" si="400"/>
        <v>4209</v>
      </c>
      <c r="V212" s="103">
        <f t="shared" si="401"/>
        <v>4204</v>
      </c>
      <c r="W212" s="313">
        <f t="shared" si="402"/>
        <v>4204</v>
      </c>
      <c r="X212" s="132"/>
      <c r="Y212" s="132"/>
      <c r="Z212" s="132"/>
      <c r="AA212" s="132"/>
      <c r="AB212" s="197" t="s">
        <v>471</v>
      </c>
    </row>
    <row r="213" spans="1:28" ht="12.6" customHeight="1" x14ac:dyDescent="0.2">
      <c r="A213" s="18"/>
      <c r="B213" s="644" t="s">
        <v>425</v>
      </c>
      <c r="C213" s="680"/>
      <c r="D213" s="680"/>
      <c r="E213" s="680"/>
      <c r="F213" s="293">
        <v>3705</v>
      </c>
      <c r="G213" s="293">
        <f t="shared" ref="G213" si="403">+F213*$X$1</f>
        <v>3705</v>
      </c>
      <c r="H213" s="286"/>
      <c r="I213" s="286"/>
      <c r="J213" s="598">
        <f t="shared" si="390"/>
        <v>3885</v>
      </c>
      <c r="K213" s="293">
        <f t="shared" si="385"/>
        <v>3885</v>
      </c>
      <c r="L213" s="598">
        <f t="shared" si="391"/>
        <v>3825</v>
      </c>
      <c r="M213" s="293">
        <f t="shared" si="392"/>
        <v>3825</v>
      </c>
      <c r="N213" s="598">
        <f t="shared" si="393"/>
        <v>3768</v>
      </c>
      <c r="O213" s="293">
        <f t="shared" si="394"/>
        <v>3768</v>
      </c>
      <c r="P213" s="598">
        <f t="shared" si="395"/>
        <v>3759</v>
      </c>
      <c r="Q213" s="293">
        <f t="shared" si="396"/>
        <v>3759</v>
      </c>
      <c r="R213" s="598">
        <f t="shared" si="397"/>
        <v>3750</v>
      </c>
      <c r="S213" s="293">
        <f t="shared" si="398"/>
        <v>3750</v>
      </c>
      <c r="T213" s="104">
        <f t="shared" si="399"/>
        <v>3742</v>
      </c>
      <c r="U213" s="260">
        <f t="shared" si="400"/>
        <v>3742</v>
      </c>
      <c r="V213" s="104">
        <f t="shared" si="401"/>
        <v>3737</v>
      </c>
      <c r="W213" s="260">
        <f t="shared" si="402"/>
        <v>3737</v>
      </c>
      <c r="X213" s="132"/>
      <c r="Y213" s="132"/>
      <c r="Z213" s="132"/>
      <c r="AA213" s="132"/>
      <c r="AB213" s="197">
        <v>553</v>
      </c>
    </row>
    <row r="214" spans="1:28" ht="12.6" customHeight="1" x14ac:dyDescent="0.2">
      <c r="A214" s="18"/>
      <c r="B214" s="694" t="s">
        <v>646</v>
      </c>
      <c r="C214" s="831"/>
      <c r="D214" s="831"/>
      <c r="E214" s="831"/>
      <c r="F214" s="396">
        <f>5.95*X2</f>
        <v>6110.6500000000005</v>
      </c>
      <c r="G214" s="350">
        <f t="shared" ref="G214" si="404">+F214*$X$1</f>
        <v>6110.6500000000005</v>
      </c>
      <c r="H214" s="493">
        <f>F214+410</f>
        <v>6520.6500000000005</v>
      </c>
      <c r="I214" s="294">
        <f>+H214*$X$1</f>
        <v>6520.6500000000005</v>
      </c>
      <c r="J214" s="493">
        <f>F214+360</f>
        <v>6470.6500000000005</v>
      </c>
      <c r="K214" s="294">
        <f>+J214*$X$1</f>
        <v>6470.6500000000005</v>
      </c>
      <c r="L214" s="493">
        <f>F214+330</f>
        <v>6440.6500000000005</v>
      </c>
      <c r="M214" s="294">
        <f t="shared" ref="M214" si="405">+L214*$X$1</f>
        <v>6440.6500000000005</v>
      </c>
      <c r="N214" s="493">
        <f>F214+290</f>
        <v>6400.6500000000005</v>
      </c>
      <c r="O214" s="294">
        <f t="shared" ref="O214" si="406">+N214*$X$1</f>
        <v>6400.6500000000005</v>
      </c>
      <c r="P214" s="493">
        <f>F214+240</f>
        <v>6350.6500000000005</v>
      </c>
      <c r="Q214" s="294">
        <f t="shared" ref="Q214" si="407">+P214*$X$1</f>
        <v>6350.6500000000005</v>
      </c>
      <c r="R214" s="493">
        <f>F214+220</f>
        <v>6330.6500000000005</v>
      </c>
      <c r="S214" s="294">
        <f t="shared" ref="S214" si="408">+R214*$X$1</f>
        <v>6330.6500000000005</v>
      </c>
      <c r="T214" s="103">
        <f>F214+200</f>
        <v>6310.6500000000005</v>
      </c>
      <c r="U214" s="313">
        <f t="shared" ref="U214" si="409">+T214*$X$1</f>
        <v>6310.6500000000005</v>
      </c>
      <c r="V214" s="103">
        <f>F214+175</f>
        <v>6285.6500000000005</v>
      </c>
      <c r="W214" s="313">
        <f t="shared" ref="W214" si="410">+V214*$X$1</f>
        <v>6285.6500000000005</v>
      </c>
      <c r="X214" s="152"/>
      <c r="Y214" s="152"/>
      <c r="Z214" s="152"/>
      <c r="AA214" s="152"/>
      <c r="AB214" s="197">
        <v>616</v>
      </c>
    </row>
    <row r="215" spans="1:28" ht="12.6" customHeight="1" x14ac:dyDescent="0.2">
      <c r="A215" s="18"/>
      <c r="B215" s="1201" t="s">
        <v>375</v>
      </c>
      <c r="C215" s="1202"/>
      <c r="D215" s="1202"/>
      <c r="E215" s="1202"/>
      <c r="F215" s="602">
        <v>180</v>
      </c>
      <c r="G215" s="602">
        <f t="shared" ref="G215:G218" si="411">+F215*$X$1</f>
        <v>180</v>
      </c>
      <c r="H215" s="603"/>
      <c r="I215" s="606"/>
      <c r="J215" s="604">
        <f>F215+180</f>
        <v>360</v>
      </c>
      <c r="K215" s="602">
        <f t="shared" ref="K215" si="412">+J215*$X$1</f>
        <v>360</v>
      </c>
      <c r="L215" s="604">
        <f>F215+120</f>
        <v>300</v>
      </c>
      <c r="M215" s="602">
        <f>+L215*$X$1</f>
        <v>300</v>
      </c>
      <c r="N215" s="604">
        <f>F215+63</f>
        <v>243</v>
      </c>
      <c r="O215" s="602">
        <f>+N215*$X$1</f>
        <v>243</v>
      </c>
      <c r="P215" s="604"/>
      <c r="Q215" s="978" t="s">
        <v>152</v>
      </c>
      <c r="R215" s="979"/>
      <c r="S215" s="979"/>
      <c r="T215" s="979"/>
      <c r="U215" s="979"/>
      <c r="V215" s="979"/>
      <c r="W215" s="979"/>
      <c r="X215" s="152"/>
      <c r="Y215" s="152"/>
      <c r="Z215" s="152"/>
      <c r="AA215" s="152"/>
      <c r="AB215" s="197">
        <v>618</v>
      </c>
    </row>
    <row r="216" spans="1:28" ht="12.6" customHeight="1" x14ac:dyDescent="0.2">
      <c r="A216" s="105"/>
      <c r="B216" s="699" t="s">
        <v>505</v>
      </c>
      <c r="C216" s="700"/>
      <c r="D216" s="700"/>
      <c r="E216" s="700"/>
      <c r="F216" s="602">
        <v>500</v>
      </c>
      <c r="G216" s="602">
        <f t="shared" si="411"/>
        <v>500</v>
      </c>
      <c r="H216" s="604"/>
      <c r="I216" s="602"/>
      <c r="J216" s="603"/>
      <c r="K216" s="606"/>
      <c r="L216" s="604">
        <f>F216+130</f>
        <v>630</v>
      </c>
      <c r="M216" s="602">
        <f t="shared" ref="M216" si="413">+L216*$X$1</f>
        <v>630</v>
      </c>
      <c r="N216" s="604"/>
      <c r="O216" s="602"/>
      <c r="P216" s="604">
        <f>F216+5.1</f>
        <v>505.1</v>
      </c>
      <c r="Q216" s="978" t="s">
        <v>152</v>
      </c>
      <c r="R216" s="979"/>
      <c r="S216" s="979"/>
      <c r="T216" s="979"/>
      <c r="U216" s="979"/>
      <c r="V216" s="979"/>
      <c r="W216" s="979"/>
      <c r="X216" s="133"/>
      <c r="Y216" s="152"/>
      <c r="Z216" s="152"/>
      <c r="AA216" s="152"/>
      <c r="AB216" s="197">
        <v>621</v>
      </c>
    </row>
    <row r="217" spans="1:28" ht="12.6" customHeight="1" x14ac:dyDescent="0.2">
      <c r="A217" s="21"/>
      <c r="B217" s="644" t="s">
        <v>199</v>
      </c>
      <c r="C217" s="680"/>
      <c r="D217" s="680"/>
      <c r="E217" s="680"/>
      <c r="F217" s="392">
        <f>2.93*X2</f>
        <v>3009.11</v>
      </c>
      <c r="G217" s="293">
        <f>+F217*$X$1</f>
        <v>3009.11</v>
      </c>
      <c r="H217" s="327"/>
      <c r="I217" s="353"/>
      <c r="J217" s="598">
        <f t="shared" ref="J217:J222" si="414">F217+180</f>
        <v>3189.11</v>
      </c>
      <c r="K217" s="293">
        <f t="shared" ref="K217:K222" si="415">+J217*$X$1</f>
        <v>3189.11</v>
      </c>
      <c r="L217" s="598">
        <f t="shared" ref="L217:L222" si="416">F217+120</f>
        <v>3129.11</v>
      </c>
      <c r="M217" s="293">
        <f t="shared" ref="M217:M222" si="417">+L217*$X$1</f>
        <v>3129.11</v>
      </c>
      <c r="N217" s="598">
        <f t="shared" ref="N217:N222" si="418">F217+63</f>
        <v>3072.11</v>
      </c>
      <c r="O217" s="293">
        <f t="shared" ref="O217:O222" si="419">+N217*$X$1</f>
        <v>3072.11</v>
      </c>
      <c r="P217" s="598">
        <f t="shared" ref="P217:P222" si="420">F217+54</f>
        <v>3063.11</v>
      </c>
      <c r="Q217" s="293">
        <f t="shared" ref="Q217:Q222" si="421">+P217*$X$1</f>
        <v>3063.11</v>
      </c>
      <c r="R217" s="598">
        <f t="shared" ref="R217:R222" si="422">F217+45</f>
        <v>3054.11</v>
      </c>
      <c r="S217" s="293">
        <f t="shared" ref="S217:S222" si="423">+R217*$X$1</f>
        <v>3054.11</v>
      </c>
      <c r="T217" s="104">
        <f t="shared" ref="T217:T222" si="424">F217+37</f>
        <v>3046.11</v>
      </c>
      <c r="U217" s="260">
        <f t="shared" ref="U217:U222" si="425">+T217*$X$1</f>
        <v>3046.11</v>
      </c>
      <c r="V217" s="104">
        <f t="shared" ref="V217:V222" si="426">F217+32</f>
        <v>3041.11</v>
      </c>
      <c r="W217" s="260">
        <f t="shared" ref="W217:W222" si="427">+V217*$X$1</f>
        <v>3041.11</v>
      </c>
      <c r="X217" s="152"/>
      <c r="Y217" s="161"/>
      <c r="Z217" s="152"/>
      <c r="AA217" s="152"/>
      <c r="AB217" s="197">
        <v>624</v>
      </c>
    </row>
    <row r="218" spans="1:28" ht="12.6" customHeight="1" x14ac:dyDescent="0.2">
      <c r="A218" s="21"/>
      <c r="B218" s="895" t="s">
        <v>200</v>
      </c>
      <c r="C218" s="896"/>
      <c r="D218" s="896"/>
      <c r="E218" s="896"/>
      <c r="F218" s="393">
        <f>5.057*X2</f>
        <v>5193.5390000000007</v>
      </c>
      <c r="G218" s="294">
        <f t="shared" si="411"/>
        <v>5193.5390000000007</v>
      </c>
      <c r="H218" s="292"/>
      <c r="I218" s="354"/>
      <c r="J218" s="493">
        <f t="shared" si="414"/>
        <v>5373.5390000000007</v>
      </c>
      <c r="K218" s="294">
        <f t="shared" si="415"/>
        <v>5373.5390000000007</v>
      </c>
      <c r="L218" s="493">
        <f t="shared" si="416"/>
        <v>5313.5390000000007</v>
      </c>
      <c r="M218" s="294">
        <f t="shared" si="417"/>
        <v>5313.5390000000007</v>
      </c>
      <c r="N218" s="493">
        <f t="shared" si="418"/>
        <v>5256.5390000000007</v>
      </c>
      <c r="O218" s="294">
        <f t="shared" si="419"/>
        <v>5256.5390000000007</v>
      </c>
      <c r="P218" s="493">
        <f t="shared" si="420"/>
        <v>5247.5390000000007</v>
      </c>
      <c r="Q218" s="294">
        <f t="shared" si="421"/>
        <v>5247.5390000000007</v>
      </c>
      <c r="R218" s="493">
        <f t="shared" si="422"/>
        <v>5238.5390000000007</v>
      </c>
      <c r="S218" s="294">
        <f t="shared" si="423"/>
        <v>5238.5390000000007</v>
      </c>
      <c r="T218" s="103">
        <f t="shared" si="424"/>
        <v>5230.5390000000007</v>
      </c>
      <c r="U218" s="313">
        <f t="shared" si="425"/>
        <v>5230.5390000000007</v>
      </c>
      <c r="V218" s="103">
        <f t="shared" si="426"/>
        <v>5225.5390000000007</v>
      </c>
      <c r="W218" s="313">
        <f t="shared" si="427"/>
        <v>5225.5390000000007</v>
      </c>
      <c r="X218" s="152"/>
      <c r="Y218" s="161"/>
      <c r="Z218" s="152"/>
      <c r="AA218" s="152"/>
      <c r="AB218" s="197" t="s">
        <v>201</v>
      </c>
    </row>
    <row r="219" spans="1:28" ht="12.6" customHeight="1" x14ac:dyDescent="0.2">
      <c r="A219" s="21"/>
      <c r="B219" s="649" t="s">
        <v>202</v>
      </c>
      <c r="C219" s="650"/>
      <c r="D219" s="650"/>
      <c r="E219" s="651"/>
      <c r="F219" s="392">
        <f>5.6*X2</f>
        <v>5751.2</v>
      </c>
      <c r="G219" s="293">
        <f t="shared" ref="G219:G223" si="428">+F219*$X$1</f>
        <v>5751.2</v>
      </c>
      <c r="H219" s="327"/>
      <c r="I219" s="353"/>
      <c r="J219" s="598">
        <f t="shared" si="414"/>
        <v>5931.2</v>
      </c>
      <c r="K219" s="293">
        <f t="shared" si="415"/>
        <v>5931.2</v>
      </c>
      <c r="L219" s="598">
        <f t="shared" si="416"/>
        <v>5871.2</v>
      </c>
      <c r="M219" s="293">
        <f t="shared" si="417"/>
        <v>5871.2</v>
      </c>
      <c r="N219" s="598">
        <f t="shared" si="418"/>
        <v>5814.2</v>
      </c>
      <c r="O219" s="293">
        <f t="shared" si="419"/>
        <v>5814.2</v>
      </c>
      <c r="P219" s="598">
        <f t="shared" si="420"/>
        <v>5805.2</v>
      </c>
      <c r="Q219" s="293">
        <f t="shared" si="421"/>
        <v>5805.2</v>
      </c>
      <c r="R219" s="598">
        <f t="shared" si="422"/>
        <v>5796.2</v>
      </c>
      <c r="S219" s="293">
        <f t="shared" si="423"/>
        <v>5796.2</v>
      </c>
      <c r="T219" s="104">
        <f t="shared" si="424"/>
        <v>5788.2</v>
      </c>
      <c r="U219" s="260">
        <f t="shared" si="425"/>
        <v>5788.2</v>
      </c>
      <c r="V219" s="104">
        <f t="shared" si="426"/>
        <v>5783.2</v>
      </c>
      <c r="W219" s="260">
        <f t="shared" si="427"/>
        <v>5783.2</v>
      </c>
      <c r="X219" s="152"/>
      <c r="Y219" s="161"/>
      <c r="Z219" s="152"/>
      <c r="AA219" s="152"/>
      <c r="AB219" s="197">
        <v>629</v>
      </c>
    </row>
    <row r="220" spans="1:28" ht="12.6" customHeight="1" x14ac:dyDescent="0.2">
      <c r="A220" s="21"/>
      <c r="B220" s="646" t="s">
        <v>431</v>
      </c>
      <c r="C220" s="647"/>
      <c r="D220" s="647"/>
      <c r="E220" s="648"/>
      <c r="F220" s="393">
        <f>8.59*X2</f>
        <v>8821.93</v>
      </c>
      <c r="G220" s="294">
        <f t="shared" si="428"/>
        <v>8821.93</v>
      </c>
      <c r="H220" s="292"/>
      <c r="I220" s="354"/>
      <c r="J220" s="493">
        <f t="shared" si="414"/>
        <v>9001.93</v>
      </c>
      <c r="K220" s="294">
        <f t="shared" si="415"/>
        <v>9001.93</v>
      </c>
      <c r="L220" s="493">
        <f t="shared" si="416"/>
        <v>8941.93</v>
      </c>
      <c r="M220" s="294">
        <f t="shared" si="417"/>
        <v>8941.93</v>
      </c>
      <c r="N220" s="493">
        <f t="shared" si="418"/>
        <v>8884.93</v>
      </c>
      <c r="O220" s="294">
        <f t="shared" si="419"/>
        <v>8884.93</v>
      </c>
      <c r="P220" s="493">
        <f t="shared" si="420"/>
        <v>8875.93</v>
      </c>
      <c r="Q220" s="294">
        <f t="shared" si="421"/>
        <v>8875.93</v>
      </c>
      <c r="R220" s="493">
        <f t="shared" si="422"/>
        <v>8866.93</v>
      </c>
      <c r="S220" s="294">
        <f t="shared" si="423"/>
        <v>8866.93</v>
      </c>
      <c r="T220" s="103">
        <f t="shared" si="424"/>
        <v>8858.93</v>
      </c>
      <c r="U220" s="313">
        <f t="shared" si="425"/>
        <v>8858.93</v>
      </c>
      <c r="V220" s="103">
        <f t="shared" si="426"/>
        <v>8853.93</v>
      </c>
      <c r="W220" s="313">
        <f t="shared" si="427"/>
        <v>8853.93</v>
      </c>
      <c r="X220" s="152"/>
      <c r="Y220" s="161"/>
      <c r="Z220" s="152"/>
      <c r="AA220" s="152"/>
      <c r="AB220" s="197">
        <v>630</v>
      </c>
    </row>
    <row r="221" spans="1:28" ht="12.6" customHeight="1" x14ac:dyDescent="0.2">
      <c r="A221" s="21"/>
      <c r="B221" s="649" t="s">
        <v>559</v>
      </c>
      <c r="C221" s="650"/>
      <c r="D221" s="650"/>
      <c r="E221" s="651"/>
      <c r="F221" s="392">
        <f>1.05*X2</f>
        <v>1078.3500000000001</v>
      </c>
      <c r="G221" s="295">
        <f t="shared" ref="G221" si="429">+F221*$X$1</f>
        <v>1078.3500000000001</v>
      </c>
      <c r="H221" s="327"/>
      <c r="I221" s="360"/>
      <c r="J221" s="598">
        <f t="shared" si="414"/>
        <v>1258.3500000000001</v>
      </c>
      <c r="K221" s="293">
        <f t="shared" si="415"/>
        <v>1258.3500000000001</v>
      </c>
      <c r="L221" s="598">
        <f t="shared" si="416"/>
        <v>1198.3500000000001</v>
      </c>
      <c r="M221" s="293">
        <f t="shared" si="417"/>
        <v>1198.3500000000001</v>
      </c>
      <c r="N221" s="598">
        <f t="shared" si="418"/>
        <v>1141.3500000000001</v>
      </c>
      <c r="O221" s="293">
        <f t="shared" si="419"/>
        <v>1141.3500000000001</v>
      </c>
      <c r="P221" s="598">
        <f t="shared" si="420"/>
        <v>1132.3500000000001</v>
      </c>
      <c r="Q221" s="293">
        <f t="shared" si="421"/>
        <v>1132.3500000000001</v>
      </c>
      <c r="R221" s="598">
        <f t="shared" si="422"/>
        <v>1123.3500000000001</v>
      </c>
      <c r="S221" s="293">
        <f t="shared" si="423"/>
        <v>1123.3500000000001</v>
      </c>
      <c r="T221" s="104">
        <f t="shared" si="424"/>
        <v>1115.3500000000001</v>
      </c>
      <c r="U221" s="260">
        <f t="shared" si="425"/>
        <v>1115.3500000000001</v>
      </c>
      <c r="V221" s="104">
        <f t="shared" si="426"/>
        <v>1110.3500000000001</v>
      </c>
      <c r="W221" s="260">
        <f t="shared" si="427"/>
        <v>1110.3500000000001</v>
      </c>
      <c r="X221" s="152"/>
      <c r="Y221" s="161"/>
      <c r="Z221" s="152"/>
      <c r="AA221" s="152"/>
      <c r="AB221" s="197">
        <v>631</v>
      </c>
    </row>
    <row r="222" spans="1:28" ht="12.6" customHeight="1" x14ac:dyDescent="0.2">
      <c r="A222" s="21"/>
      <c r="B222" s="646" t="s">
        <v>523</v>
      </c>
      <c r="C222" s="647"/>
      <c r="D222" s="647"/>
      <c r="E222" s="648"/>
      <c r="F222" s="393">
        <f>1.352*X2</f>
        <v>1388.5040000000001</v>
      </c>
      <c r="G222" s="296">
        <f t="shared" si="428"/>
        <v>1388.5040000000001</v>
      </c>
      <c r="H222" s="292"/>
      <c r="I222" s="361"/>
      <c r="J222" s="493">
        <f t="shared" si="414"/>
        <v>1568.5040000000001</v>
      </c>
      <c r="K222" s="294">
        <f t="shared" si="415"/>
        <v>1568.5040000000001</v>
      </c>
      <c r="L222" s="493">
        <f t="shared" si="416"/>
        <v>1508.5040000000001</v>
      </c>
      <c r="M222" s="294">
        <f t="shared" si="417"/>
        <v>1508.5040000000001</v>
      </c>
      <c r="N222" s="493">
        <f t="shared" si="418"/>
        <v>1451.5040000000001</v>
      </c>
      <c r="O222" s="294">
        <f t="shared" si="419"/>
        <v>1451.5040000000001</v>
      </c>
      <c r="P222" s="493">
        <f t="shared" si="420"/>
        <v>1442.5040000000001</v>
      </c>
      <c r="Q222" s="294">
        <f t="shared" si="421"/>
        <v>1442.5040000000001</v>
      </c>
      <c r="R222" s="493">
        <f t="shared" si="422"/>
        <v>1433.5040000000001</v>
      </c>
      <c r="S222" s="294">
        <f t="shared" si="423"/>
        <v>1433.5040000000001</v>
      </c>
      <c r="T222" s="103">
        <f t="shared" si="424"/>
        <v>1425.5040000000001</v>
      </c>
      <c r="U222" s="313">
        <f t="shared" si="425"/>
        <v>1425.5040000000001</v>
      </c>
      <c r="V222" s="103">
        <f t="shared" si="426"/>
        <v>1420.5040000000001</v>
      </c>
      <c r="W222" s="313">
        <f t="shared" si="427"/>
        <v>1420.5040000000001</v>
      </c>
      <c r="X222" s="152"/>
      <c r="Y222" s="161"/>
      <c r="Z222" s="152"/>
      <c r="AA222" s="152"/>
      <c r="AB222" s="197">
        <v>640</v>
      </c>
    </row>
    <row r="223" spans="1:28" ht="12.6" customHeight="1" x14ac:dyDescent="0.2">
      <c r="A223" s="18"/>
      <c r="B223" s="699" t="s">
        <v>203</v>
      </c>
      <c r="C223" s="700"/>
      <c r="D223" s="700"/>
      <c r="E223" s="700"/>
      <c r="F223" s="607">
        <f>1.95*X2</f>
        <v>2002.6499999999999</v>
      </c>
      <c r="G223" s="602">
        <f t="shared" si="428"/>
        <v>2002.6499999999999</v>
      </c>
      <c r="H223" s="605">
        <f t="shared" ref="H223" si="430">F223+400</f>
        <v>2402.6499999999996</v>
      </c>
      <c r="I223" s="602">
        <f t="shared" ref="I223" si="431">+H223*$X$1</f>
        <v>2402.6499999999996</v>
      </c>
      <c r="J223" s="604">
        <f t="shared" ref="J223" si="432">F223+170</f>
        <v>2172.6499999999996</v>
      </c>
      <c r="K223" s="602">
        <f t="shared" ref="K223" si="433">+J223*$X$1</f>
        <v>2172.6499999999996</v>
      </c>
      <c r="L223" s="604">
        <f t="shared" ref="L223" si="434">F223+130</f>
        <v>2132.6499999999996</v>
      </c>
      <c r="M223" s="602">
        <f t="shared" ref="M223" si="435">+L223*$X$1</f>
        <v>2132.6499999999996</v>
      </c>
      <c r="N223" s="604">
        <f t="shared" ref="N223" si="436">F223+100</f>
        <v>2102.6499999999996</v>
      </c>
      <c r="O223" s="602">
        <f t="shared" ref="O223" si="437">+N223*$X$1</f>
        <v>2102.6499999999996</v>
      </c>
      <c r="P223" s="604">
        <f t="shared" ref="P223" si="438">F223+80</f>
        <v>2082.6499999999996</v>
      </c>
      <c r="Q223" s="602">
        <f t="shared" ref="Q223" si="439">+P223*$X$1</f>
        <v>2082.6499999999996</v>
      </c>
      <c r="R223" s="604">
        <f t="shared" ref="R223" si="440">F223+74</f>
        <v>2076.6499999999996</v>
      </c>
      <c r="S223" s="602">
        <f t="shared" ref="S223" si="441">+R223*$X$1</f>
        <v>2076.6499999999996</v>
      </c>
      <c r="T223" s="604">
        <f t="shared" ref="T223" si="442">F223+67</f>
        <v>2069.6499999999996</v>
      </c>
      <c r="U223" s="602">
        <f t="shared" ref="U223" si="443">+T223*$X$1</f>
        <v>2069.6499999999996</v>
      </c>
      <c r="V223" s="604">
        <f t="shared" ref="V223" si="444">F223+55</f>
        <v>2057.6499999999996</v>
      </c>
      <c r="W223" s="602">
        <f t="shared" ref="W223" si="445">+V223*$X$1</f>
        <v>2057.6499999999996</v>
      </c>
      <c r="X223" s="640"/>
      <c r="Y223" s="880"/>
      <c r="Z223" s="880"/>
      <c r="AA223" s="641"/>
      <c r="AB223" s="197">
        <v>705</v>
      </c>
    </row>
    <row r="224" spans="1:28" ht="12.6" customHeight="1" x14ac:dyDescent="0.2">
      <c r="A224" s="18"/>
      <c r="B224" s="642" t="s">
        <v>536</v>
      </c>
      <c r="C224" s="643"/>
      <c r="D224" s="643"/>
      <c r="E224" s="643"/>
      <c r="F224" s="339">
        <v>10476</v>
      </c>
      <c r="G224" s="294">
        <f t="shared" ref="G224" si="446">+F224*$X$1</f>
        <v>10476</v>
      </c>
      <c r="H224" s="493">
        <f t="shared" ref="H224:H234" si="447">F224+500</f>
        <v>10976</v>
      </c>
      <c r="I224" s="294">
        <f t="shared" ref="I224" si="448">+H224*$X$1</f>
        <v>10976</v>
      </c>
      <c r="J224" s="493">
        <f t="shared" ref="J224:J234" si="449">F224+220</f>
        <v>10696</v>
      </c>
      <c r="K224" s="294">
        <f t="shared" ref="K224" si="450">+J224*$X$1</f>
        <v>10696</v>
      </c>
      <c r="L224" s="493">
        <f t="shared" ref="L224:L234" si="451">F224+170</f>
        <v>10646</v>
      </c>
      <c r="M224" s="294">
        <f t="shared" ref="M224" si="452">+L224*$X$1</f>
        <v>10646</v>
      </c>
      <c r="N224" s="493">
        <f t="shared" ref="N224:N234" si="453">F224+145</f>
        <v>10621</v>
      </c>
      <c r="O224" s="294">
        <f t="shared" ref="O224" si="454">+N224*$X$1</f>
        <v>10621</v>
      </c>
      <c r="P224" s="493">
        <f t="shared" ref="P224:P234" si="455">F224+130</f>
        <v>10606</v>
      </c>
      <c r="Q224" s="294">
        <f t="shared" ref="Q224" si="456">+P224*$X$1</f>
        <v>10606</v>
      </c>
      <c r="R224" s="493">
        <f t="shared" ref="R224:R234" si="457">F224+110</f>
        <v>10586</v>
      </c>
      <c r="S224" s="294">
        <f t="shared" ref="S224" si="458">+R224*$X$1</f>
        <v>10586</v>
      </c>
      <c r="T224" s="103">
        <f t="shared" ref="T224:T234" si="459">F224+95</f>
        <v>10571</v>
      </c>
      <c r="U224" s="313">
        <f t="shared" ref="U224" si="460">+T224*$X$1</f>
        <v>10571</v>
      </c>
      <c r="V224" s="103">
        <f t="shared" ref="V224:V234" si="461">F224+80</f>
        <v>10556</v>
      </c>
      <c r="W224" s="313">
        <f t="shared" ref="W224" si="462">+V224*$X$1</f>
        <v>10556</v>
      </c>
      <c r="X224" s="652"/>
      <c r="Y224" s="658"/>
      <c r="Z224" s="658"/>
      <c r="AA224" s="654"/>
      <c r="AB224" s="197">
        <v>815</v>
      </c>
    </row>
    <row r="225" spans="1:34" ht="12.6" customHeight="1" x14ac:dyDescent="0.2">
      <c r="A225" s="18"/>
      <c r="B225" s="644" t="s">
        <v>535</v>
      </c>
      <c r="C225" s="645"/>
      <c r="D225" s="645"/>
      <c r="E225" s="645"/>
      <c r="F225" s="340">
        <v>18042</v>
      </c>
      <c r="G225" s="293">
        <f t="shared" ref="G225" si="463">+F225*$X$1</f>
        <v>18042</v>
      </c>
      <c r="H225" s="623">
        <f t="shared" si="447"/>
        <v>18542</v>
      </c>
      <c r="I225" s="293">
        <f t="shared" ref="I225:I234" si="464">+H225*$X$1</f>
        <v>18542</v>
      </c>
      <c r="J225" s="623">
        <f t="shared" si="449"/>
        <v>18262</v>
      </c>
      <c r="K225" s="293">
        <f t="shared" ref="K225:K234" si="465">+J225*$X$1</f>
        <v>18262</v>
      </c>
      <c r="L225" s="623">
        <f t="shared" si="451"/>
        <v>18212</v>
      </c>
      <c r="M225" s="293">
        <f t="shared" ref="M225:M234" si="466">+L225*$X$1</f>
        <v>18212</v>
      </c>
      <c r="N225" s="623">
        <f t="shared" si="453"/>
        <v>18187</v>
      </c>
      <c r="O225" s="293">
        <f t="shared" ref="O225:O234" si="467">+N225*$X$1</f>
        <v>18187</v>
      </c>
      <c r="P225" s="623">
        <f t="shared" si="455"/>
        <v>18172</v>
      </c>
      <c r="Q225" s="293">
        <f t="shared" ref="Q225:Q234" si="468">+P225*$X$1</f>
        <v>18172</v>
      </c>
      <c r="R225" s="623">
        <f t="shared" si="457"/>
        <v>18152</v>
      </c>
      <c r="S225" s="293">
        <f t="shared" ref="S225:S234" si="469">+R225*$X$1</f>
        <v>18152</v>
      </c>
      <c r="T225" s="104">
        <f t="shared" si="459"/>
        <v>18137</v>
      </c>
      <c r="U225" s="260">
        <f t="shared" ref="U225:U234" si="470">+T225*$X$1</f>
        <v>18137</v>
      </c>
      <c r="V225" s="104">
        <f t="shared" si="461"/>
        <v>18122</v>
      </c>
      <c r="W225" s="260">
        <f t="shared" ref="W225:W234" si="471">+V225*$X$1</f>
        <v>18122</v>
      </c>
      <c r="X225" s="652"/>
      <c r="Y225" s="658"/>
      <c r="Z225" s="658"/>
      <c r="AA225" s="654"/>
      <c r="AB225" s="197">
        <v>819</v>
      </c>
    </row>
    <row r="226" spans="1:34" ht="12.6" customHeight="1" x14ac:dyDescent="0.2">
      <c r="A226" s="18"/>
      <c r="B226" s="642" t="s">
        <v>726</v>
      </c>
      <c r="C226" s="643"/>
      <c r="D226" s="643"/>
      <c r="E226" s="643"/>
      <c r="F226" s="393">
        <f>4.7*X2</f>
        <v>4826.9000000000005</v>
      </c>
      <c r="G226" s="294">
        <f>+F226*$X$1</f>
        <v>4826.9000000000005</v>
      </c>
      <c r="H226" s="493">
        <f t="shared" si="447"/>
        <v>5326.9000000000005</v>
      </c>
      <c r="I226" s="294">
        <f t="shared" si="464"/>
        <v>5326.9000000000005</v>
      </c>
      <c r="J226" s="493">
        <f t="shared" si="449"/>
        <v>5046.9000000000005</v>
      </c>
      <c r="K226" s="294">
        <f t="shared" si="465"/>
        <v>5046.9000000000005</v>
      </c>
      <c r="L226" s="493">
        <f t="shared" si="451"/>
        <v>4996.9000000000005</v>
      </c>
      <c r="M226" s="294">
        <f t="shared" si="466"/>
        <v>4996.9000000000005</v>
      </c>
      <c r="N226" s="493">
        <f t="shared" si="453"/>
        <v>4971.9000000000005</v>
      </c>
      <c r="O226" s="294">
        <f t="shared" si="467"/>
        <v>4971.9000000000005</v>
      </c>
      <c r="P226" s="493">
        <f t="shared" si="455"/>
        <v>4956.9000000000005</v>
      </c>
      <c r="Q226" s="294">
        <f t="shared" si="468"/>
        <v>4956.9000000000005</v>
      </c>
      <c r="R226" s="493">
        <f t="shared" si="457"/>
        <v>4936.9000000000005</v>
      </c>
      <c r="S226" s="294">
        <f t="shared" si="469"/>
        <v>4936.9000000000005</v>
      </c>
      <c r="T226" s="103">
        <f t="shared" si="459"/>
        <v>4921.9000000000005</v>
      </c>
      <c r="U226" s="313">
        <f t="shared" si="470"/>
        <v>4921.9000000000005</v>
      </c>
      <c r="V226" s="103">
        <f t="shared" si="461"/>
        <v>4906.9000000000005</v>
      </c>
      <c r="W226" s="313">
        <f t="shared" si="471"/>
        <v>4906.9000000000005</v>
      </c>
      <c r="X226" s="652"/>
      <c r="Y226" s="658"/>
      <c r="Z226" s="658"/>
      <c r="AA226" s="654"/>
      <c r="AB226" s="197">
        <v>821</v>
      </c>
    </row>
    <row r="227" spans="1:34" ht="12.6" customHeight="1" x14ac:dyDescent="0.2">
      <c r="A227" s="18"/>
      <c r="B227" s="637" t="s">
        <v>928</v>
      </c>
      <c r="C227" s="638"/>
      <c r="D227" s="638"/>
      <c r="E227" s="638"/>
      <c r="F227" s="392">
        <f>12*X2</f>
        <v>12324</v>
      </c>
      <c r="G227" s="293">
        <f t="shared" ref="G227:G234" si="472">+F227*$X$1</f>
        <v>12324</v>
      </c>
      <c r="H227" s="623">
        <f t="shared" si="447"/>
        <v>12824</v>
      </c>
      <c r="I227" s="293">
        <f t="shared" si="464"/>
        <v>12824</v>
      </c>
      <c r="J227" s="623">
        <f t="shared" si="449"/>
        <v>12544</v>
      </c>
      <c r="K227" s="293">
        <f t="shared" si="465"/>
        <v>12544</v>
      </c>
      <c r="L227" s="623">
        <f t="shared" si="451"/>
        <v>12494</v>
      </c>
      <c r="M227" s="293">
        <f t="shared" si="466"/>
        <v>12494</v>
      </c>
      <c r="N227" s="623">
        <f t="shared" si="453"/>
        <v>12469</v>
      </c>
      <c r="O227" s="293">
        <f t="shared" si="467"/>
        <v>12469</v>
      </c>
      <c r="P227" s="623">
        <f t="shared" si="455"/>
        <v>12454</v>
      </c>
      <c r="Q227" s="293">
        <f t="shared" si="468"/>
        <v>12454</v>
      </c>
      <c r="R227" s="623">
        <f t="shared" si="457"/>
        <v>12434</v>
      </c>
      <c r="S227" s="293">
        <f t="shared" si="469"/>
        <v>12434</v>
      </c>
      <c r="T227" s="104">
        <f t="shared" si="459"/>
        <v>12419</v>
      </c>
      <c r="U227" s="260">
        <f t="shared" si="470"/>
        <v>12419</v>
      </c>
      <c r="V227" s="104">
        <f t="shared" si="461"/>
        <v>12404</v>
      </c>
      <c r="W227" s="260">
        <f t="shared" si="471"/>
        <v>12404</v>
      </c>
      <c r="X227" s="652"/>
      <c r="Y227" s="658"/>
      <c r="Z227" s="658"/>
      <c r="AA227" s="654"/>
      <c r="AB227" s="197">
        <v>822</v>
      </c>
    </row>
    <row r="228" spans="1:34" ht="12.6" customHeight="1" x14ac:dyDescent="0.2">
      <c r="A228" s="18"/>
      <c r="B228" s="642" t="s">
        <v>530</v>
      </c>
      <c r="C228" s="643"/>
      <c r="D228" s="643"/>
      <c r="E228" s="643"/>
      <c r="F228" s="339">
        <v>15132</v>
      </c>
      <c r="G228" s="294">
        <f>+F228*$X$1</f>
        <v>15132</v>
      </c>
      <c r="H228" s="493">
        <f>F228+500</f>
        <v>15632</v>
      </c>
      <c r="I228" s="294">
        <f>+H228*$X$1</f>
        <v>15632</v>
      </c>
      <c r="J228" s="493">
        <f>F228+220</f>
        <v>15352</v>
      </c>
      <c r="K228" s="294">
        <f>+J228*$X$1</f>
        <v>15352</v>
      </c>
      <c r="L228" s="493">
        <f>F228+170</f>
        <v>15302</v>
      </c>
      <c r="M228" s="294">
        <f>+L228*$X$1</f>
        <v>15302</v>
      </c>
      <c r="N228" s="493">
        <f>F228+145</f>
        <v>15277</v>
      </c>
      <c r="O228" s="294">
        <f>+N228*$X$1</f>
        <v>15277</v>
      </c>
      <c r="P228" s="493">
        <f>F228+130</f>
        <v>15262</v>
      </c>
      <c r="Q228" s="294">
        <f>+P228*$X$1</f>
        <v>15262</v>
      </c>
      <c r="R228" s="493">
        <f>F228+110</f>
        <v>15242</v>
      </c>
      <c r="S228" s="294">
        <f>+R228*$X$1</f>
        <v>15242</v>
      </c>
      <c r="T228" s="103">
        <f>F228+95</f>
        <v>15227</v>
      </c>
      <c r="U228" s="313">
        <f>+T228*$X$1</f>
        <v>15227</v>
      </c>
      <c r="V228" s="103">
        <f>F228+80</f>
        <v>15212</v>
      </c>
      <c r="W228" s="313">
        <f>+V228*$X$1</f>
        <v>15212</v>
      </c>
      <c r="X228" s="652"/>
      <c r="Y228" s="658"/>
      <c r="Z228" s="658"/>
      <c r="AA228" s="654"/>
      <c r="AB228" s="197">
        <v>823</v>
      </c>
    </row>
    <row r="229" spans="1:34" ht="12.6" customHeight="1" x14ac:dyDescent="0.2">
      <c r="A229" s="18"/>
      <c r="B229" s="637" t="s">
        <v>941</v>
      </c>
      <c r="C229" s="638"/>
      <c r="D229" s="638"/>
      <c r="E229" s="638"/>
      <c r="F229" s="392">
        <f>3.45*X2</f>
        <v>3543.15</v>
      </c>
      <c r="G229" s="293">
        <f t="shared" ref="G229" si="473">+F229*$X$1</f>
        <v>3543.15</v>
      </c>
      <c r="H229" s="623">
        <f t="shared" ref="H229" si="474">F229+500</f>
        <v>4043.15</v>
      </c>
      <c r="I229" s="293">
        <f t="shared" ref="I229" si="475">+H229*$X$1</f>
        <v>4043.15</v>
      </c>
      <c r="J229" s="623">
        <f t="shared" ref="J229" si="476">F229+220</f>
        <v>3763.15</v>
      </c>
      <c r="K229" s="293">
        <f t="shared" ref="K229" si="477">+J229*$X$1</f>
        <v>3763.15</v>
      </c>
      <c r="L229" s="623">
        <f t="shared" ref="L229" si="478">F229+170</f>
        <v>3713.15</v>
      </c>
      <c r="M229" s="293">
        <f t="shared" ref="M229" si="479">+L229*$X$1</f>
        <v>3713.15</v>
      </c>
      <c r="N229" s="623">
        <f t="shared" ref="N229" si="480">F229+145</f>
        <v>3688.15</v>
      </c>
      <c r="O229" s="293">
        <f t="shared" ref="O229" si="481">+N229*$X$1</f>
        <v>3688.15</v>
      </c>
      <c r="P229" s="623">
        <f t="shared" ref="P229" si="482">F229+130</f>
        <v>3673.15</v>
      </c>
      <c r="Q229" s="293">
        <f t="shared" ref="Q229" si="483">+P229*$X$1</f>
        <v>3673.15</v>
      </c>
      <c r="R229" s="623">
        <f t="shared" ref="R229" si="484">F229+110</f>
        <v>3653.15</v>
      </c>
      <c r="S229" s="293">
        <f t="shared" ref="S229" si="485">+R229*$X$1</f>
        <v>3653.15</v>
      </c>
      <c r="T229" s="104">
        <f t="shared" ref="T229" si="486">F229+95</f>
        <v>3638.15</v>
      </c>
      <c r="U229" s="260">
        <f t="shared" ref="U229" si="487">+T229*$X$1</f>
        <v>3638.15</v>
      </c>
      <c r="V229" s="104">
        <f t="shared" ref="V229" si="488">F229+80</f>
        <v>3623.15</v>
      </c>
      <c r="W229" s="260">
        <f t="shared" ref="W229" si="489">+V229*$X$1</f>
        <v>3623.15</v>
      </c>
      <c r="X229" s="652"/>
      <c r="Y229" s="658"/>
      <c r="Z229" s="658"/>
      <c r="AA229" s="654"/>
      <c r="AB229" s="197">
        <v>824</v>
      </c>
    </row>
    <row r="230" spans="1:34" ht="12.6" customHeight="1" x14ac:dyDescent="0.2">
      <c r="A230" s="18"/>
      <c r="B230" s="642" t="s">
        <v>870</v>
      </c>
      <c r="C230" s="643"/>
      <c r="D230" s="643"/>
      <c r="E230" s="643"/>
      <c r="F230" s="393">
        <f>3.4*X2</f>
        <v>3491.7999999999997</v>
      </c>
      <c r="G230" s="294">
        <f>+F230*$X$1</f>
        <v>3491.7999999999997</v>
      </c>
      <c r="H230" s="493">
        <f t="shared" si="447"/>
        <v>3991.7999999999997</v>
      </c>
      <c r="I230" s="294">
        <f t="shared" si="464"/>
        <v>3991.7999999999997</v>
      </c>
      <c r="J230" s="493">
        <f t="shared" si="449"/>
        <v>3711.7999999999997</v>
      </c>
      <c r="K230" s="294">
        <f t="shared" si="465"/>
        <v>3711.7999999999997</v>
      </c>
      <c r="L230" s="493">
        <f t="shared" si="451"/>
        <v>3661.7999999999997</v>
      </c>
      <c r="M230" s="294">
        <f t="shared" si="466"/>
        <v>3661.7999999999997</v>
      </c>
      <c r="N230" s="493">
        <f t="shared" si="453"/>
        <v>3636.7999999999997</v>
      </c>
      <c r="O230" s="294">
        <f t="shared" si="467"/>
        <v>3636.7999999999997</v>
      </c>
      <c r="P230" s="493">
        <f t="shared" si="455"/>
        <v>3621.7999999999997</v>
      </c>
      <c r="Q230" s="294">
        <f t="shared" si="468"/>
        <v>3621.7999999999997</v>
      </c>
      <c r="R230" s="493">
        <f t="shared" si="457"/>
        <v>3601.7999999999997</v>
      </c>
      <c r="S230" s="294">
        <f t="shared" si="469"/>
        <v>3601.7999999999997</v>
      </c>
      <c r="T230" s="103">
        <f t="shared" si="459"/>
        <v>3586.7999999999997</v>
      </c>
      <c r="U230" s="313">
        <f t="shared" si="470"/>
        <v>3586.7999999999997</v>
      </c>
      <c r="V230" s="103">
        <f t="shared" si="461"/>
        <v>3571.7999999999997</v>
      </c>
      <c r="W230" s="313">
        <f t="shared" si="471"/>
        <v>3571.7999999999997</v>
      </c>
      <c r="X230" s="652"/>
      <c r="Y230" s="658"/>
      <c r="Z230" s="658"/>
      <c r="AA230" s="654"/>
      <c r="AB230" s="197">
        <v>825</v>
      </c>
    </row>
    <row r="231" spans="1:34" ht="12.6" customHeight="1" x14ac:dyDescent="0.2">
      <c r="A231" s="18"/>
      <c r="B231" s="644" t="s">
        <v>721</v>
      </c>
      <c r="C231" s="645"/>
      <c r="D231" s="645"/>
      <c r="E231" s="645"/>
      <c r="F231" s="392">
        <f>7.52*X2</f>
        <v>7723.04</v>
      </c>
      <c r="G231" s="293">
        <f>+F231*$X$1</f>
        <v>7723.04</v>
      </c>
      <c r="H231" s="623">
        <f t="shared" si="447"/>
        <v>8223.0400000000009</v>
      </c>
      <c r="I231" s="293">
        <f t="shared" si="464"/>
        <v>8223.0400000000009</v>
      </c>
      <c r="J231" s="623">
        <f t="shared" si="449"/>
        <v>7943.04</v>
      </c>
      <c r="K231" s="293">
        <f t="shared" si="465"/>
        <v>7943.04</v>
      </c>
      <c r="L231" s="623">
        <f t="shared" si="451"/>
        <v>7893.04</v>
      </c>
      <c r="M231" s="293">
        <f t="shared" si="466"/>
        <v>7893.04</v>
      </c>
      <c r="N231" s="623">
        <f t="shared" si="453"/>
        <v>7868.04</v>
      </c>
      <c r="O231" s="293">
        <f t="shared" si="467"/>
        <v>7868.04</v>
      </c>
      <c r="P231" s="623">
        <f t="shared" si="455"/>
        <v>7853.04</v>
      </c>
      <c r="Q231" s="293">
        <f t="shared" si="468"/>
        <v>7853.04</v>
      </c>
      <c r="R231" s="623">
        <f t="shared" si="457"/>
        <v>7833.04</v>
      </c>
      <c r="S231" s="293">
        <f t="shared" si="469"/>
        <v>7833.04</v>
      </c>
      <c r="T231" s="104">
        <f t="shared" si="459"/>
        <v>7818.04</v>
      </c>
      <c r="U231" s="260">
        <f t="shared" si="470"/>
        <v>7818.04</v>
      </c>
      <c r="V231" s="104">
        <f t="shared" si="461"/>
        <v>7803.04</v>
      </c>
      <c r="W231" s="260">
        <f t="shared" si="471"/>
        <v>7803.04</v>
      </c>
      <c r="X231" s="652"/>
      <c r="Y231" s="658"/>
      <c r="Z231" s="658"/>
      <c r="AA231" s="654"/>
      <c r="AB231" s="197">
        <v>826</v>
      </c>
    </row>
    <row r="232" spans="1:34" ht="12.6" customHeight="1" x14ac:dyDescent="0.2">
      <c r="A232" s="18"/>
      <c r="B232" s="763" t="s">
        <v>905</v>
      </c>
      <c r="C232" s="638"/>
      <c r="D232" s="638"/>
      <c r="E232" s="638"/>
      <c r="F232" s="393">
        <f>2.9*X2</f>
        <v>2978.2999999999997</v>
      </c>
      <c r="G232" s="294">
        <f t="shared" ref="G232" si="490">+F232*$X$1</f>
        <v>2978.2999999999997</v>
      </c>
      <c r="H232" s="493">
        <f t="shared" si="447"/>
        <v>3478.2999999999997</v>
      </c>
      <c r="I232" s="294">
        <f t="shared" si="464"/>
        <v>3478.2999999999997</v>
      </c>
      <c r="J232" s="493">
        <f t="shared" si="449"/>
        <v>3198.2999999999997</v>
      </c>
      <c r="K232" s="294">
        <f t="shared" si="465"/>
        <v>3198.2999999999997</v>
      </c>
      <c r="L232" s="493">
        <f t="shared" si="451"/>
        <v>3148.2999999999997</v>
      </c>
      <c r="M232" s="294">
        <f t="shared" si="466"/>
        <v>3148.2999999999997</v>
      </c>
      <c r="N232" s="493">
        <f t="shared" si="453"/>
        <v>3123.2999999999997</v>
      </c>
      <c r="O232" s="294">
        <f t="shared" si="467"/>
        <v>3123.2999999999997</v>
      </c>
      <c r="P232" s="493">
        <f t="shared" si="455"/>
        <v>3108.2999999999997</v>
      </c>
      <c r="Q232" s="294">
        <f t="shared" si="468"/>
        <v>3108.2999999999997</v>
      </c>
      <c r="R232" s="493">
        <f t="shared" si="457"/>
        <v>3088.2999999999997</v>
      </c>
      <c r="S232" s="294">
        <f t="shared" si="469"/>
        <v>3088.2999999999997</v>
      </c>
      <c r="T232" s="103">
        <f t="shared" si="459"/>
        <v>3073.2999999999997</v>
      </c>
      <c r="U232" s="313">
        <f t="shared" si="470"/>
        <v>3073.2999999999997</v>
      </c>
      <c r="V232" s="103">
        <f t="shared" si="461"/>
        <v>3058.2999999999997</v>
      </c>
      <c r="W232" s="313">
        <f t="shared" si="471"/>
        <v>3058.2999999999997</v>
      </c>
      <c r="X232" s="652"/>
      <c r="Y232" s="658"/>
      <c r="Z232" s="658"/>
      <c r="AA232" s="654"/>
      <c r="AB232" s="197">
        <v>827</v>
      </c>
    </row>
    <row r="233" spans="1:34" ht="12.6" customHeight="1" x14ac:dyDescent="0.2">
      <c r="A233" s="18"/>
      <c r="B233" s="644" t="s">
        <v>722</v>
      </c>
      <c r="C233" s="645"/>
      <c r="D233" s="645"/>
      <c r="E233" s="645"/>
      <c r="F233" s="392">
        <f>8.75*X2</f>
        <v>8986.25</v>
      </c>
      <c r="G233" s="293">
        <f>+F233*$X$1</f>
        <v>8986.25</v>
      </c>
      <c r="H233" s="623">
        <f t="shared" si="447"/>
        <v>9486.25</v>
      </c>
      <c r="I233" s="293">
        <f t="shared" si="464"/>
        <v>9486.25</v>
      </c>
      <c r="J233" s="623">
        <f t="shared" si="449"/>
        <v>9206.25</v>
      </c>
      <c r="K233" s="293">
        <f t="shared" si="465"/>
        <v>9206.25</v>
      </c>
      <c r="L233" s="623">
        <f t="shared" si="451"/>
        <v>9156.25</v>
      </c>
      <c r="M233" s="293">
        <f t="shared" si="466"/>
        <v>9156.25</v>
      </c>
      <c r="N233" s="623">
        <f t="shared" si="453"/>
        <v>9131.25</v>
      </c>
      <c r="O233" s="293">
        <f t="shared" si="467"/>
        <v>9131.25</v>
      </c>
      <c r="P233" s="623">
        <f t="shared" si="455"/>
        <v>9116.25</v>
      </c>
      <c r="Q233" s="293">
        <f t="shared" si="468"/>
        <v>9116.25</v>
      </c>
      <c r="R233" s="623">
        <f t="shared" si="457"/>
        <v>9096.25</v>
      </c>
      <c r="S233" s="293">
        <f t="shared" si="469"/>
        <v>9096.25</v>
      </c>
      <c r="T233" s="104">
        <f t="shared" si="459"/>
        <v>9081.25</v>
      </c>
      <c r="U233" s="260">
        <f t="shared" si="470"/>
        <v>9081.25</v>
      </c>
      <c r="V233" s="104">
        <f t="shared" si="461"/>
        <v>9066.25</v>
      </c>
      <c r="W233" s="260">
        <f t="shared" si="471"/>
        <v>9066.25</v>
      </c>
      <c r="X233" s="652"/>
      <c r="Y233" s="658"/>
      <c r="Z233" s="658"/>
      <c r="AA233" s="654"/>
      <c r="AB233" s="197">
        <v>828</v>
      </c>
    </row>
    <row r="234" spans="1:34" ht="12.6" customHeight="1" x14ac:dyDescent="0.2">
      <c r="A234" s="18"/>
      <c r="B234" s="642" t="s">
        <v>643</v>
      </c>
      <c r="C234" s="643"/>
      <c r="D234" s="643"/>
      <c r="E234" s="643"/>
      <c r="F234" s="393">
        <f>3.612*X2</f>
        <v>3709.5239999999999</v>
      </c>
      <c r="G234" s="294">
        <f t="shared" si="472"/>
        <v>3709.5239999999999</v>
      </c>
      <c r="H234" s="493">
        <f t="shared" si="447"/>
        <v>4209.5239999999994</v>
      </c>
      <c r="I234" s="294">
        <f t="shared" si="464"/>
        <v>4209.5239999999994</v>
      </c>
      <c r="J234" s="493">
        <f t="shared" si="449"/>
        <v>3929.5239999999999</v>
      </c>
      <c r="K234" s="294">
        <f t="shared" si="465"/>
        <v>3929.5239999999999</v>
      </c>
      <c r="L234" s="493">
        <f t="shared" si="451"/>
        <v>3879.5239999999999</v>
      </c>
      <c r="M234" s="294">
        <f t="shared" si="466"/>
        <v>3879.5239999999999</v>
      </c>
      <c r="N234" s="493">
        <f t="shared" si="453"/>
        <v>3854.5239999999999</v>
      </c>
      <c r="O234" s="294">
        <f t="shared" si="467"/>
        <v>3854.5239999999999</v>
      </c>
      <c r="P234" s="493">
        <f t="shared" si="455"/>
        <v>3839.5239999999999</v>
      </c>
      <c r="Q234" s="294">
        <f t="shared" si="468"/>
        <v>3839.5239999999999</v>
      </c>
      <c r="R234" s="493">
        <f t="shared" si="457"/>
        <v>3819.5239999999999</v>
      </c>
      <c r="S234" s="294">
        <f t="shared" si="469"/>
        <v>3819.5239999999999</v>
      </c>
      <c r="T234" s="103">
        <f t="shared" si="459"/>
        <v>3804.5239999999999</v>
      </c>
      <c r="U234" s="313">
        <f t="shared" si="470"/>
        <v>3804.5239999999999</v>
      </c>
      <c r="V234" s="103">
        <f t="shared" si="461"/>
        <v>3789.5239999999999</v>
      </c>
      <c r="W234" s="313">
        <f t="shared" si="471"/>
        <v>3789.5239999999999</v>
      </c>
      <c r="X234" s="652"/>
      <c r="Y234" s="658"/>
      <c r="Z234" s="658"/>
      <c r="AA234" s="654"/>
      <c r="AB234" s="197">
        <v>829</v>
      </c>
    </row>
    <row r="235" spans="1:34" ht="12" customHeight="1" x14ac:dyDescent="0.2">
      <c r="A235" s="18"/>
      <c r="B235" s="3"/>
      <c r="C235" s="3"/>
      <c r="D235" s="3"/>
      <c r="E235" s="3"/>
      <c r="F235" s="4"/>
      <c r="G235" s="4"/>
      <c r="H235" s="3"/>
      <c r="I235" s="3"/>
      <c r="J235" s="3"/>
      <c r="K235" s="171"/>
      <c r="L235" s="172"/>
      <c r="M235" s="172"/>
      <c r="N235" s="172"/>
      <c r="O235" s="172"/>
      <c r="P235" s="172"/>
      <c r="Q235" s="172"/>
      <c r="R235" s="172"/>
      <c r="S235" s="172"/>
      <c r="T235" s="172"/>
      <c r="U235" s="172"/>
      <c r="V235" s="172"/>
      <c r="W235" s="172"/>
      <c r="AB235" s="100"/>
    </row>
    <row r="236" spans="1:34" ht="12" customHeight="1" x14ac:dyDescent="0.2">
      <c r="A236" s="18"/>
      <c r="B236" s="3"/>
      <c r="C236" s="3"/>
      <c r="D236" s="3"/>
      <c r="E236" s="3"/>
      <c r="F236" s="4"/>
      <c r="G236" s="4"/>
      <c r="H236" s="3"/>
      <c r="I236" s="3"/>
      <c r="J236" s="3"/>
      <c r="K236" s="171"/>
      <c r="L236" s="172"/>
      <c r="M236" s="172"/>
      <c r="N236" s="172"/>
      <c r="O236" s="172"/>
      <c r="P236" s="172"/>
      <c r="Q236" s="172"/>
      <c r="R236" s="172"/>
      <c r="S236" s="172"/>
      <c r="T236" s="172"/>
      <c r="U236" s="172"/>
      <c r="V236" s="172"/>
      <c r="W236" s="172"/>
      <c r="AB236" s="4"/>
    </row>
    <row r="237" spans="1:34" ht="12.6" customHeight="1" x14ac:dyDescent="0.2">
      <c r="A237" s="18"/>
      <c r="B237" s="3"/>
      <c r="C237" s="3"/>
      <c r="D237" s="3"/>
      <c r="E237" s="76"/>
      <c r="F237" s="977"/>
      <c r="G237" s="977"/>
      <c r="H237" s="977"/>
      <c r="I237" s="977"/>
      <c r="J237" s="977"/>
      <c r="K237" s="281"/>
      <c r="L237" s="280"/>
      <c r="M237" s="280"/>
      <c r="N237" s="172"/>
      <c r="O237" s="172"/>
      <c r="P237" s="172"/>
      <c r="Q237" s="172"/>
      <c r="R237" s="172"/>
      <c r="S237" s="172"/>
      <c r="T237" s="172"/>
      <c r="U237" s="172"/>
      <c r="V237" s="172"/>
      <c r="W237" s="172"/>
      <c r="AB237" s="4"/>
    </row>
    <row r="238" spans="1:34" ht="15.75" customHeight="1" x14ac:dyDescent="0.2">
      <c r="A238" s="18"/>
      <c r="B238" s="1032" t="s">
        <v>11</v>
      </c>
      <c r="C238" s="886" t="s">
        <v>12</v>
      </c>
      <c r="D238" s="887"/>
      <c r="E238" s="887"/>
      <c r="F238" s="708" t="s">
        <v>13</v>
      </c>
      <c r="G238" s="708" t="s">
        <v>13</v>
      </c>
      <c r="H238" s="781" t="s">
        <v>838</v>
      </c>
      <c r="I238" s="781"/>
      <c r="J238" s="782"/>
      <c r="K238" s="782"/>
      <c r="L238" s="782"/>
      <c r="M238" s="782"/>
      <c r="N238" s="782"/>
      <c r="O238" s="782"/>
      <c r="P238" s="782"/>
      <c r="Q238" s="782"/>
      <c r="R238" s="782"/>
      <c r="S238" s="782"/>
      <c r="T238" s="782"/>
      <c r="U238" s="782"/>
      <c r="V238" s="782"/>
      <c r="W238" s="782"/>
      <c r="X238" s="771" t="s">
        <v>14</v>
      </c>
      <c r="Y238" s="772"/>
      <c r="Z238" s="772"/>
      <c r="AA238" s="773"/>
      <c r="AB238" s="779" t="s">
        <v>15</v>
      </c>
      <c r="AF238" s="777" t="s">
        <v>3</v>
      </c>
      <c r="AG238" s="778"/>
      <c r="AH238" s="778"/>
    </row>
    <row r="239" spans="1:34" ht="11.25" customHeight="1" x14ac:dyDescent="0.2">
      <c r="A239" s="18"/>
      <c r="B239" s="1032"/>
      <c r="C239" s="887"/>
      <c r="D239" s="887"/>
      <c r="E239" s="887"/>
      <c r="F239" s="709"/>
      <c r="G239" s="709"/>
      <c r="H239" s="518"/>
      <c r="I239" s="510" t="s">
        <v>295</v>
      </c>
      <c r="J239" s="512"/>
      <c r="K239" s="510" t="s">
        <v>17</v>
      </c>
      <c r="L239" s="513"/>
      <c r="M239" s="513" t="s">
        <v>18</v>
      </c>
      <c r="N239" s="513"/>
      <c r="O239" s="510" t="s">
        <v>19</v>
      </c>
      <c r="P239" s="513"/>
      <c r="Q239" s="513" t="s">
        <v>297</v>
      </c>
      <c r="R239" s="513"/>
      <c r="S239" s="513" t="s">
        <v>20</v>
      </c>
      <c r="T239" s="513"/>
      <c r="U239" s="513" t="s">
        <v>21</v>
      </c>
      <c r="V239" s="513"/>
      <c r="W239" s="513" t="s">
        <v>22</v>
      </c>
      <c r="X239" s="774"/>
      <c r="Y239" s="775"/>
      <c r="Z239" s="775"/>
      <c r="AA239" s="776"/>
      <c r="AB239" s="780"/>
    </row>
    <row r="240" spans="1:34" ht="12.6" customHeight="1" x14ac:dyDescent="0.2">
      <c r="A240" s="18"/>
      <c r="B240" s="644" t="s">
        <v>871</v>
      </c>
      <c r="C240" s="645"/>
      <c r="D240" s="645"/>
      <c r="E240" s="645"/>
      <c r="F240" s="392">
        <f>8.2*X2</f>
        <v>8421.4</v>
      </c>
      <c r="G240" s="293">
        <f>+F240*$X$1</f>
        <v>8421.4</v>
      </c>
      <c r="H240" s="636">
        <f>F240+500</f>
        <v>8921.4</v>
      </c>
      <c r="I240" s="293">
        <f>+H240*$X$1</f>
        <v>8921.4</v>
      </c>
      <c r="J240" s="636">
        <f>F240+220</f>
        <v>8641.4</v>
      </c>
      <c r="K240" s="293">
        <f>+J240*$X$1</f>
        <v>8641.4</v>
      </c>
      <c r="L240" s="636">
        <f>F240+170</f>
        <v>8591.4</v>
      </c>
      <c r="M240" s="293">
        <f>+L240*$X$1</f>
        <v>8591.4</v>
      </c>
      <c r="N240" s="636">
        <f>F240+145</f>
        <v>8566.4</v>
      </c>
      <c r="O240" s="293">
        <f>+N240*$X$1</f>
        <v>8566.4</v>
      </c>
      <c r="P240" s="636">
        <f>F240+130</f>
        <v>8551.4</v>
      </c>
      <c r="Q240" s="293">
        <f>+P240*$X$1</f>
        <v>8551.4</v>
      </c>
      <c r="R240" s="636">
        <f>F240+110</f>
        <v>8531.4</v>
      </c>
      <c r="S240" s="293">
        <f>+R240*$X$1</f>
        <v>8531.4</v>
      </c>
      <c r="T240" s="104">
        <f>F240+95</f>
        <v>8516.4</v>
      </c>
      <c r="U240" s="260">
        <f>+T240*$X$1</f>
        <v>8516.4</v>
      </c>
      <c r="V240" s="104">
        <f>F240+80</f>
        <v>8501.4</v>
      </c>
      <c r="W240" s="260">
        <f>+V240*$X$1</f>
        <v>8501.4</v>
      </c>
      <c r="X240" s="652"/>
      <c r="Y240" s="658"/>
      <c r="Z240" s="658"/>
      <c r="AA240" s="654"/>
      <c r="AB240" s="197">
        <v>831</v>
      </c>
    </row>
    <row r="241" spans="1:28" ht="12.6" customHeight="1" x14ac:dyDescent="0.2">
      <c r="A241" s="18"/>
      <c r="B241" s="637" t="s">
        <v>929</v>
      </c>
      <c r="C241" s="638"/>
      <c r="D241" s="638"/>
      <c r="E241" s="638"/>
      <c r="F241" s="393">
        <f>2.96*X2</f>
        <v>3039.92</v>
      </c>
      <c r="G241" s="294">
        <f t="shared" ref="G241" si="491">+F241*$X$1</f>
        <v>3039.92</v>
      </c>
      <c r="H241" s="493">
        <f>F241+500</f>
        <v>3539.92</v>
      </c>
      <c r="I241" s="294">
        <f>+H241*$X$1</f>
        <v>3539.92</v>
      </c>
      <c r="J241" s="493">
        <f>F241+220</f>
        <v>3259.92</v>
      </c>
      <c r="K241" s="294">
        <f>+J241*$X$1</f>
        <v>3259.92</v>
      </c>
      <c r="L241" s="493">
        <f>F241+170</f>
        <v>3209.92</v>
      </c>
      <c r="M241" s="294">
        <f>+L241*$X$1</f>
        <v>3209.92</v>
      </c>
      <c r="N241" s="493">
        <f>F241+145</f>
        <v>3184.92</v>
      </c>
      <c r="O241" s="294">
        <f>+N241*$X$1</f>
        <v>3184.92</v>
      </c>
      <c r="P241" s="493">
        <f>F241+130</f>
        <v>3169.92</v>
      </c>
      <c r="Q241" s="294">
        <f>+P241*$X$1</f>
        <v>3169.92</v>
      </c>
      <c r="R241" s="493">
        <f>F241+110</f>
        <v>3149.92</v>
      </c>
      <c r="S241" s="294">
        <f>+R241*$X$1</f>
        <v>3149.92</v>
      </c>
      <c r="T241" s="103">
        <f>F241+95</f>
        <v>3134.92</v>
      </c>
      <c r="U241" s="313">
        <f>+T241*$X$1</f>
        <v>3134.92</v>
      </c>
      <c r="V241" s="103">
        <f>F241+80</f>
        <v>3119.92</v>
      </c>
      <c r="W241" s="313">
        <f>+V241*$X$1</f>
        <v>3119.92</v>
      </c>
      <c r="X241" s="652"/>
      <c r="Y241" s="658"/>
      <c r="Z241" s="658"/>
      <c r="AA241" s="654"/>
      <c r="AB241" s="197">
        <v>832</v>
      </c>
    </row>
    <row r="242" spans="1:28" ht="12.6" customHeight="1" x14ac:dyDescent="0.2">
      <c r="A242" s="18"/>
      <c r="B242" s="644" t="s">
        <v>585</v>
      </c>
      <c r="C242" s="645"/>
      <c r="D242" s="645"/>
      <c r="E242" s="645"/>
      <c r="F242" s="392">
        <f>11.8*X2</f>
        <v>12118.6</v>
      </c>
      <c r="G242" s="293">
        <f t="shared" ref="G242" si="492">+F242*$X$1</f>
        <v>12118.6</v>
      </c>
      <c r="H242" s="636">
        <f>F242+500</f>
        <v>12618.6</v>
      </c>
      <c r="I242" s="293">
        <f>+H242*$X$1</f>
        <v>12618.6</v>
      </c>
      <c r="J242" s="636">
        <f>F242+220</f>
        <v>12338.6</v>
      </c>
      <c r="K242" s="293">
        <f>+J242*$X$1</f>
        <v>12338.6</v>
      </c>
      <c r="L242" s="636">
        <f>F242+170</f>
        <v>12288.6</v>
      </c>
      <c r="M242" s="293">
        <f>+L242*$X$1</f>
        <v>12288.6</v>
      </c>
      <c r="N242" s="636">
        <f>F242+145</f>
        <v>12263.6</v>
      </c>
      <c r="O242" s="293">
        <f>+N242*$X$1</f>
        <v>12263.6</v>
      </c>
      <c r="P242" s="636">
        <f>F242+130</f>
        <v>12248.6</v>
      </c>
      <c r="Q242" s="293">
        <f>+P242*$X$1</f>
        <v>12248.6</v>
      </c>
      <c r="R242" s="636">
        <f>F242+110</f>
        <v>12228.6</v>
      </c>
      <c r="S242" s="293">
        <f>+R242*$X$1</f>
        <v>12228.6</v>
      </c>
      <c r="T242" s="104">
        <f>F242+95</f>
        <v>12213.6</v>
      </c>
      <c r="U242" s="260">
        <f>+T242*$X$1</f>
        <v>12213.6</v>
      </c>
      <c r="V242" s="104">
        <f>F242+80</f>
        <v>12198.6</v>
      </c>
      <c r="W242" s="260">
        <f>+V242*$X$1</f>
        <v>12198.6</v>
      </c>
      <c r="X242" s="652"/>
      <c r="Y242" s="658"/>
      <c r="Z242" s="658"/>
      <c r="AA242" s="654"/>
      <c r="AB242" s="197">
        <v>833</v>
      </c>
    </row>
    <row r="243" spans="1:28" ht="12.6" customHeight="1" x14ac:dyDescent="0.2">
      <c r="A243" s="18"/>
      <c r="B243" s="642" t="s">
        <v>639</v>
      </c>
      <c r="C243" s="643"/>
      <c r="D243" s="643"/>
      <c r="E243" s="643"/>
      <c r="F243" s="393">
        <f>7.75*X2</f>
        <v>7959.25</v>
      </c>
      <c r="G243" s="294">
        <f t="shared" ref="G243" si="493">+F243*$X$1</f>
        <v>7959.25</v>
      </c>
      <c r="H243" s="493">
        <f t="shared" ref="H243:H251" si="494">F243+500</f>
        <v>8459.25</v>
      </c>
      <c r="I243" s="294">
        <f t="shared" ref="I243:I251" si="495">+H243*$X$1</f>
        <v>8459.25</v>
      </c>
      <c r="J243" s="493">
        <f t="shared" ref="J243:J251" si="496">F243+220</f>
        <v>8179.25</v>
      </c>
      <c r="K243" s="294">
        <f t="shared" ref="K243:K251" si="497">+J243*$X$1</f>
        <v>8179.25</v>
      </c>
      <c r="L243" s="493">
        <f t="shared" ref="L243:L251" si="498">F243+170</f>
        <v>8129.25</v>
      </c>
      <c r="M243" s="294">
        <f t="shared" ref="M243:M251" si="499">+L243*$X$1</f>
        <v>8129.25</v>
      </c>
      <c r="N243" s="493">
        <f t="shared" ref="N243:N251" si="500">F243+145</f>
        <v>8104.25</v>
      </c>
      <c r="O243" s="294">
        <f t="shared" ref="O243:O251" si="501">+N243*$X$1</f>
        <v>8104.25</v>
      </c>
      <c r="P243" s="493">
        <f t="shared" ref="P243:P251" si="502">F243+130</f>
        <v>8089.25</v>
      </c>
      <c r="Q243" s="294">
        <f t="shared" ref="Q243:Q251" si="503">+P243*$X$1</f>
        <v>8089.25</v>
      </c>
      <c r="R243" s="493">
        <f t="shared" ref="R243:R251" si="504">F243+110</f>
        <v>8069.25</v>
      </c>
      <c r="S243" s="294">
        <f t="shared" ref="S243:S251" si="505">+R243*$X$1</f>
        <v>8069.25</v>
      </c>
      <c r="T243" s="103">
        <f t="shared" ref="T243:T251" si="506">F243+95</f>
        <v>8054.25</v>
      </c>
      <c r="U243" s="313">
        <f t="shared" ref="U243:U251" si="507">+T243*$X$1</f>
        <v>8054.25</v>
      </c>
      <c r="V243" s="103">
        <f t="shared" ref="V243:V251" si="508">F243+80</f>
        <v>8039.25</v>
      </c>
      <c r="W243" s="313">
        <f t="shared" ref="W243:W251" si="509">+V243*$X$1</f>
        <v>8039.25</v>
      </c>
      <c r="X243" s="652"/>
      <c r="Y243" s="658"/>
      <c r="Z243" s="658"/>
      <c r="AA243" s="654"/>
      <c r="AB243" s="197">
        <v>834</v>
      </c>
    </row>
    <row r="244" spans="1:28" ht="12.6" customHeight="1" x14ac:dyDescent="0.2">
      <c r="A244" s="18"/>
      <c r="B244" s="644" t="s">
        <v>641</v>
      </c>
      <c r="C244" s="645"/>
      <c r="D244" s="645"/>
      <c r="E244" s="645"/>
      <c r="F244" s="392">
        <f>7.2*X2</f>
        <v>7394.4000000000005</v>
      </c>
      <c r="G244" s="293">
        <f>+F244*$X$1</f>
        <v>7394.4000000000005</v>
      </c>
      <c r="H244" s="636">
        <f t="shared" si="494"/>
        <v>7894.4000000000005</v>
      </c>
      <c r="I244" s="293">
        <f t="shared" si="495"/>
        <v>7894.4000000000005</v>
      </c>
      <c r="J244" s="636">
        <f t="shared" si="496"/>
        <v>7614.4000000000005</v>
      </c>
      <c r="K244" s="293">
        <f t="shared" si="497"/>
        <v>7614.4000000000005</v>
      </c>
      <c r="L244" s="636">
        <f t="shared" si="498"/>
        <v>7564.4000000000005</v>
      </c>
      <c r="M244" s="293">
        <f t="shared" si="499"/>
        <v>7564.4000000000005</v>
      </c>
      <c r="N244" s="636">
        <f t="shared" si="500"/>
        <v>7539.4000000000005</v>
      </c>
      <c r="O244" s="293">
        <f t="shared" si="501"/>
        <v>7539.4000000000005</v>
      </c>
      <c r="P244" s="636">
        <f t="shared" si="502"/>
        <v>7524.4000000000005</v>
      </c>
      <c r="Q244" s="293">
        <f t="shared" si="503"/>
        <v>7524.4000000000005</v>
      </c>
      <c r="R244" s="636">
        <f t="shared" si="504"/>
        <v>7504.4000000000005</v>
      </c>
      <c r="S244" s="293">
        <f t="shared" si="505"/>
        <v>7504.4000000000005</v>
      </c>
      <c r="T244" s="104">
        <f t="shared" si="506"/>
        <v>7489.4000000000005</v>
      </c>
      <c r="U244" s="260">
        <f t="shared" si="507"/>
        <v>7489.4000000000005</v>
      </c>
      <c r="V244" s="104">
        <f t="shared" si="508"/>
        <v>7474.4000000000005</v>
      </c>
      <c r="W244" s="260">
        <f t="shared" si="509"/>
        <v>7474.4000000000005</v>
      </c>
      <c r="X244" s="652"/>
      <c r="Y244" s="658"/>
      <c r="Z244" s="658"/>
      <c r="AA244" s="654"/>
      <c r="AB244" s="197">
        <v>836</v>
      </c>
    </row>
    <row r="245" spans="1:28" ht="12.6" customHeight="1" x14ac:dyDescent="0.2">
      <c r="A245" s="18"/>
      <c r="B245" s="763" t="s">
        <v>895</v>
      </c>
      <c r="C245" s="638"/>
      <c r="D245" s="638"/>
      <c r="E245" s="638"/>
      <c r="F245" s="393">
        <f>4.8*X2</f>
        <v>4929.5999999999995</v>
      </c>
      <c r="G245" s="294">
        <f t="shared" ref="G245" si="510">+F245*$X$1</f>
        <v>4929.5999999999995</v>
      </c>
      <c r="H245" s="493">
        <f t="shared" si="494"/>
        <v>5429.5999999999995</v>
      </c>
      <c r="I245" s="294">
        <f t="shared" si="495"/>
        <v>5429.5999999999995</v>
      </c>
      <c r="J245" s="493">
        <f t="shared" si="496"/>
        <v>5149.5999999999995</v>
      </c>
      <c r="K245" s="294">
        <f t="shared" si="497"/>
        <v>5149.5999999999995</v>
      </c>
      <c r="L245" s="493">
        <f t="shared" si="498"/>
        <v>5099.5999999999995</v>
      </c>
      <c r="M245" s="294">
        <f t="shared" si="499"/>
        <v>5099.5999999999995</v>
      </c>
      <c r="N245" s="493">
        <f t="shared" si="500"/>
        <v>5074.5999999999995</v>
      </c>
      <c r="O245" s="294">
        <f t="shared" si="501"/>
        <v>5074.5999999999995</v>
      </c>
      <c r="P245" s="493">
        <f t="shared" si="502"/>
        <v>5059.5999999999995</v>
      </c>
      <c r="Q245" s="294">
        <f t="shared" si="503"/>
        <v>5059.5999999999995</v>
      </c>
      <c r="R245" s="493">
        <f t="shared" si="504"/>
        <v>5039.5999999999995</v>
      </c>
      <c r="S245" s="294">
        <f t="shared" si="505"/>
        <v>5039.5999999999995</v>
      </c>
      <c r="T245" s="103">
        <f t="shared" si="506"/>
        <v>5024.5999999999995</v>
      </c>
      <c r="U245" s="313">
        <f t="shared" si="507"/>
        <v>5024.5999999999995</v>
      </c>
      <c r="V245" s="103">
        <f t="shared" si="508"/>
        <v>5009.5999999999995</v>
      </c>
      <c r="W245" s="313">
        <f t="shared" si="509"/>
        <v>5009.5999999999995</v>
      </c>
      <c r="X245" s="652"/>
      <c r="Y245" s="658"/>
      <c r="Z245" s="658"/>
      <c r="AA245" s="654"/>
      <c r="AB245" s="197">
        <v>837</v>
      </c>
    </row>
    <row r="246" spans="1:28" ht="12.6" customHeight="1" x14ac:dyDescent="0.2">
      <c r="A246" s="18"/>
      <c r="B246" s="692" t="s">
        <v>511</v>
      </c>
      <c r="C246" s="789"/>
      <c r="D246" s="789"/>
      <c r="E246" s="789"/>
      <c r="F246" s="397">
        <f>7.6*X2</f>
        <v>7805.2</v>
      </c>
      <c r="G246" s="314">
        <f>+F246*$X$1</f>
        <v>7805.2</v>
      </c>
      <c r="H246" s="636">
        <f t="shared" si="494"/>
        <v>8305.2000000000007</v>
      </c>
      <c r="I246" s="293">
        <f t="shared" si="495"/>
        <v>8305.2000000000007</v>
      </c>
      <c r="J246" s="636">
        <f t="shared" si="496"/>
        <v>8025.2</v>
      </c>
      <c r="K246" s="293">
        <f t="shared" si="497"/>
        <v>8025.2</v>
      </c>
      <c r="L246" s="636">
        <f t="shared" si="498"/>
        <v>7975.2</v>
      </c>
      <c r="M246" s="293">
        <f t="shared" si="499"/>
        <v>7975.2</v>
      </c>
      <c r="N246" s="636">
        <f t="shared" si="500"/>
        <v>7950.2</v>
      </c>
      <c r="O246" s="293">
        <f t="shared" si="501"/>
        <v>7950.2</v>
      </c>
      <c r="P246" s="636">
        <f t="shared" si="502"/>
        <v>7935.2</v>
      </c>
      <c r="Q246" s="293">
        <f t="shared" si="503"/>
        <v>7935.2</v>
      </c>
      <c r="R246" s="636">
        <f t="shared" si="504"/>
        <v>7915.2</v>
      </c>
      <c r="S246" s="293">
        <f t="shared" si="505"/>
        <v>7915.2</v>
      </c>
      <c r="T246" s="104">
        <f t="shared" si="506"/>
        <v>7900.2</v>
      </c>
      <c r="U246" s="260">
        <f t="shared" si="507"/>
        <v>7900.2</v>
      </c>
      <c r="V246" s="104">
        <f t="shared" si="508"/>
        <v>7885.2</v>
      </c>
      <c r="W246" s="260">
        <f t="shared" si="509"/>
        <v>7885.2</v>
      </c>
      <c r="X246" s="652"/>
      <c r="Y246" s="658"/>
      <c r="Z246" s="658"/>
      <c r="AA246" s="654"/>
      <c r="AB246" s="421">
        <v>916</v>
      </c>
    </row>
    <row r="247" spans="1:28" ht="12.6" customHeight="1" x14ac:dyDescent="0.2">
      <c r="A247" s="18"/>
      <c r="B247" s="642" t="s">
        <v>823</v>
      </c>
      <c r="C247" s="643"/>
      <c r="D247" s="643"/>
      <c r="E247" s="643"/>
      <c r="F247" s="393">
        <f>6.4*X2</f>
        <v>6572.8</v>
      </c>
      <c r="G247" s="294">
        <f>+F247*$X$1</f>
        <v>6572.8</v>
      </c>
      <c r="H247" s="493">
        <f t="shared" si="494"/>
        <v>7072.8</v>
      </c>
      <c r="I247" s="294">
        <f t="shared" si="495"/>
        <v>7072.8</v>
      </c>
      <c r="J247" s="493">
        <f t="shared" si="496"/>
        <v>6792.8</v>
      </c>
      <c r="K247" s="294">
        <f t="shared" si="497"/>
        <v>6792.8</v>
      </c>
      <c r="L247" s="493">
        <f t="shared" si="498"/>
        <v>6742.8</v>
      </c>
      <c r="M247" s="294">
        <f t="shared" si="499"/>
        <v>6742.8</v>
      </c>
      <c r="N247" s="493">
        <f t="shared" si="500"/>
        <v>6717.8</v>
      </c>
      <c r="O247" s="294">
        <f t="shared" si="501"/>
        <v>6717.8</v>
      </c>
      <c r="P247" s="493">
        <f t="shared" si="502"/>
        <v>6702.8</v>
      </c>
      <c r="Q247" s="294">
        <f t="shared" si="503"/>
        <v>6702.8</v>
      </c>
      <c r="R247" s="493">
        <f t="shared" si="504"/>
        <v>6682.8</v>
      </c>
      <c r="S247" s="294">
        <f t="shared" si="505"/>
        <v>6682.8</v>
      </c>
      <c r="T247" s="103">
        <f t="shared" si="506"/>
        <v>6667.8</v>
      </c>
      <c r="U247" s="313">
        <f t="shared" si="507"/>
        <v>6667.8</v>
      </c>
      <c r="V247" s="103">
        <f t="shared" si="508"/>
        <v>6652.8</v>
      </c>
      <c r="W247" s="313">
        <f t="shared" si="509"/>
        <v>6652.8</v>
      </c>
      <c r="X247" s="652"/>
      <c r="Y247" s="658"/>
      <c r="Z247" s="658"/>
      <c r="AA247" s="654"/>
      <c r="AB247" s="197">
        <v>917</v>
      </c>
    </row>
    <row r="248" spans="1:28" ht="12.6" customHeight="1" x14ac:dyDescent="0.2">
      <c r="A248" s="18"/>
      <c r="B248" s="644" t="s">
        <v>204</v>
      </c>
      <c r="C248" s="645"/>
      <c r="D248" s="645"/>
      <c r="E248" s="645"/>
      <c r="F248" s="392">
        <f>10.4*X2</f>
        <v>10680.800000000001</v>
      </c>
      <c r="G248" s="293">
        <f>+F248*$X$1</f>
        <v>10680.800000000001</v>
      </c>
      <c r="H248" s="636">
        <f t="shared" si="494"/>
        <v>11180.800000000001</v>
      </c>
      <c r="I248" s="293">
        <f t="shared" si="495"/>
        <v>11180.800000000001</v>
      </c>
      <c r="J248" s="636">
        <f t="shared" si="496"/>
        <v>10900.800000000001</v>
      </c>
      <c r="K248" s="293">
        <f t="shared" si="497"/>
        <v>10900.800000000001</v>
      </c>
      <c r="L248" s="636">
        <f t="shared" si="498"/>
        <v>10850.800000000001</v>
      </c>
      <c r="M248" s="293">
        <f t="shared" si="499"/>
        <v>10850.800000000001</v>
      </c>
      <c r="N248" s="636">
        <f t="shared" si="500"/>
        <v>10825.800000000001</v>
      </c>
      <c r="O248" s="293">
        <f t="shared" si="501"/>
        <v>10825.800000000001</v>
      </c>
      <c r="P248" s="636">
        <f t="shared" si="502"/>
        <v>10810.800000000001</v>
      </c>
      <c r="Q248" s="293">
        <f t="shared" si="503"/>
        <v>10810.800000000001</v>
      </c>
      <c r="R248" s="636">
        <f t="shared" si="504"/>
        <v>10790.800000000001</v>
      </c>
      <c r="S248" s="293">
        <f t="shared" si="505"/>
        <v>10790.800000000001</v>
      </c>
      <c r="T248" s="104">
        <f t="shared" si="506"/>
        <v>10775.800000000001</v>
      </c>
      <c r="U248" s="260">
        <f t="shared" si="507"/>
        <v>10775.800000000001</v>
      </c>
      <c r="V248" s="104">
        <f t="shared" si="508"/>
        <v>10760.800000000001</v>
      </c>
      <c r="W248" s="260">
        <f t="shared" si="509"/>
        <v>10760.800000000001</v>
      </c>
      <c r="X248" s="888"/>
      <c r="Y248" s="889"/>
      <c r="Z248" s="889"/>
      <c r="AA248" s="890"/>
      <c r="AB248" s="432">
        <v>918</v>
      </c>
    </row>
    <row r="249" spans="1:28" ht="12.6" customHeight="1" x14ac:dyDescent="0.2">
      <c r="A249" s="18"/>
      <c r="B249" s="642" t="s">
        <v>459</v>
      </c>
      <c r="C249" s="643"/>
      <c r="D249" s="643"/>
      <c r="E249" s="643"/>
      <c r="F249" s="393">
        <f>8.9*X2</f>
        <v>9140.3000000000011</v>
      </c>
      <c r="G249" s="294">
        <f>+F249*$X$1</f>
        <v>9140.3000000000011</v>
      </c>
      <c r="H249" s="493">
        <f t="shared" si="494"/>
        <v>9640.3000000000011</v>
      </c>
      <c r="I249" s="294">
        <f t="shared" si="495"/>
        <v>9640.3000000000011</v>
      </c>
      <c r="J249" s="493">
        <f t="shared" si="496"/>
        <v>9360.3000000000011</v>
      </c>
      <c r="K249" s="294">
        <f t="shared" si="497"/>
        <v>9360.3000000000011</v>
      </c>
      <c r="L249" s="493">
        <f t="shared" si="498"/>
        <v>9310.3000000000011</v>
      </c>
      <c r="M249" s="294">
        <f t="shared" si="499"/>
        <v>9310.3000000000011</v>
      </c>
      <c r="N249" s="493">
        <f t="shared" si="500"/>
        <v>9285.3000000000011</v>
      </c>
      <c r="O249" s="294">
        <f t="shared" si="501"/>
        <v>9285.3000000000011</v>
      </c>
      <c r="P249" s="493">
        <f t="shared" si="502"/>
        <v>9270.3000000000011</v>
      </c>
      <c r="Q249" s="294">
        <f t="shared" si="503"/>
        <v>9270.3000000000011</v>
      </c>
      <c r="R249" s="493">
        <f t="shared" si="504"/>
        <v>9250.3000000000011</v>
      </c>
      <c r="S249" s="294">
        <f t="shared" si="505"/>
        <v>9250.3000000000011</v>
      </c>
      <c r="T249" s="103">
        <f t="shared" si="506"/>
        <v>9235.3000000000011</v>
      </c>
      <c r="U249" s="313">
        <f t="shared" si="507"/>
        <v>9235.3000000000011</v>
      </c>
      <c r="V249" s="103">
        <f t="shared" si="508"/>
        <v>9220.3000000000011</v>
      </c>
      <c r="W249" s="313">
        <f t="shared" si="509"/>
        <v>9220.3000000000011</v>
      </c>
      <c r="X249" s="652"/>
      <c r="Y249" s="653"/>
      <c r="Z249" s="653"/>
      <c r="AA249" s="654"/>
      <c r="AB249" s="197">
        <v>919</v>
      </c>
    </row>
    <row r="250" spans="1:28" ht="12.6" customHeight="1" x14ac:dyDescent="0.2">
      <c r="A250" s="18"/>
      <c r="B250" s="644" t="s">
        <v>843</v>
      </c>
      <c r="C250" s="645"/>
      <c r="D250" s="645"/>
      <c r="E250" s="645"/>
      <c r="F250" s="392">
        <f>7.5*X2</f>
        <v>7702.5</v>
      </c>
      <c r="G250" s="293">
        <f t="shared" ref="G250:G254" si="511">+F250*$X$1</f>
        <v>7702.5</v>
      </c>
      <c r="H250" s="636">
        <f t="shared" si="494"/>
        <v>8202.5</v>
      </c>
      <c r="I250" s="293">
        <f t="shared" si="495"/>
        <v>8202.5</v>
      </c>
      <c r="J250" s="636">
        <f t="shared" si="496"/>
        <v>7922.5</v>
      </c>
      <c r="K250" s="293">
        <f t="shared" si="497"/>
        <v>7922.5</v>
      </c>
      <c r="L250" s="636">
        <f t="shared" si="498"/>
        <v>7872.5</v>
      </c>
      <c r="M250" s="293">
        <f t="shared" si="499"/>
        <v>7872.5</v>
      </c>
      <c r="N250" s="636">
        <f t="shared" si="500"/>
        <v>7847.5</v>
      </c>
      <c r="O250" s="293">
        <f t="shared" si="501"/>
        <v>7847.5</v>
      </c>
      <c r="P250" s="636">
        <f t="shared" si="502"/>
        <v>7832.5</v>
      </c>
      <c r="Q250" s="293">
        <f t="shared" si="503"/>
        <v>7832.5</v>
      </c>
      <c r="R250" s="636">
        <f t="shared" si="504"/>
        <v>7812.5</v>
      </c>
      <c r="S250" s="293">
        <f t="shared" si="505"/>
        <v>7812.5</v>
      </c>
      <c r="T250" s="104">
        <f t="shared" si="506"/>
        <v>7797.5</v>
      </c>
      <c r="U250" s="260">
        <f t="shared" si="507"/>
        <v>7797.5</v>
      </c>
      <c r="V250" s="104">
        <f t="shared" si="508"/>
        <v>7782.5</v>
      </c>
      <c r="W250" s="260">
        <f t="shared" si="509"/>
        <v>7782.5</v>
      </c>
      <c r="X250" s="652"/>
      <c r="Y250" s="658"/>
      <c r="Z250" s="658"/>
      <c r="AA250" s="654"/>
      <c r="AB250" s="197">
        <v>920</v>
      </c>
    </row>
    <row r="251" spans="1:28" ht="12.6" customHeight="1" x14ac:dyDescent="0.2">
      <c r="A251" s="18"/>
      <c r="B251" s="642" t="s">
        <v>842</v>
      </c>
      <c r="C251" s="643"/>
      <c r="D251" s="643"/>
      <c r="E251" s="643"/>
      <c r="F251" s="393">
        <f>7.5*X2</f>
        <v>7702.5</v>
      </c>
      <c r="G251" s="294">
        <f t="shared" ref="G251" si="512">+F251*$X$1</f>
        <v>7702.5</v>
      </c>
      <c r="H251" s="493">
        <f t="shared" si="494"/>
        <v>8202.5</v>
      </c>
      <c r="I251" s="294">
        <f t="shared" si="495"/>
        <v>8202.5</v>
      </c>
      <c r="J251" s="493">
        <f t="shared" si="496"/>
        <v>7922.5</v>
      </c>
      <c r="K251" s="294">
        <f t="shared" si="497"/>
        <v>7922.5</v>
      </c>
      <c r="L251" s="493">
        <f t="shared" si="498"/>
        <v>7872.5</v>
      </c>
      <c r="M251" s="294">
        <f t="shared" si="499"/>
        <v>7872.5</v>
      </c>
      <c r="N251" s="493">
        <f t="shared" si="500"/>
        <v>7847.5</v>
      </c>
      <c r="O251" s="294">
        <f t="shared" si="501"/>
        <v>7847.5</v>
      </c>
      <c r="P251" s="493">
        <f t="shared" si="502"/>
        <v>7832.5</v>
      </c>
      <c r="Q251" s="294">
        <f t="shared" si="503"/>
        <v>7832.5</v>
      </c>
      <c r="R251" s="493">
        <f t="shared" si="504"/>
        <v>7812.5</v>
      </c>
      <c r="S251" s="294">
        <f t="shared" si="505"/>
        <v>7812.5</v>
      </c>
      <c r="T251" s="103">
        <f t="shared" si="506"/>
        <v>7797.5</v>
      </c>
      <c r="U251" s="313">
        <f t="shared" si="507"/>
        <v>7797.5</v>
      </c>
      <c r="V251" s="103">
        <f t="shared" si="508"/>
        <v>7782.5</v>
      </c>
      <c r="W251" s="313">
        <f t="shared" si="509"/>
        <v>7782.5</v>
      </c>
      <c r="X251" s="652"/>
      <c r="Y251" s="658"/>
      <c r="Z251" s="658"/>
      <c r="AA251" s="654"/>
      <c r="AB251" s="197" t="s">
        <v>844</v>
      </c>
    </row>
    <row r="252" spans="1:28" ht="12.6" customHeight="1" x14ac:dyDescent="0.2">
      <c r="A252" s="18"/>
      <c r="B252" s="644" t="s">
        <v>896</v>
      </c>
      <c r="C252" s="645"/>
      <c r="D252" s="645"/>
      <c r="E252" s="645"/>
      <c r="F252" s="392">
        <f>7.4*X2</f>
        <v>7599.8</v>
      </c>
      <c r="G252" s="293">
        <f t="shared" ref="G252:G253" si="513">+F252*$X$1</f>
        <v>7599.8</v>
      </c>
      <c r="H252" s="636">
        <f t="shared" ref="H252:H263" si="514">F252+500</f>
        <v>8099.8</v>
      </c>
      <c r="I252" s="293">
        <f t="shared" ref="I252:I262" si="515">+H252*$X$1</f>
        <v>8099.8</v>
      </c>
      <c r="J252" s="636">
        <f t="shared" ref="J252:J262" si="516">F252+220</f>
        <v>7819.8</v>
      </c>
      <c r="K252" s="293">
        <f t="shared" ref="K252:K262" si="517">+J252*$X$1</f>
        <v>7819.8</v>
      </c>
      <c r="L252" s="636">
        <f t="shared" ref="L252:L262" si="518">F252+170</f>
        <v>7769.8</v>
      </c>
      <c r="M252" s="293">
        <f t="shared" ref="M252:M262" si="519">+L252*$X$1</f>
        <v>7769.8</v>
      </c>
      <c r="N252" s="636">
        <f t="shared" ref="N252:N262" si="520">F252+145</f>
        <v>7744.8</v>
      </c>
      <c r="O252" s="293">
        <f t="shared" ref="O252:O262" si="521">+N252*$X$1</f>
        <v>7744.8</v>
      </c>
      <c r="P252" s="636">
        <f t="shared" ref="P252:P262" si="522">F252+130</f>
        <v>7729.8</v>
      </c>
      <c r="Q252" s="293">
        <f t="shared" ref="Q252:Q262" si="523">+P252*$X$1</f>
        <v>7729.8</v>
      </c>
      <c r="R252" s="636">
        <f t="shared" ref="R252:R262" si="524">F252+110</f>
        <v>7709.8</v>
      </c>
      <c r="S252" s="293">
        <f t="shared" ref="S252:S262" si="525">+R252*$X$1</f>
        <v>7709.8</v>
      </c>
      <c r="T252" s="104">
        <f t="shared" ref="T252:T262" si="526">F252+95</f>
        <v>7694.8</v>
      </c>
      <c r="U252" s="260">
        <f t="shared" ref="U252:U262" si="527">+T252*$X$1</f>
        <v>7694.8</v>
      </c>
      <c r="V252" s="104">
        <f t="shared" ref="V252:V262" si="528">F252+80</f>
        <v>7679.8</v>
      </c>
      <c r="W252" s="260">
        <f t="shared" ref="W252:W262" si="529">+V252*$X$1</f>
        <v>7679.8</v>
      </c>
      <c r="X252" s="652"/>
      <c r="Y252" s="658"/>
      <c r="Z252" s="658"/>
      <c r="AA252" s="654"/>
      <c r="AB252" s="197" t="s">
        <v>897</v>
      </c>
    </row>
    <row r="253" spans="1:28" ht="12.6" customHeight="1" x14ac:dyDescent="0.2">
      <c r="A253" s="18"/>
      <c r="B253" s="763" t="s">
        <v>948</v>
      </c>
      <c r="C253" s="638"/>
      <c r="D253" s="638"/>
      <c r="E253" s="638"/>
      <c r="F253" s="393">
        <f>6.34*X2</f>
        <v>6511.18</v>
      </c>
      <c r="G253" s="294">
        <f t="shared" si="513"/>
        <v>6511.18</v>
      </c>
      <c r="H253" s="493">
        <f t="shared" si="514"/>
        <v>7011.18</v>
      </c>
      <c r="I253" s="294">
        <f t="shared" si="515"/>
        <v>7011.18</v>
      </c>
      <c r="J253" s="493">
        <f t="shared" si="516"/>
        <v>6731.18</v>
      </c>
      <c r="K253" s="294">
        <f t="shared" si="517"/>
        <v>6731.18</v>
      </c>
      <c r="L253" s="493">
        <f t="shared" si="518"/>
        <v>6681.18</v>
      </c>
      <c r="M253" s="294">
        <f t="shared" si="519"/>
        <v>6681.18</v>
      </c>
      <c r="N253" s="493">
        <f t="shared" si="520"/>
        <v>6656.18</v>
      </c>
      <c r="O253" s="294">
        <f t="shared" si="521"/>
        <v>6656.18</v>
      </c>
      <c r="P253" s="493">
        <f t="shared" si="522"/>
        <v>6641.18</v>
      </c>
      <c r="Q253" s="294">
        <f t="shared" si="523"/>
        <v>6641.18</v>
      </c>
      <c r="R253" s="493">
        <f t="shared" si="524"/>
        <v>6621.18</v>
      </c>
      <c r="S253" s="294">
        <f t="shared" si="525"/>
        <v>6621.18</v>
      </c>
      <c r="T253" s="103">
        <f t="shared" si="526"/>
        <v>6606.18</v>
      </c>
      <c r="U253" s="313">
        <f t="shared" si="527"/>
        <v>6606.18</v>
      </c>
      <c r="V253" s="103">
        <f t="shared" si="528"/>
        <v>6591.18</v>
      </c>
      <c r="W253" s="313">
        <f t="shared" si="529"/>
        <v>6591.18</v>
      </c>
      <c r="X253" s="652"/>
      <c r="Y253" s="658"/>
      <c r="Z253" s="658"/>
      <c r="AA253" s="654"/>
      <c r="AB253" s="197">
        <v>923</v>
      </c>
    </row>
    <row r="254" spans="1:28" ht="12.6" customHeight="1" x14ac:dyDescent="0.2">
      <c r="A254" s="18"/>
      <c r="B254" s="644" t="s">
        <v>824</v>
      </c>
      <c r="C254" s="645"/>
      <c r="D254" s="645"/>
      <c r="E254" s="645"/>
      <c r="F254" s="392">
        <f>5.71*X2</f>
        <v>5864.17</v>
      </c>
      <c r="G254" s="293">
        <f t="shared" si="511"/>
        <v>5864.17</v>
      </c>
      <c r="H254" s="598">
        <f t="shared" si="514"/>
        <v>6364.17</v>
      </c>
      <c r="I254" s="293">
        <f t="shared" si="515"/>
        <v>6364.17</v>
      </c>
      <c r="J254" s="598">
        <f t="shared" si="516"/>
        <v>6084.17</v>
      </c>
      <c r="K254" s="293">
        <f t="shared" si="517"/>
        <v>6084.17</v>
      </c>
      <c r="L254" s="598">
        <f t="shared" si="518"/>
        <v>6034.17</v>
      </c>
      <c r="M254" s="293">
        <f t="shared" si="519"/>
        <v>6034.17</v>
      </c>
      <c r="N254" s="598">
        <f t="shared" si="520"/>
        <v>6009.17</v>
      </c>
      <c r="O254" s="293">
        <f t="shared" si="521"/>
        <v>6009.17</v>
      </c>
      <c r="P254" s="598">
        <f t="shared" si="522"/>
        <v>5994.17</v>
      </c>
      <c r="Q254" s="293">
        <f t="shared" si="523"/>
        <v>5994.17</v>
      </c>
      <c r="R254" s="598">
        <f t="shared" si="524"/>
        <v>5974.17</v>
      </c>
      <c r="S254" s="293">
        <f t="shared" si="525"/>
        <v>5974.17</v>
      </c>
      <c r="T254" s="104">
        <f t="shared" si="526"/>
        <v>5959.17</v>
      </c>
      <c r="U254" s="260">
        <f t="shared" si="527"/>
        <v>5959.17</v>
      </c>
      <c r="V254" s="104">
        <f t="shared" si="528"/>
        <v>5944.17</v>
      </c>
      <c r="W254" s="260">
        <f t="shared" si="529"/>
        <v>5944.17</v>
      </c>
      <c r="X254" s="640"/>
      <c r="Y254" s="880"/>
      <c r="Z254" s="880"/>
      <c r="AA254" s="641"/>
      <c r="AB254" s="197" t="s">
        <v>825</v>
      </c>
    </row>
    <row r="255" spans="1:28" ht="12.6" customHeight="1" x14ac:dyDescent="0.2">
      <c r="A255" s="105"/>
      <c r="B255" s="642" t="s">
        <v>447</v>
      </c>
      <c r="C255" s="643"/>
      <c r="D255" s="643"/>
      <c r="E255" s="643"/>
      <c r="F255" s="393">
        <f>7*X2</f>
        <v>7189</v>
      </c>
      <c r="G255" s="294">
        <f t="shared" ref="G255:G258" si="530">+F255*$X$1</f>
        <v>7189</v>
      </c>
      <c r="H255" s="493">
        <f t="shared" si="514"/>
        <v>7689</v>
      </c>
      <c r="I255" s="294">
        <f t="shared" si="515"/>
        <v>7689</v>
      </c>
      <c r="J255" s="493">
        <f t="shared" si="516"/>
        <v>7409</v>
      </c>
      <c r="K255" s="294">
        <f t="shared" si="517"/>
        <v>7409</v>
      </c>
      <c r="L255" s="493">
        <f t="shared" si="518"/>
        <v>7359</v>
      </c>
      <c r="M255" s="294">
        <f t="shared" si="519"/>
        <v>7359</v>
      </c>
      <c r="N255" s="493">
        <f t="shared" si="520"/>
        <v>7334</v>
      </c>
      <c r="O255" s="294">
        <f t="shared" si="521"/>
        <v>7334</v>
      </c>
      <c r="P255" s="493">
        <f t="shared" si="522"/>
        <v>7319</v>
      </c>
      <c r="Q255" s="294">
        <f t="shared" si="523"/>
        <v>7319</v>
      </c>
      <c r="R255" s="493">
        <f t="shared" si="524"/>
        <v>7299</v>
      </c>
      <c r="S255" s="294">
        <f t="shared" si="525"/>
        <v>7299</v>
      </c>
      <c r="T255" s="103">
        <f t="shared" si="526"/>
        <v>7284</v>
      </c>
      <c r="U255" s="313">
        <f t="shared" si="527"/>
        <v>7284</v>
      </c>
      <c r="V255" s="103">
        <f t="shared" si="528"/>
        <v>7269</v>
      </c>
      <c r="W255" s="313">
        <f t="shared" si="529"/>
        <v>7269</v>
      </c>
      <c r="X255" s="652"/>
      <c r="Y255" s="658"/>
      <c r="Z255" s="658"/>
      <c r="AA255" s="654"/>
      <c r="AB255" s="197">
        <v>928</v>
      </c>
    </row>
    <row r="256" spans="1:28" ht="12.6" customHeight="1" x14ac:dyDescent="0.2">
      <c r="A256" s="18"/>
      <c r="B256" s="644" t="s">
        <v>407</v>
      </c>
      <c r="C256" s="645"/>
      <c r="D256" s="645"/>
      <c r="E256" s="645"/>
      <c r="F256" s="392">
        <f>7.3*X2</f>
        <v>7497.0999999999995</v>
      </c>
      <c r="G256" s="293">
        <f t="shared" si="530"/>
        <v>7497.0999999999995</v>
      </c>
      <c r="H256" s="598">
        <f t="shared" si="514"/>
        <v>7997.0999999999995</v>
      </c>
      <c r="I256" s="293">
        <f t="shared" si="515"/>
        <v>7997.0999999999995</v>
      </c>
      <c r="J256" s="598">
        <f t="shared" si="516"/>
        <v>7717.0999999999995</v>
      </c>
      <c r="K256" s="293">
        <f t="shared" si="517"/>
        <v>7717.0999999999995</v>
      </c>
      <c r="L256" s="598">
        <f t="shared" si="518"/>
        <v>7667.0999999999995</v>
      </c>
      <c r="M256" s="293">
        <f t="shared" si="519"/>
        <v>7667.0999999999995</v>
      </c>
      <c r="N256" s="598">
        <f t="shared" si="520"/>
        <v>7642.0999999999995</v>
      </c>
      <c r="O256" s="293">
        <f t="shared" si="521"/>
        <v>7642.0999999999995</v>
      </c>
      <c r="P256" s="598">
        <f t="shared" si="522"/>
        <v>7627.0999999999995</v>
      </c>
      <c r="Q256" s="293">
        <f t="shared" si="523"/>
        <v>7627.0999999999995</v>
      </c>
      <c r="R256" s="598">
        <f t="shared" si="524"/>
        <v>7607.0999999999995</v>
      </c>
      <c r="S256" s="293">
        <f t="shared" si="525"/>
        <v>7607.0999999999995</v>
      </c>
      <c r="T256" s="104">
        <f t="shared" si="526"/>
        <v>7592.0999999999995</v>
      </c>
      <c r="U256" s="260">
        <f t="shared" si="527"/>
        <v>7592.0999999999995</v>
      </c>
      <c r="V256" s="104">
        <f t="shared" si="528"/>
        <v>7577.0999999999995</v>
      </c>
      <c r="W256" s="260">
        <f t="shared" si="529"/>
        <v>7577.0999999999995</v>
      </c>
      <c r="X256" s="652"/>
      <c r="Y256" s="653"/>
      <c r="Z256" s="653"/>
      <c r="AA256" s="654"/>
      <c r="AB256" s="197">
        <v>931</v>
      </c>
    </row>
    <row r="257" spans="1:38" ht="12.6" customHeight="1" x14ac:dyDescent="0.2">
      <c r="A257" s="18"/>
      <c r="B257" s="642" t="s">
        <v>822</v>
      </c>
      <c r="C257" s="643"/>
      <c r="D257" s="643"/>
      <c r="E257" s="643"/>
      <c r="F257" s="393">
        <f>2.98*X2</f>
        <v>3060.46</v>
      </c>
      <c r="G257" s="294">
        <f t="shared" si="530"/>
        <v>3060.46</v>
      </c>
      <c r="H257" s="493">
        <f t="shared" si="514"/>
        <v>3560.46</v>
      </c>
      <c r="I257" s="294">
        <f t="shared" si="515"/>
        <v>3560.46</v>
      </c>
      <c r="J257" s="493">
        <f t="shared" si="516"/>
        <v>3280.46</v>
      </c>
      <c r="K257" s="294">
        <f t="shared" si="517"/>
        <v>3280.46</v>
      </c>
      <c r="L257" s="493">
        <f t="shared" si="518"/>
        <v>3230.46</v>
      </c>
      <c r="M257" s="294">
        <f t="shared" si="519"/>
        <v>3230.46</v>
      </c>
      <c r="N257" s="493">
        <f t="shared" si="520"/>
        <v>3205.46</v>
      </c>
      <c r="O257" s="294">
        <f t="shared" si="521"/>
        <v>3205.46</v>
      </c>
      <c r="P257" s="493">
        <f t="shared" si="522"/>
        <v>3190.46</v>
      </c>
      <c r="Q257" s="294">
        <f t="shared" si="523"/>
        <v>3190.46</v>
      </c>
      <c r="R257" s="493">
        <f t="shared" si="524"/>
        <v>3170.46</v>
      </c>
      <c r="S257" s="294">
        <f t="shared" si="525"/>
        <v>3170.46</v>
      </c>
      <c r="T257" s="103">
        <f t="shared" si="526"/>
        <v>3155.46</v>
      </c>
      <c r="U257" s="313">
        <f t="shared" si="527"/>
        <v>3155.46</v>
      </c>
      <c r="V257" s="103">
        <f t="shared" si="528"/>
        <v>3140.46</v>
      </c>
      <c r="W257" s="313">
        <f t="shared" si="529"/>
        <v>3140.46</v>
      </c>
      <c r="X257" s="652"/>
      <c r="Y257" s="653"/>
      <c r="Z257" s="653"/>
      <c r="AA257" s="654"/>
      <c r="AB257" s="197">
        <v>933</v>
      </c>
    </row>
    <row r="258" spans="1:38" ht="12.6" customHeight="1" x14ac:dyDescent="0.2">
      <c r="A258" s="18"/>
      <c r="B258" s="644" t="s">
        <v>609</v>
      </c>
      <c r="C258" s="645"/>
      <c r="D258" s="645"/>
      <c r="E258" s="645"/>
      <c r="F258" s="392">
        <f>7.55*X2</f>
        <v>7753.8499999999995</v>
      </c>
      <c r="G258" s="293">
        <f t="shared" si="530"/>
        <v>7753.8499999999995</v>
      </c>
      <c r="H258" s="598">
        <f t="shared" si="514"/>
        <v>8253.8499999999985</v>
      </c>
      <c r="I258" s="293">
        <f t="shared" si="515"/>
        <v>8253.8499999999985</v>
      </c>
      <c r="J258" s="598">
        <f t="shared" si="516"/>
        <v>7973.8499999999995</v>
      </c>
      <c r="K258" s="293">
        <f t="shared" si="517"/>
        <v>7973.8499999999995</v>
      </c>
      <c r="L258" s="598">
        <f t="shared" si="518"/>
        <v>7923.8499999999995</v>
      </c>
      <c r="M258" s="293">
        <f t="shared" si="519"/>
        <v>7923.8499999999995</v>
      </c>
      <c r="N258" s="598">
        <f t="shared" si="520"/>
        <v>7898.8499999999995</v>
      </c>
      <c r="O258" s="293">
        <f t="shared" si="521"/>
        <v>7898.8499999999995</v>
      </c>
      <c r="P258" s="598">
        <f t="shared" si="522"/>
        <v>7883.8499999999995</v>
      </c>
      <c r="Q258" s="293">
        <f t="shared" si="523"/>
        <v>7883.8499999999995</v>
      </c>
      <c r="R258" s="598">
        <f t="shared" si="524"/>
        <v>7863.8499999999995</v>
      </c>
      <c r="S258" s="293">
        <f t="shared" si="525"/>
        <v>7863.8499999999995</v>
      </c>
      <c r="T258" s="104">
        <f t="shared" si="526"/>
        <v>7848.8499999999995</v>
      </c>
      <c r="U258" s="260">
        <f t="shared" si="527"/>
        <v>7848.8499999999995</v>
      </c>
      <c r="V258" s="104">
        <f t="shared" si="528"/>
        <v>7833.8499999999995</v>
      </c>
      <c r="W258" s="260">
        <f t="shared" si="529"/>
        <v>7833.8499999999995</v>
      </c>
      <c r="X258" s="389"/>
      <c r="Y258" s="389"/>
      <c r="Z258" s="389"/>
      <c r="AA258" s="389"/>
      <c r="AB258" s="197">
        <v>935</v>
      </c>
    </row>
    <row r="259" spans="1:38" ht="12.6" customHeight="1" x14ac:dyDescent="0.2">
      <c r="A259" s="18"/>
      <c r="B259" s="642" t="s">
        <v>642</v>
      </c>
      <c r="C259" s="643"/>
      <c r="D259" s="643"/>
      <c r="E259" s="643"/>
      <c r="F259" s="393">
        <f>10*X2</f>
        <v>10270</v>
      </c>
      <c r="G259" s="294">
        <f t="shared" ref="G259" si="531">+F259*$X$1</f>
        <v>10270</v>
      </c>
      <c r="H259" s="493">
        <f t="shared" si="514"/>
        <v>10770</v>
      </c>
      <c r="I259" s="294">
        <f t="shared" si="515"/>
        <v>10770</v>
      </c>
      <c r="J259" s="493">
        <f t="shared" si="516"/>
        <v>10490</v>
      </c>
      <c r="K259" s="294">
        <f t="shared" si="517"/>
        <v>10490</v>
      </c>
      <c r="L259" s="493">
        <f t="shared" si="518"/>
        <v>10440</v>
      </c>
      <c r="M259" s="294">
        <f t="shared" si="519"/>
        <v>10440</v>
      </c>
      <c r="N259" s="493">
        <f t="shared" si="520"/>
        <v>10415</v>
      </c>
      <c r="O259" s="294">
        <f t="shared" si="521"/>
        <v>10415</v>
      </c>
      <c r="P259" s="493">
        <f t="shared" si="522"/>
        <v>10400</v>
      </c>
      <c r="Q259" s="294">
        <f t="shared" si="523"/>
        <v>10400</v>
      </c>
      <c r="R259" s="493">
        <f t="shared" si="524"/>
        <v>10380</v>
      </c>
      <c r="S259" s="294">
        <f t="shared" si="525"/>
        <v>10380</v>
      </c>
      <c r="T259" s="103">
        <f t="shared" si="526"/>
        <v>10365</v>
      </c>
      <c r="U259" s="313">
        <f t="shared" si="527"/>
        <v>10365</v>
      </c>
      <c r="V259" s="103">
        <f t="shared" si="528"/>
        <v>10350</v>
      </c>
      <c r="W259" s="313">
        <f t="shared" si="529"/>
        <v>10350</v>
      </c>
      <c r="X259" s="652"/>
      <c r="Y259" s="658"/>
      <c r="Z259" s="658"/>
      <c r="AA259" s="654"/>
      <c r="AB259" s="197">
        <v>936</v>
      </c>
    </row>
    <row r="260" spans="1:38" ht="12.6" customHeight="1" x14ac:dyDescent="0.2">
      <c r="A260" s="18"/>
      <c r="B260" s="637" t="s">
        <v>889</v>
      </c>
      <c r="C260" s="638"/>
      <c r="D260" s="638"/>
      <c r="E260" s="638"/>
      <c r="F260" s="392">
        <f>4.9*X2</f>
        <v>5032.3</v>
      </c>
      <c r="G260" s="293">
        <f t="shared" ref="G260" si="532">+F260*$X$1</f>
        <v>5032.3</v>
      </c>
      <c r="H260" s="598">
        <f t="shared" si="514"/>
        <v>5532.3</v>
      </c>
      <c r="I260" s="293">
        <f t="shared" si="515"/>
        <v>5532.3</v>
      </c>
      <c r="J260" s="598">
        <f t="shared" si="516"/>
        <v>5252.3</v>
      </c>
      <c r="K260" s="293">
        <f t="shared" si="517"/>
        <v>5252.3</v>
      </c>
      <c r="L260" s="598">
        <f t="shared" si="518"/>
        <v>5202.3</v>
      </c>
      <c r="M260" s="293">
        <f t="shared" si="519"/>
        <v>5202.3</v>
      </c>
      <c r="N260" s="598">
        <f t="shared" si="520"/>
        <v>5177.3</v>
      </c>
      <c r="O260" s="293">
        <f t="shared" si="521"/>
        <v>5177.3</v>
      </c>
      <c r="P260" s="598">
        <f t="shared" si="522"/>
        <v>5162.3</v>
      </c>
      <c r="Q260" s="293">
        <f t="shared" si="523"/>
        <v>5162.3</v>
      </c>
      <c r="R260" s="598">
        <f t="shared" si="524"/>
        <v>5142.3</v>
      </c>
      <c r="S260" s="293">
        <f t="shared" si="525"/>
        <v>5142.3</v>
      </c>
      <c r="T260" s="104">
        <f t="shared" si="526"/>
        <v>5127.3</v>
      </c>
      <c r="U260" s="260">
        <f t="shared" si="527"/>
        <v>5127.3</v>
      </c>
      <c r="V260" s="104">
        <f t="shared" si="528"/>
        <v>5112.3</v>
      </c>
      <c r="W260" s="260">
        <f t="shared" si="529"/>
        <v>5112.3</v>
      </c>
      <c r="X260" s="652"/>
      <c r="Y260" s="658"/>
      <c r="Z260" s="658"/>
      <c r="AA260" s="654"/>
      <c r="AB260" s="197">
        <v>940</v>
      </c>
    </row>
    <row r="261" spans="1:38" ht="12.6" customHeight="1" x14ac:dyDescent="0.2">
      <c r="A261" s="18"/>
      <c r="B261" s="646" t="s">
        <v>205</v>
      </c>
      <c r="C261" s="683"/>
      <c r="D261" s="683"/>
      <c r="E261" s="684"/>
      <c r="F261" s="393">
        <f>5.483*X2</f>
        <v>5631.0409999999993</v>
      </c>
      <c r="G261" s="294">
        <f t="shared" ref="G261:G265" si="533">+F261*$X$1</f>
        <v>5631.0409999999993</v>
      </c>
      <c r="H261" s="493">
        <f t="shared" si="514"/>
        <v>6131.0409999999993</v>
      </c>
      <c r="I261" s="294">
        <f t="shared" si="515"/>
        <v>6131.0409999999993</v>
      </c>
      <c r="J261" s="493">
        <f t="shared" si="516"/>
        <v>5851.0409999999993</v>
      </c>
      <c r="K261" s="294">
        <f t="shared" si="517"/>
        <v>5851.0409999999993</v>
      </c>
      <c r="L261" s="493">
        <f t="shared" si="518"/>
        <v>5801.0409999999993</v>
      </c>
      <c r="M261" s="294">
        <f t="shared" si="519"/>
        <v>5801.0409999999993</v>
      </c>
      <c r="N261" s="493">
        <f t="shared" si="520"/>
        <v>5776.0409999999993</v>
      </c>
      <c r="O261" s="294">
        <f t="shared" si="521"/>
        <v>5776.0409999999993</v>
      </c>
      <c r="P261" s="493">
        <f t="shared" si="522"/>
        <v>5761.0409999999993</v>
      </c>
      <c r="Q261" s="294">
        <f t="shared" si="523"/>
        <v>5761.0409999999993</v>
      </c>
      <c r="R261" s="493">
        <f t="shared" si="524"/>
        <v>5741.0409999999993</v>
      </c>
      <c r="S261" s="294">
        <f t="shared" si="525"/>
        <v>5741.0409999999993</v>
      </c>
      <c r="T261" s="103">
        <f t="shared" si="526"/>
        <v>5726.0409999999993</v>
      </c>
      <c r="U261" s="313">
        <f t="shared" si="527"/>
        <v>5726.0409999999993</v>
      </c>
      <c r="V261" s="103">
        <f t="shared" si="528"/>
        <v>5711.0409999999993</v>
      </c>
      <c r="W261" s="313">
        <f t="shared" si="529"/>
        <v>5711.0409999999993</v>
      </c>
      <c r="X261" s="135"/>
      <c r="Y261" s="137"/>
      <c r="Z261" s="132"/>
      <c r="AA261" s="132"/>
      <c r="AB261" s="197">
        <v>945</v>
      </c>
      <c r="AD261" s="66"/>
      <c r="AE261" s="66"/>
      <c r="AF261" s="66"/>
      <c r="AG261" s="66"/>
    </row>
    <row r="262" spans="1:38" ht="12.6" customHeight="1" x14ac:dyDescent="0.2">
      <c r="A262" s="18"/>
      <c r="B262" s="644" t="s">
        <v>501</v>
      </c>
      <c r="C262" s="645"/>
      <c r="D262" s="645"/>
      <c r="E262" s="645"/>
      <c r="F262" s="392">
        <f>4.52*X2</f>
        <v>4642.04</v>
      </c>
      <c r="G262" s="293">
        <f t="shared" ref="G262" si="534">+F262*$X$1</f>
        <v>4642.04</v>
      </c>
      <c r="H262" s="598">
        <f t="shared" si="514"/>
        <v>5142.04</v>
      </c>
      <c r="I262" s="293">
        <f t="shared" si="515"/>
        <v>5142.04</v>
      </c>
      <c r="J262" s="598">
        <f t="shared" si="516"/>
        <v>4862.04</v>
      </c>
      <c r="K262" s="293">
        <f t="shared" si="517"/>
        <v>4862.04</v>
      </c>
      <c r="L262" s="598">
        <f t="shared" si="518"/>
        <v>4812.04</v>
      </c>
      <c r="M262" s="293">
        <f t="shared" si="519"/>
        <v>4812.04</v>
      </c>
      <c r="N262" s="598">
        <f t="shared" si="520"/>
        <v>4787.04</v>
      </c>
      <c r="O262" s="293">
        <f t="shared" si="521"/>
        <v>4787.04</v>
      </c>
      <c r="P262" s="598">
        <f t="shared" si="522"/>
        <v>4772.04</v>
      </c>
      <c r="Q262" s="293">
        <f t="shared" si="523"/>
        <v>4772.04</v>
      </c>
      <c r="R262" s="598">
        <f t="shared" si="524"/>
        <v>4752.04</v>
      </c>
      <c r="S262" s="293">
        <f t="shared" si="525"/>
        <v>4752.04</v>
      </c>
      <c r="T262" s="104">
        <f t="shared" si="526"/>
        <v>4737.04</v>
      </c>
      <c r="U262" s="260">
        <f t="shared" si="527"/>
        <v>4737.04</v>
      </c>
      <c r="V262" s="104">
        <f t="shared" si="528"/>
        <v>4722.04</v>
      </c>
      <c r="W262" s="260">
        <f t="shared" si="529"/>
        <v>4722.04</v>
      </c>
      <c r="X262" s="156"/>
      <c r="Y262" s="156"/>
      <c r="Z262" s="156"/>
      <c r="AA262" s="156"/>
      <c r="AB262" s="197">
        <v>946</v>
      </c>
    </row>
    <row r="263" spans="1:38" ht="12.6" customHeight="1" x14ac:dyDescent="0.2">
      <c r="A263" s="18"/>
      <c r="B263" s="659" t="s">
        <v>206</v>
      </c>
      <c r="C263" s="660"/>
      <c r="D263" s="660"/>
      <c r="E263" s="661"/>
      <c r="F263" s="393">
        <f>5.1*X2</f>
        <v>5237.7</v>
      </c>
      <c r="G263" s="294">
        <f t="shared" si="533"/>
        <v>5237.7</v>
      </c>
      <c r="H263" s="493">
        <f t="shared" si="514"/>
        <v>5737.7</v>
      </c>
      <c r="I263" s="294">
        <f t="shared" ref="I263" si="535">+H263*$X$1</f>
        <v>5737.7</v>
      </c>
      <c r="J263" s="493"/>
      <c r="K263" s="294"/>
      <c r="L263" s="493"/>
      <c r="M263" s="294"/>
      <c r="N263" s="493"/>
      <c r="O263" s="294"/>
      <c r="P263" s="493"/>
      <c r="Q263" s="294"/>
      <c r="R263" s="493"/>
      <c r="S263" s="294"/>
      <c r="T263" s="103"/>
      <c r="U263" s="313"/>
      <c r="V263" s="103"/>
      <c r="W263" s="313"/>
      <c r="X263" s="652"/>
      <c r="Y263" s="653"/>
      <c r="Z263" s="653"/>
      <c r="AA263" s="654"/>
      <c r="AB263" s="432">
        <v>949</v>
      </c>
    </row>
    <row r="264" spans="1:38" ht="12.6" customHeight="1" x14ac:dyDescent="0.2">
      <c r="A264" s="18"/>
      <c r="B264" s="644" t="s">
        <v>610</v>
      </c>
      <c r="C264" s="645"/>
      <c r="D264" s="645"/>
      <c r="E264" s="645"/>
      <c r="F264" s="392">
        <f>6*X2</f>
        <v>6162</v>
      </c>
      <c r="G264" s="293">
        <f t="shared" si="533"/>
        <v>6162</v>
      </c>
      <c r="H264" s="600">
        <f>F264+500</f>
        <v>6662</v>
      </c>
      <c r="I264" s="293">
        <f t="shared" ref="I264:I265" si="536">+H264*$X$1</f>
        <v>6662</v>
      </c>
      <c r="J264" s="600">
        <f>F264+220</f>
        <v>6382</v>
      </c>
      <c r="K264" s="293">
        <f t="shared" ref="K264:K267" si="537">+J264*$X$1</f>
        <v>6382</v>
      </c>
      <c r="L264" s="600">
        <f>F264+170</f>
        <v>6332</v>
      </c>
      <c r="M264" s="293">
        <f t="shared" ref="M264:M265" si="538">+L264*$X$1</f>
        <v>6332</v>
      </c>
      <c r="N264" s="600">
        <f>F264+145</f>
        <v>6307</v>
      </c>
      <c r="O264" s="293">
        <f t="shared" ref="O264:O265" si="539">+N264*$X$1</f>
        <v>6307</v>
      </c>
      <c r="P264" s="600">
        <f>F264+130</f>
        <v>6292</v>
      </c>
      <c r="Q264" s="293">
        <f t="shared" ref="Q264:Q265" si="540">+P264*$X$1</f>
        <v>6292</v>
      </c>
      <c r="R264" s="600">
        <f>F264+110</f>
        <v>6272</v>
      </c>
      <c r="S264" s="293">
        <f t="shared" ref="S264:S265" si="541">+R264*$X$1</f>
        <v>6272</v>
      </c>
      <c r="T264" s="104">
        <f>F264+95</f>
        <v>6257</v>
      </c>
      <c r="U264" s="260">
        <f t="shared" ref="U264:U265" si="542">+T264*$X$1</f>
        <v>6257</v>
      </c>
      <c r="V264" s="104">
        <f>F264+80</f>
        <v>6242</v>
      </c>
      <c r="W264" s="260">
        <f t="shared" ref="W264:W265" si="543">+V264*$X$1</f>
        <v>6242</v>
      </c>
      <c r="X264" s="874"/>
      <c r="Y264" s="875"/>
      <c r="Z264" s="875"/>
      <c r="AA264" s="876"/>
      <c r="AB264" s="197">
        <v>962</v>
      </c>
    </row>
    <row r="265" spans="1:38" ht="12.6" customHeight="1" x14ac:dyDescent="0.2">
      <c r="A265" s="18"/>
      <c r="B265" s="637" t="s">
        <v>878</v>
      </c>
      <c r="C265" s="638"/>
      <c r="D265" s="638"/>
      <c r="E265" s="638"/>
      <c r="F265" s="393">
        <f>10.94*X2</f>
        <v>11235.38</v>
      </c>
      <c r="G265" s="294">
        <f t="shared" si="533"/>
        <v>11235.38</v>
      </c>
      <c r="H265" s="493">
        <f>F265+500</f>
        <v>11735.38</v>
      </c>
      <c r="I265" s="294">
        <f t="shared" si="536"/>
        <v>11735.38</v>
      </c>
      <c r="J265" s="493">
        <f>F265+220</f>
        <v>11455.38</v>
      </c>
      <c r="K265" s="294">
        <f t="shared" si="537"/>
        <v>11455.38</v>
      </c>
      <c r="L265" s="493">
        <f>F265+170</f>
        <v>11405.38</v>
      </c>
      <c r="M265" s="294">
        <f t="shared" si="538"/>
        <v>11405.38</v>
      </c>
      <c r="N265" s="493">
        <f>F265+145</f>
        <v>11380.38</v>
      </c>
      <c r="O265" s="294">
        <f t="shared" si="539"/>
        <v>11380.38</v>
      </c>
      <c r="P265" s="493">
        <f>F265+130</f>
        <v>11365.38</v>
      </c>
      <c r="Q265" s="294">
        <f t="shared" si="540"/>
        <v>11365.38</v>
      </c>
      <c r="R265" s="493">
        <f>F265+110</f>
        <v>11345.38</v>
      </c>
      <c r="S265" s="294">
        <f t="shared" si="541"/>
        <v>11345.38</v>
      </c>
      <c r="T265" s="103">
        <f>F265+95</f>
        <v>11330.38</v>
      </c>
      <c r="U265" s="313">
        <f t="shared" si="542"/>
        <v>11330.38</v>
      </c>
      <c r="V265" s="103">
        <f>F265+80</f>
        <v>11315.38</v>
      </c>
      <c r="W265" s="313">
        <f t="shared" si="543"/>
        <v>11315.38</v>
      </c>
      <c r="X265" s="490"/>
      <c r="Y265" s="490"/>
      <c r="Z265" s="490"/>
      <c r="AA265" s="490"/>
      <c r="AB265" s="197">
        <v>963</v>
      </c>
    </row>
    <row r="266" spans="1:38" ht="12.6" customHeight="1" x14ac:dyDescent="0.2">
      <c r="A266" s="18"/>
      <c r="B266" s="637" t="s">
        <v>919</v>
      </c>
      <c r="C266" s="638"/>
      <c r="D266" s="638"/>
      <c r="E266" s="638"/>
      <c r="F266" s="392">
        <f>7.1*X2</f>
        <v>7291.7</v>
      </c>
      <c r="G266" s="293">
        <f t="shared" ref="G266" si="544">+F266*$X$1</f>
        <v>7291.7</v>
      </c>
      <c r="H266" s="600">
        <f>F266+500</f>
        <v>7791.7</v>
      </c>
      <c r="I266" s="293">
        <f t="shared" ref="I266" si="545">+H266*$X$1</f>
        <v>7791.7</v>
      </c>
      <c r="J266" s="600">
        <f>F266+220</f>
        <v>7511.7</v>
      </c>
      <c r="K266" s="293">
        <f t="shared" ref="K266" si="546">+J266*$X$1</f>
        <v>7511.7</v>
      </c>
      <c r="L266" s="600">
        <f>F266+170</f>
        <v>7461.7</v>
      </c>
      <c r="M266" s="293">
        <f t="shared" ref="M266" si="547">+L266*$X$1</f>
        <v>7461.7</v>
      </c>
      <c r="N266" s="600">
        <f>F266+145</f>
        <v>7436.7</v>
      </c>
      <c r="O266" s="293">
        <f t="shared" ref="O266" si="548">+N266*$X$1</f>
        <v>7436.7</v>
      </c>
      <c r="P266" s="600">
        <f>F266+130</f>
        <v>7421.7</v>
      </c>
      <c r="Q266" s="293">
        <f t="shared" ref="Q266" si="549">+P266*$X$1</f>
        <v>7421.7</v>
      </c>
      <c r="R266" s="600">
        <f>F266+110</f>
        <v>7401.7</v>
      </c>
      <c r="S266" s="293">
        <f t="shared" ref="S266" si="550">+R266*$X$1</f>
        <v>7401.7</v>
      </c>
      <c r="T266" s="104">
        <f>F266+95</f>
        <v>7386.7</v>
      </c>
      <c r="U266" s="260">
        <f t="shared" ref="U266" si="551">+T266*$X$1</f>
        <v>7386.7</v>
      </c>
      <c r="V266" s="104">
        <f>F266+80</f>
        <v>7371.7</v>
      </c>
      <c r="W266" s="260">
        <f t="shared" ref="W266" si="552">+V266*$X$1</f>
        <v>7371.7</v>
      </c>
      <c r="X266" s="490"/>
      <c r="Y266" s="490"/>
      <c r="Z266" s="490"/>
      <c r="AA266" s="490"/>
      <c r="AB266" s="197">
        <v>966</v>
      </c>
    </row>
    <row r="267" spans="1:38" s="1" customFormat="1" ht="12.6" customHeight="1" x14ac:dyDescent="0.2">
      <c r="A267" s="19"/>
      <c r="B267" s="642" t="s">
        <v>389</v>
      </c>
      <c r="C267" s="643"/>
      <c r="D267" s="643"/>
      <c r="E267" s="643"/>
      <c r="F267" s="294">
        <v>396</v>
      </c>
      <c r="G267" s="294">
        <f>+F267*$X$1</f>
        <v>396</v>
      </c>
      <c r="H267" s="285"/>
      <c r="I267" s="285"/>
      <c r="J267" s="493">
        <f>F267+180</f>
        <v>576</v>
      </c>
      <c r="K267" s="294">
        <f t="shared" si="537"/>
        <v>576</v>
      </c>
      <c r="L267" s="493">
        <f>F267+120</f>
        <v>516</v>
      </c>
      <c r="M267" s="294">
        <f>+L267*$X$1</f>
        <v>516</v>
      </c>
      <c r="N267" s="493">
        <f>F267+63</f>
        <v>459</v>
      </c>
      <c r="O267" s="294">
        <f>+N267*$X$1</f>
        <v>459</v>
      </c>
      <c r="P267" s="493">
        <f>F267+54</f>
        <v>450</v>
      </c>
      <c r="Q267" s="294">
        <f>+P267*$X$1</f>
        <v>450</v>
      </c>
      <c r="R267" s="493">
        <f>F267+45</f>
        <v>441</v>
      </c>
      <c r="S267" s="294">
        <f>+R267*$X$1</f>
        <v>441</v>
      </c>
      <c r="T267" s="103">
        <f>F267+37</f>
        <v>433</v>
      </c>
      <c r="U267" s="313">
        <f>+T267*$X$1</f>
        <v>433</v>
      </c>
      <c r="V267" s="103">
        <f>F267+32</f>
        <v>428</v>
      </c>
      <c r="W267" s="313">
        <f>+V267*$X$1</f>
        <v>428</v>
      </c>
      <c r="X267" s="153"/>
      <c r="Y267" s="153"/>
      <c r="Z267" s="153"/>
      <c r="AA267" s="153"/>
      <c r="AB267" s="197">
        <v>998</v>
      </c>
      <c r="AC267" s="76"/>
      <c r="AD267" s="4"/>
      <c r="AE267" s="4"/>
      <c r="AF267" s="4"/>
      <c r="AG267" s="4"/>
      <c r="AH267" s="4"/>
      <c r="AI267" s="4"/>
      <c r="AJ267" s="4"/>
      <c r="AK267" s="4"/>
      <c r="AL267" s="4"/>
    </row>
    <row r="268" spans="1:38" s="1" customFormat="1" ht="12.6" customHeight="1" x14ac:dyDescent="0.2">
      <c r="A268" s="19"/>
      <c r="B268" s="649" t="s">
        <v>216</v>
      </c>
      <c r="C268" s="674"/>
      <c r="D268" s="674"/>
      <c r="E268" s="675"/>
      <c r="F268" s="293">
        <v>1400</v>
      </c>
      <c r="G268" s="314">
        <f t="shared" ref="G268" si="553">+F268*$X$1</f>
        <v>1400</v>
      </c>
      <c r="H268" s="1007" t="s">
        <v>412</v>
      </c>
      <c r="I268" s="1008"/>
      <c r="J268" s="1008"/>
      <c r="K268" s="1008"/>
      <c r="L268" s="1008"/>
      <c r="M268" s="1009"/>
      <c r="N268" s="538">
        <f>F268+100</f>
        <v>1500</v>
      </c>
      <c r="O268" s="293">
        <f t="shared" ref="O268" si="554">+N268*$X$1</f>
        <v>1500</v>
      </c>
      <c r="P268" s="538">
        <f>F268+80</f>
        <v>1480</v>
      </c>
      <c r="Q268" s="293">
        <f t="shared" ref="Q268" si="555">+P268*$X$1</f>
        <v>1480</v>
      </c>
      <c r="R268" s="538">
        <f>F268+63</f>
        <v>1463</v>
      </c>
      <c r="S268" s="293">
        <f t="shared" ref="S268" si="556">+R268*$X$1</f>
        <v>1463</v>
      </c>
      <c r="T268" s="538">
        <f>F268+55</f>
        <v>1455</v>
      </c>
      <c r="U268" s="293">
        <f t="shared" ref="U268" si="557">+T268*$X$1</f>
        <v>1455</v>
      </c>
      <c r="V268" s="538">
        <f>F268+50</f>
        <v>1450</v>
      </c>
      <c r="W268" s="293">
        <f t="shared" ref="W268" si="558">+V268*$X$1</f>
        <v>1450</v>
      </c>
      <c r="X268" s="639"/>
      <c r="Y268" s="640"/>
      <c r="Z268" s="640"/>
      <c r="AA268" s="641"/>
      <c r="AB268" s="197">
        <v>1001</v>
      </c>
      <c r="AC268" s="4"/>
      <c r="AD268" s="4"/>
      <c r="AE268" s="4"/>
      <c r="AF268" s="4"/>
      <c r="AG268" s="4"/>
      <c r="AH268" s="4"/>
      <c r="AI268" s="4"/>
      <c r="AJ268" s="4"/>
      <c r="AK268" s="4"/>
      <c r="AL268" s="4"/>
    </row>
    <row r="269" spans="1:38" s="1" customFormat="1" ht="12.6" customHeight="1" x14ac:dyDescent="0.2">
      <c r="A269" s="19"/>
      <c r="B269" s="646" t="s">
        <v>217</v>
      </c>
      <c r="C269" s="655"/>
      <c r="D269" s="655"/>
      <c r="E269" s="656"/>
      <c r="F269" s="328">
        <v>1400</v>
      </c>
      <c r="G269" s="294">
        <f t="shared" ref="G269:G277" si="559">+F269*$X$1</f>
        <v>1400</v>
      </c>
      <c r="H269" s="1010"/>
      <c r="I269" s="1011"/>
      <c r="J269" s="1011"/>
      <c r="K269" s="1008"/>
      <c r="L269" s="1011"/>
      <c r="M269" s="1009"/>
      <c r="N269" s="538">
        <f>F269+100</f>
        <v>1500</v>
      </c>
      <c r="O269" s="294">
        <f t="shared" ref="O269:O272" si="560">+N269*$X$1</f>
        <v>1500</v>
      </c>
      <c r="P269" s="493">
        <f>F269+80</f>
        <v>1480</v>
      </c>
      <c r="Q269" s="294">
        <f t="shared" ref="Q269:Q272" si="561">+P269*$X$1</f>
        <v>1480</v>
      </c>
      <c r="R269" s="493">
        <f>F269+63</f>
        <v>1463</v>
      </c>
      <c r="S269" s="294">
        <f t="shared" ref="S269:S272" si="562">+R269*$X$1</f>
        <v>1463</v>
      </c>
      <c r="T269" s="493">
        <f>F269+55</f>
        <v>1455</v>
      </c>
      <c r="U269" s="294">
        <f t="shared" ref="U269:U272" si="563">+T269*$X$1</f>
        <v>1455</v>
      </c>
      <c r="V269" s="493">
        <f>F269+50</f>
        <v>1450</v>
      </c>
      <c r="W269" s="294">
        <f t="shared" ref="W269:W272" si="564">+V269*$X$1</f>
        <v>1450</v>
      </c>
      <c r="X269" s="639"/>
      <c r="Y269" s="640"/>
      <c r="Z269" s="640"/>
      <c r="AA269" s="641"/>
      <c r="AB269" s="197">
        <v>1002</v>
      </c>
      <c r="AC269" s="4"/>
      <c r="AD269" s="4"/>
      <c r="AE269" s="4"/>
      <c r="AF269" s="4"/>
      <c r="AG269" s="4"/>
      <c r="AH269" s="4"/>
      <c r="AI269" s="4"/>
      <c r="AJ269" s="4"/>
      <c r="AK269" s="4"/>
      <c r="AL269" s="4"/>
    </row>
    <row r="270" spans="1:38" s="1" customFormat="1" ht="12.6" customHeight="1" x14ac:dyDescent="0.2">
      <c r="A270" s="19"/>
      <c r="B270" s="649" t="s">
        <v>657</v>
      </c>
      <c r="C270" s="674"/>
      <c r="D270" s="674"/>
      <c r="E270" s="675"/>
      <c r="F270" s="293">
        <v>1400</v>
      </c>
      <c r="G270" s="293">
        <f t="shared" si="559"/>
        <v>1400</v>
      </c>
      <c r="H270" s="1010"/>
      <c r="I270" s="1011"/>
      <c r="J270" s="1011"/>
      <c r="K270" s="1008"/>
      <c r="L270" s="1011"/>
      <c r="M270" s="1009"/>
      <c r="N270" s="538">
        <f>F270+100</f>
        <v>1500</v>
      </c>
      <c r="O270" s="293">
        <f t="shared" si="560"/>
        <v>1500</v>
      </c>
      <c r="P270" s="538">
        <f>F270+80</f>
        <v>1480</v>
      </c>
      <c r="Q270" s="293">
        <f t="shared" si="561"/>
        <v>1480</v>
      </c>
      <c r="R270" s="538">
        <f>F270+63</f>
        <v>1463</v>
      </c>
      <c r="S270" s="293">
        <f t="shared" si="562"/>
        <v>1463</v>
      </c>
      <c r="T270" s="538">
        <f>F270+55</f>
        <v>1455</v>
      </c>
      <c r="U270" s="293">
        <f t="shared" si="563"/>
        <v>1455</v>
      </c>
      <c r="V270" s="538">
        <f>F270+50</f>
        <v>1450</v>
      </c>
      <c r="W270" s="293">
        <f t="shared" si="564"/>
        <v>1450</v>
      </c>
      <c r="X270" s="639"/>
      <c r="Y270" s="640"/>
      <c r="Z270" s="640"/>
      <c r="AA270" s="641"/>
      <c r="AB270" s="197"/>
      <c r="AC270" s="4"/>
      <c r="AD270" s="4"/>
      <c r="AE270" s="4"/>
      <c r="AF270" s="4"/>
      <c r="AG270" s="4"/>
      <c r="AH270" s="4"/>
      <c r="AI270" s="4"/>
      <c r="AJ270" s="4"/>
      <c r="AK270" s="4"/>
      <c r="AL270" s="4"/>
    </row>
    <row r="271" spans="1:38" s="1" customFormat="1" ht="12.6" customHeight="1" x14ac:dyDescent="0.2">
      <c r="A271" s="19"/>
      <c r="B271" s="642" t="s">
        <v>715</v>
      </c>
      <c r="C271" s="643"/>
      <c r="D271" s="643"/>
      <c r="E271" s="643"/>
      <c r="F271" s="294">
        <v>1650</v>
      </c>
      <c r="G271" s="294">
        <f t="shared" si="559"/>
        <v>1650</v>
      </c>
      <c r="H271" s="1010"/>
      <c r="I271" s="1011"/>
      <c r="J271" s="1011"/>
      <c r="K271" s="1008"/>
      <c r="L271" s="1011"/>
      <c r="M271" s="1009"/>
      <c r="N271" s="538">
        <f>F271+100</f>
        <v>1750</v>
      </c>
      <c r="O271" s="294">
        <f t="shared" si="560"/>
        <v>1750</v>
      </c>
      <c r="P271" s="493">
        <f>F271+80</f>
        <v>1730</v>
      </c>
      <c r="Q271" s="294">
        <f t="shared" si="561"/>
        <v>1730</v>
      </c>
      <c r="R271" s="493">
        <f>F271+63</f>
        <v>1713</v>
      </c>
      <c r="S271" s="294">
        <f t="shared" si="562"/>
        <v>1713</v>
      </c>
      <c r="T271" s="493">
        <f>F271+55</f>
        <v>1705</v>
      </c>
      <c r="U271" s="294">
        <f t="shared" si="563"/>
        <v>1705</v>
      </c>
      <c r="V271" s="493">
        <f>F271+50</f>
        <v>1700</v>
      </c>
      <c r="W271" s="294">
        <f t="shared" si="564"/>
        <v>1700</v>
      </c>
      <c r="X271" s="639"/>
      <c r="Y271" s="880"/>
      <c r="Z271" s="880"/>
      <c r="AA271" s="641"/>
      <c r="AB271" s="197">
        <v>1004</v>
      </c>
      <c r="AC271" s="4"/>
      <c r="AD271" s="4"/>
      <c r="AE271" s="4"/>
      <c r="AF271" s="4"/>
      <c r="AG271" s="4"/>
      <c r="AH271" s="4"/>
      <c r="AI271" s="4"/>
      <c r="AJ271" s="4"/>
      <c r="AK271" s="4"/>
      <c r="AL271" s="4"/>
    </row>
    <row r="272" spans="1:38" s="1" customFormat="1" ht="12.6" customHeight="1" x14ac:dyDescent="0.2">
      <c r="A272" s="19"/>
      <c r="B272" s="649" t="s">
        <v>714</v>
      </c>
      <c r="C272" s="674"/>
      <c r="D272" s="674"/>
      <c r="E272" s="675"/>
      <c r="F272" s="293">
        <v>1650</v>
      </c>
      <c r="G272" s="293">
        <f t="shared" si="559"/>
        <v>1650</v>
      </c>
      <c r="H272" s="1010"/>
      <c r="I272" s="1011"/>
      <c r="J272" s="1011"/>
      <c r="K272" s="1008"/>
      <c r="L272" s="1011"/>
      <c r="M272" s="1009"/>
      <c r="N272" s="538">
        <f>F272+100</f>
        <v>1750</v>
      </c>
      <c r="O272" s="293">
        <f t="shared" si="560"/>
        <v>1750</v>
      </c>
      <c r="P272" s="538">
        <f>F272+80</f>
        <v>1730</v>
      </c>
      <c r="Q272" s="293">
        <f t="shared" si="561"/>
        <v>1730</v>
      </c>
      <c r="R272" s="538">
        <f>F272+63</f>
        <v>1713</v>
      </c>
      <c r="S272" s="293">
        <f t="shared" si="562"/>
        <v>1713</v>
      </c>
      <c r="T272" s="538">
        <f>F272+55</f>
        <v>1705</v>
      </c>
      <c r="U272" s="293">
        <f t="shared" si="563"/>
        <v>1705</v>
      </c>
      <c r="V272" s="538">
        <f>F272+50</f>
        <v>1700</v>
      </c>
      <c r="W272" s="293">
        <f t="shared" si="564"/>
        <v>1700</v>
      </c>
      <c r="X272" s="639"/>
      <c r="Y272" s="640"/>
      <c r="Z272" s="640"/>
      <c r="AA272" s="641"/>
      <c r="AB272" s="197">
        <v>1005</v>
      </c>
      <c r="AC272" s="4"/>
      <c r="AD272" s="4"/>
      <c r="AE272" s="4"/>
      <c r="AF272" s="4"/>
      <c r="AG272" s="4"/>
      <c r="AH272" s="129"/>
      <c r="AI272" s="4"/>
      <c r="AJ272" s="4"/>
      <c r="AK272" s="4"/>
      <c r="AL272" s="4"/>
    </row>
    <row r="273" spans="1:38" s="1" customFormat="1" ht="12.6" customHeight="1" x14ac:dyDescent="0.2">
      <c r="A273" s="19"/>
      <c r="B273" s="646" t="s">
        <v>218</v>
      </c>
      <c r="C273" s="647"/>
      <c r="D273" s="647"/>
      <c r="E273" s="648"/>
      <c r="F273" s="294"/>
      <c r="G273" s="294"/>
      <c r="H273" s="1012"/>
      <c r="I273" s="1013"/>
      <c r="J273" s="1013"/>
      <c r="K273" s="1013"/>
      <c r="L273" s="1013"/>
      <c r="M273" s="1014"/>
      <c r="N273" s="493"/>
      <c r="O273" s="294"/>
      <c r="P273" s="493"/>
      <c r="Q273" s="294"/>
      <c r="R273" s="493"/>
      <c r="S273" s="294"/>
      <c r="T273" s="493"/>
      <c r="U273" s="294"/>
      <c r="V273" s="493"/>
      <c r="W273" s="294"/>
      <c r="X273" s="639"/>
      <c r="Y273" s="640"/>
      <c r="Z273" s="640"/>
      <c r="AA273" s="641"/>
      <c r="AB273" s="197">
        <v>1006</v>
      </c>
      <c r="AC273" s="4"/>
      <c r="AD273" s="4"/>
      <c r="AE273" s="4"/>
      <c r="AF273" s="4"/>
      <c r="AG273" s="4"/>
      <c r="AH273" s="129"/>
      <c r="AI273" s="4"/>
      <c r="AJ273" s="4"/>
      <c r="AK273" s="4"/>
      <c r="AL273" s="4"/>
    </row>
    <row r="274" spans="1:38" s="1" customFormat="1" ht="12.6" customHeight="1" x14ac:dyDescent="0.2">
      <c r="A274" s="19"/>
      <c r="B274" s="649" t="s">
        <v>867</v>
      </c>
      <c r="C274" s="650"/>
      <c r="D274" s="650"/>
      <c r="E274" s="651"/>
      <c r="F274" s="392">
        <f>3*X2</f>
        <v>3081</v>
      </c>
      <c r="G274" s="293">
        <f>+F274*$X$1</f>
        <v>3081</v>
      </c>
      <c r="H274" s="72">
        <f>F274+480</f>
        <v>3561</v>
      </c>
      <c r="I274" s="293">
        <f t="shared" ref="I274:I275" si="565">+H274*$X$1</f>
        <v>3561</v>
      </c>
      <c r="J274" s="598">
        <f>F274+210</f>
        <v>3291</v>
      </c>
      <c r="K274" s="293">
        <f>+J274*$X$1</f>
        <v>3291</v>
      </c>
      <c r="L274" s="598">
        <f>F274+170</f>
        <v>3251</v>
      </c>
      <c r="M274" s="293">
        <f>+L274*$X$1</f>
        <v>3251</v>
      </c>
      <c r="N274" s="72">
        <f>F274+130</f>
        <v>3211</v>
      </c>
      <c r="O274" s="293">
        <f t="shared" ref="O274:O275" si="566">+N274*$X$1</f>
        <v>3211</v>
      </c>
      <c r="P274" s="72">
        <f>F274+110</f>
        <v>3191</v>
      </c>
      <c r="Q274" s="293">
        <f t="shared" ref="Q274:Q275" si="567">+P274*$X$1</f>
        <v>3191</v>
      </c>
      <c r="R274" s="598">
        <f>F274+100</f>
        <v>3181</v>
      </c>
      <c r="S274" s="293">
        <f t="shared" ref="S274:S275" si="568">+R274*$X$1</f>
        <v>3181</v>
      </c>
      <c r="T274" s="598">
        <f>F274+93</f>
        <v>3174</v>
      </c>
      <c r="U274" s="293">
        <f t="shared" ref="U274:U275" si="569">+T274*$X$1</f>
        <v>3174</v>
      </c>
      <c r="V274" s="598">
        <f>F274+84</f>
        <v>3165</v>
      </c>
      <c r="W274" s="293">
        <f t="shared" ref="W274:W275" si="570">+V274*$X$1</f>
        <v>3165</v>
      </c>
      <c r="X274" s="530"/>
      <c r="Y274" s="528"/>
      <c r="Z274" s="528"/>
      <c r="AA274" s="529"/>
      <c r="AB274" s="197">
        <v>1026</v>
      </c>
      <c r="AC274" s="4"/>
      <c r="AD274" s="4"/>
      <c r="AE274" s="4"/>
      <c r="AF274" s="4"/>
      <c r="AG274" s="4"/>
      <c r="AH274" s="532"/>
      <c r="AI274" s="4"/>
      <c r="AJ274" s="4"/>
      <c r="AK274" s="4"/>
      <c r="AL274" s="4"/>
    </row>
    <row r="275" spans="1:38" s="1" customFormat="1" ht="12.6" customHeight="1" x14ac:dyDescent="0.2">
      <c r="A275" s="19"/>
      <c r="B275" s="646" t="s">
        <v>614</v>
      </c>
      <c r="C275" s="647"/>
      <c r="D275" s="647"/>
      <c r="E275" s="648"/>
      <c r="F275" s="398">
        <f>14.4*X2</f>
        <v>14788.800000000001</v>
      </c>
      <c r="G275" s="296">
        <f t="shared" si="559"/>
        <v>14788.800000000001</v>
      </c>
      <c r="H275" s="90">
        <f>F275+480</f>
        <v>15268.800000000001</v>
      </c>
      <c r="I275" s="294">
        <f t="shared" si="565"/>
        <v>15268.800000000001</v>
      </c>
      <c r="J275" s="493">
        <f>F275+210</f>
        <v>14998.800000000001</v>
      </c>
      <c r="K275" s="294">
        <f t="shared" ref="K275" si="571">+J275*$X$1</f>
        <v>14998.800000000001</v>
      </c>
      <c r="L275" s="493">
        <f>F275+150</f>
        <v>14938.800000000001</v>
      </c>
      <c r="M275" s="294">
        <f t="shared" ref="M275" si="572">+L275*$X$1</f>
        <v>14938.800000000001</v>
      </c>
      <c r="N275" s="493">
        <f>F275+120</f>
        <v>14908.800000000001</v>
      </c>
      <c r="O275" s="294">
        <f t="shared" si="566"/>
        <v>14908.800000000001</v>
      </c>
      <c r="P275" s="493">
        <f>F275+95</f>
        <v>14883.800000000001</v>
      </c>
      <c r="Q275" s="294">
        <f t="shared" si="567"/>
        <v>14883.800000000001</v>
      </c>
      <c r="R275" s="493">
        <f>F275+85</f>
        <v>14873.800000000001</v>
      </c>
      <c r="S275" s="294">
        <f t="shared" si="568"/>
        <v>14873.800000000001</v>
      </c>
      <c r="T275" s="493">
        <f>F275+77</f>
        <v>14865.800000000001</v>
      </c>
      <c r="U275" s="294">
        <f t="shared" si="569"/>
        <v>14865.800000000001</v>
      </c>
      <c r="V275" s="493">
        <f>F275+68</f>
        <v>14856.800000000001</v>
      </c>
      <c r="W275" s="294">
        <f t="shared" si="570"/>
        <v>14856.800000000001</v>
      </c>
      <c r="X275" s="346"/>
      <c r="Y275" s="347"/>
      <c r="Z275" s="347"/>
      <c r="AA275" s="348"/>
      <c r="AB275" s="197">
        <v>1028</v>
      </c>
      <c r="AC275" s="4"/>
      <c r="AD275" s="4"/>
      <c r="AE275" s="4"/>
      <c r="AF275" s="4"/>
      <c r="AG275" s="4"/>
      <c r="AH275" s="129"/>
      <c r="AI275" s="4"/>
      <c r="AJ275" s="4"/>
      <c r="AK275" s="4"/>
      <c r="AL275" s="4"/>
    </row>
    <row r="276" spans="1:38" s="1" customFormat="1" ht="12.6" customHeight="1" x14ac:dyDescent="0.2">
      <c r="A276" s="19"/>
      <c r="B276" s="649" t="s">
        <v>880</v>
      </c>
      <c r="C276" s="650"/>
      <c r="D276" s="650"/>
      <c r="E276" s="651"/>
      <c r="F276" s="340">
        <v>3100</v>
      </c>
      <c r="G276" s="293">
        <f t="shared" ref="G276" si="573">+F276*$X$1</f>
        <v>3100</v>
      </c>
      <c r="H276" s="72"/>
      <c r="I276" s="293"/>
      <c r="J276" s="598"/>
      <c r="K276" s="293"/>
      <c r="L276" s="598">
        <f>F276+170</f>
        <v>3270</v>
      </c>
      <c r="M276" s="293">
        <f>+L276*$X$1</f>
        <v>3270</v>
      </c>
      <c r="N276" s="72">
        <f>F276+130</f>
        <v>3230</v>
      </c>
      <c r="O276" s="293">
        <f t="shared" ref="O276:O279" si="574">+N276*$X$1</f>
        <v>3230</v>
      </c>
      <c r="P276" s="72">
        <f>F276+110</f>
        <v>3210</v>
      </c>
      <c r="Q276" s="293">
        <f t="shared" ref="Q276:Q279" si="575">+P276*$X$1</f>
        <v>3210</v>
      </c>
      <c r="R276" s="598">
        <f>F276+100</f>
        <v>3200</v>
      </c>
      <c r="S276" s="293">
        <f t="shared" ref="S276:S279" si="576">+R276*$X$1</f>
        <v>3200</v>
      </c>
      <c r="T276" s="598">
        <f>F276+93</f>
        <v>3193</v>
      </c>
      <c r="U276" s="293">
        <f t="shared" ref="U276:U279" si="577">+T276*$X$1</f>
        <v>3193</v>
      </c>
      <c r="V276" s="598">
        <f>F276+84</f>
        <v>3184</v>
      </c>
      <c r="W276" s="293">
        <f t="shared" ref="W276:W279" si="578">+V276*$X$1</f>
        <v>3184</v>
      </c>
      <c r="X276" s="543"/>
      <c r="Y276" s="544"/>
      <c r="Z276" s="544"/>
      <c r="AA276" s="545"/>
      <c r="AB276" s="197">
        <v>1029</v>
      </c>
      <c r="AC276" s="4"/>
      <c r="AD276" s="4"/>
      <c r="AE276" s="4"/>
      <c r="AF276" s="4"/>
      <c r="AG276" s="4"/>
      <c r="AH276" s="129"/>
      <c r="AI276" s="4"/>
      <c r="AJ276" s="4"/>
      <c r="AK276" s="4"/>
      <c r="AL276" s="4"/>
    </row>
    <row r="277" spans="1:38" s="1" customFormat="1" ht="12.6" customHeight="1" x14ac:dyDescent="0.2">
      <c r="A277" s="19"/>
      <c r="B277" s="646" t="s">
        <v>612</v>
      </c>
      <c r="C277" s="647"/>
      <c r="D277" s="647"/>
      <c r="E277" s="648"/>
      <c r="F277" s="339">
        <v>3100</v>
      </c>
      <c r="G277" s="294">
        <f t="shared" si="559"/>
        <v>3100</v>
      </c>
      <c r="H277" s="90"/>
      <c r="I277" s="294"/>
      <c r="J277" s="493"/>
      <c r="K277" s="294"/>
      <c r="L277" s="493">
        <f>F277+170</f>
        <v>3270</v>
      </c>
      <c r="M277" s="294">
        <f>+L277*$X$1</f>
        <v>3270</v>
      </c>
      <c r="N277" s="90">
        <f>F277+130</f>
        <v>3230</v>
      </c>
      <c r="O277" s="294">
        <f t="shared" si="574"/>
        <v>3230</v>
      </c>
      <c r="P277" s="90">
        <f>F277+110</f>
        <v>3210</v>
      </c>
      <c r="Q277" s="294">
        <f t="shared" si="575"/>
        <v>3210</v>
      </c>
      <c r="R277" s="493">
        <f>F277+100</f>
        <v>3200</v>
      </c>
      <c r="S277" s="294">
        <f t="shared" si="576"/>
        <v>3200</v>
      </c>
      <c r="T277" s="493">
        <f>F277+93</f>
        <v>3193</v>
      </c>
      <c r="U277" s="294">
        <f t="shared" si="577"/>
        <v>3193</v>
      </c>
      <c r="V277" s="493">
        <f>F277+84</f>
        <v>3184</v>
      </c>
      <c r="W277" s="294">
        <f t="shared" si="578"/>
        <v>3184</v>
      </c>
      <c r="X277" s="335"/>
      <c r="Y277" s="333"/>
      <c r="Z277" s="333"/>
      <c r="AA277" s="334"/>
      <c r="AB277" s="197">
        <v>1030</v>
      </c>
      <c r="AC277" s="4"/>
      <c r="AD277" s="4"/>
      <c r="AE277" s="4"/>
      <c r="AF277" s="4"/>
      <c r="AG277" s="4"/>
      <c r="AH277" s="129"/>
      <c r="AI277" s="4"/>
      <c r="AJ277" s="4"/>
      <c r="AK277" s="4"/>
      <c r="AL277" s="4"/>
    </row>
    <row r="278" spans="1:38" s="1" customFormat="1" ht="12.6" customHeight="1" x14ac:dyDescent="0.2">
      <c r="A278" s="19"/>
      <c r="B278" s="649" t="s">
        <v>613</v>
      </c>
      <c r="C278" s="650"/>
      <c r="D278" s="650"/>
      <c r="E278" s="651"/>
      <c r="F278" s="340">
        <v>3100</v>
      </c>
      <c r="G278" s="293">
        <f t="shared" ref="G278:G279" si="579">+F278*$X$1</f>
        <v>3100</v>
      </c>
      <c r="H278" s="72"/>
      <c r="I278" s="293"/>
      <c r="J278" s="598"/>
      <c r="K278" s="293"/>
      <c r="L278" s="598">
        <f>F278+170</f>
        <v>3270</v>
      </c>
      <c r="M278" s="293">
        <f>+L278*$X$1</f>
        <v>3270</v>
      </c>
      <c r="N278" s="72">
        <f>F278+130</f>
        <v>3230</v>
      </c>
      <c r="O278" s="293">
        <f t="shared" si="574"/>
        <v>3230</v>
      </c>
      <c r="P278" s="72">
        <f>F278+110</f>
        <v>3210</v>
      </c>
      <c r="Q278" s="293">
        <f t="shared" si="575"/>
        <v>3210</v>
      </c>
      <c r="R278" s="598">
        <f>F278+100</f>
        <v>3200</v>
      </c>
      <c r="S278" s="293">
        <f t="shared" si="576"/>
        <v>3200</v>
      </c>
      <c r="T278" s="598">
        <f>F278+93</f>
        <v>3193</v>
      </c>
      <c r="U278" s="293">
        <f t="shared" si="577"/>
        <v>3193</v>
      </c>
      <c r="V278" s="598">
        <f>F278+84</f>
        <v>3184</v>
      </c>
      <c r="W278" s="293">
        <f t="shared" si="578"/>
        <v>3184</v>
      </c>
      <c r="X278" s="341"/>
      <c r="Y278" s="342"/>
      <c r="Z278" s="342"/>
      <c r="AA278" s="343"/>
      <c r="AB278" s="197">
        <v>1031</v>
      </c>
      <c r="AC278" s="4"/>
      <c r="AD278" s="4"/>
      <c r="AE278" s="4"/>
      <c r="AF278" s="4"/>
      <c r="AG278" s="4"/>
      <c r="AH278" s="129"/>
      <c r="AI278" s="4"/>
      <c r="AJ278" s="4"/>
      <c r="AK278" s="4"/>
      <c r="AL278" s="4"/>
    </row>
    <row r="279" spans="1:38" s="1" customFormat="1" ht="12.6" customHeight="1" x14ac:dyDescent="0.2">
      <c r="A279" s="19"/>
      <c r="B279" s="646" t="s">
        <v>892</v>
      </c>
      <c r="C279" s="647"/>
      <c r="D279" s="647"/>
      <c r="E279" s="648"/>
      <c r="F279" s="393">
        <f>14.72*X2</f>
        <v>15117.44</v>
      </c>
      <c r="G279" s="294">
        <f t="shared" si="579"/>
        <v>15117.44</v>
      </c>
      <c r="H279" s="90">
        <f t="shared" ref="H279:H300" si="580">F279+480</f>
        <v>15597.44</v>
      </c>
      <c r="I279" s="294">
        <f t="shared" ref="I279" si="581">+H279*$X$1</f>
        <v>15597.44</v>
      </c>
      <c r="J279" s="493">
        <f t="shared" ref="J279:J300" si="582">F279+210</f>
        <v>15327.44</v>
      </c>
      <c r="K279" s="294">
        <f t="shared" ref="K279" si="583">+J279*$X$1</f>
        <v>15327.44</v>
      </c>
      <c r="L279" s="493">
        <f t="shared" ref="L279:L294" si="584">F279+150</f>
        <v>15267.44</v>
      </c>
      <c r="M279" s="294">
        <f t="shared" ref="M279" si="585">+L279*$X$1</f>
        <v>15267.44</v>
      </c>
      <c r="N279" s="493">
        <f t="shared" ref="N279:N294" si="586">F279+120</f>
        <v>15237.44</v>
      </c>
      <c r="O279" s="294">
        <f t="shared" si="574"/>
        <v>15237.44</v>
      </c>
      <c r="P279" s="493">
        <f t="shared" ref="P279:P294" si="587">F279+95</f>
        <v>15212.44</v>
      </c>
      <c r="Q279" s="294">
        <f t="shared" si="575"/>
        <v>15212.44</v>
      </c>
      <c r="R279" s="493">
        <f t="shared" ref="R279:R294" si="588">F279+85</f>
        <v>15202.44</v>
      </c>
      <c r="S279" s="294">
        <f t="shared" si="576"/>
        <v>15202.44</v>
      </c>
      <c r="T279" s="493">
        <f t="shared" ref="T279:T294" si="589">F279+77</f>
        <v>15194.44</v>
      </c>
      <c r="U279" s="294">
        <f t="shared" si="577"/>
        <v>15194.44</v>
      </c>
      <c r="V279" s="493">
        <f t="shared" ref="V279:V294" si="590">F279+68</f>
        <v>15185.44</v>
      </c>
      <c r="W279" s="294">
        <f t="shared" si="578"/>
        <v>15185.44</v>
      </c>
      <c r="X279" s="254"/>
      <c r="Y279" s="255"/>
      <c r="Z279" s="255"/>
      <c r="AA279" s="256"/>
      <c r="AB279" s="197">
        <v>1032</v>
      </c>
      <c r="AC279" s="4"/>
      <c r="AD279" s="4"/>
      <c r="AE279" s="4"/>
      <c r="AF279" s="4"/>
      <c r="AG279" s="4"/>
      <c r="AH279" s="129"/>
      <c r="AI279" s="4"/>
      <c r="AJ279" s="4"/>
      <c r="AK279" s="4"/>
      <c r="AL279" s="4"/>
    </row>
    <row r="280" spans="1:38" s="1" customFormat="1" ht="12.6" customHeight="1" x14ac:dyDescent="0.2">
      <c r="A280" s="19"/>
      <c r="B280" s="649" t="s">
        <v>489</v>
      </c>
      <c r="C280" s="650"/>
      <c r="D280" s="650"/>
      <c r="E280" s="651"/>
      <c r="F280" s="392">
        <f>20.46*X2</f>
        <v>21012.420000000002</v>
      </c>
      <c r="G280" s="293">
        <f t="shared" ref="G280" si="591">+F280*$X$1</f>
        <v>21012.420000000002</v>
      </c>
      <c r="H280" s="72">
        <f t="shared" si="580"/>
        <v>21492.420000000002</v>
      </c>
      <c r="I280" s="293">
        <f t="shared" ref="I280:I294" si="592">+H280*$X$1</f>
        <v>21492.420000000002</v>
      </c>
      <c r="J280" s="598">
        <f t="shared" si="582"/>
        <v>21222.420000000002</v>
      </c>
      <c r="K280" s="293">
        <f t="shared" ref="K280:K294" si="593">+J280*$X$1</f>
        <v>21222.420000000002</v>
      </c>
      <c r="L280" s="598">
        <f t="shared" si="584"/>
        <v>21162.420000000002</v>
      </c>
      <c r="M280" s="293">
        <f t="shared" ref="M280:M294" si="594">+L280*$X$1</f>
        <v>21162.420000000002</v>
      </c>
      <c r="N280" s="598">
        <f t="shared" si="586"/>
        <v>21132.420000000002</v>
      </c>
      <c r="O280" s="293">
        <f t="shared" ref="O280:O294" si="595">+N280*$X$1</f>
        <v>21132.420000000002</v>
      </c>
      <c r="P280" s="598">
        <f t="shared" si="587"/>
        <v>21107.420000000002</v>
      </c>
      <c r="Q280" s="293">
        <f t="shared" ref="Q280:Q294" si="596">+P280*$X$1</f>
        <v>21107.420000000002</v>
      </c>
      <c r="R280" s="598">
        <f t="shared" si="588"/>
        <v>21097.420000000002</v>
      </c>
      <c r="S280" s="293">
        <f t="shared" ref="S280:S294" si="597">+R280*$X$1</f>
        <v>21097.420000000002</v>
      </c>
      <c r="T280" s="598">
        <f t="shared" si="589"/>
        <v>21089.420000000002</v>
      </c>
      <c r="U280" s="293">
        <f t="shared" ref="U280:U294" si="598">+T280*$X$1</f>
        <v>21089.420000000002</v>
      </c>
      <c r="V280" s="598">
        <f t="shared" si="590"/>
        <v>21080.420000000002</v>
      </c>
      <c r="W280" s="293">
        <f t="shared" ref="W280:W294" si="599">+V280*$X$1</f>
        <v>21080.420000000002</v>
      </c>
      <c r="X280" s="247"/>
      <c r="Y280" s="249"/>
      <c r="Z280" s="249"/>
      <c r="AA280" s="248"/>
      <c r="AB280" s="197">
        <v>1034</v>
      </c>
      <c r="AC280" s="4"/>
      <c r="AD280" s="4"/>
      <c r="AE280" s="4"/>
      <c r="AF280" s="4"/>
      <c r="AG280" s="4"/>
      <c r="AH280" s="129"/>
      <c r="AI280" s="4"/>
      <c r="AJ280" s="4"/>
      <c r="AK280" s="4"/>
      <c r="AL280" s="4"/>
    </row>
    <row r="281" spans="1:38" ht="12.6" customHeight="1" x14ac:dyDescent="0.2">
      <c r="A281" s="18"/>
      <c r="B281" s="642" t="s">
        <v>451</v>
      </c>
      <c r="C281" s="643"/>
      <c r="D281" s="643"/>
      <c r="E281" s="643"/>
      <c r="F281" s="339">
        <v>12830</v>
      </c>
      <c r="G281" s="294">
        <f>+F281*$X$1</f>
        <v>12830</v>
      </c>
      <c r="H281" s="90">
        <f t="shared" si="580"/>
        <v>13310</v>
      </c>
      <c r="I281" s="294">
        <f t="shared" si="592"/>
        <v>13310</v>
      </c>
      <c r="J281" s="493">
        <f t="shared" si="582"/>
        <v>13040</v>
      </c>
      <c r="K281" s="294">
        <f t="shared" si="593"/>
        <v>13040</v>
      </c>
      <c r="L281" s="493">
        <f t="shared" si="584"/>
        <v>12980</v>
      </c>
      <c r="M281" s="294">
        <f t="shared" si="594"/>
        <v>12980</v>
      </c>
      <c r="N281" s="493">
        <f t="shared" si="586"/>
        <v>12950</v>
      </c>
      <c r="O281" s="294">
        <f t="shared" si="595"/>
        <v>12950</v>
      </c>
      <c r="P281" s="493">
        <f t="shared" si="587"/>
        <v>12925</v>
      </c>
      <c r="Q281" s="294">
        <f t="shared" si="596"/>
        <v>12925</v>
      </c>
      <c r="R281" s="493">
        <f t="shared" si="588"/>
        <v>12915</v>
      </c>
      <c r="S281" s="294">
        <f t="shared" si="597"/>
        <v>12915</v>
      </c>
      <c r="T281" s="493">
        <f t="shared" si="589"/>
        <v>12907</v>
      </c>
      <c r="U281" s="294">
        <f t="shared" si="598"/>
        <v>12907</v>
      </c>
      <c r="V281" s="493">
        <f t="shared" si="590"/>
        <v>12898</v>
      </c>
      <c r="W281" s="294">
        <f t="shared" si="599"/>
        <v>12898</v>
      </c>
      <c r="X281" s="639"/>
      <c r="Y281" s="640"/>
      <c r="Z281" s="640"/>
      <c r="AA281" s="641"/>
      <c r="AB281" s="197">
        <v>1040</v>
      </c>
      <c r="AC281" s="65"/>
    </row>
    <row r="282" spans="1:38" ht="12.6" customHeight="1" x14ac:dyDescent="0.2">
      <c r="A282" s="18"/>
      <c r="B282" s="644" t="s">
        <v>797</v>
      </c>
      <c r="C282" s="645"/>
      <c r="D282" s="645"/>
      <c r="E282" s="645"/>
      <c r="F282" s="392">
        <f>21.3*X2</f>
        <v>21875.100000000002</v>
      </c>
      <c r="G282" s="293">
        <f>+F282*$X$1</f>
        <v>21875.100000000002</v>
      </c>
      <c r="H282" s="72">
        <f t="shared" si="580"/>
        <v>22355.100000000002</v>
      </c>
      <c r="I282" s="293">
        <f t="shared" si="592"/>
        <v>22355.100000000002</v>
      </c>
      <c r="J282" s="598">
        <f t="shared" si="582"/>
        <v>22085.100000000002</v>
      </c>
      <c r="K282" s="293">
        <f t="shared" si="593"/>
        <v>22085.100000000002</v>
      </c>
      <c r="L282" s="598">
        <f t="shared" si="584"/>
        <v>22025.100000000002</v>
      </c>
      <c r="M282" s="293">
        <f t="shared" si="594"/>
        <v>22025.100000000002</v>
      </c>
      <c r="N282" s="598">
        <f t="shared" si="586"/>
        <v>21995.100000000002</v>
      </c>
      <c r="O282" s="293">
        <f t="shared" si="595"/>
        <v>21995.100000000002</v>
      </c>
      <c r="P282" s="598">
        <f t="shared" si="587"/>
        <v>21970.100000000002</v>
      </c>
      <c r="Q282" s="293">
        <f t="shared" si="596"/>
        <v>21970.100000000002</v>
      </c>
      <c r="R282" s="598">
        <f t="shared" si="588"/>
        <v>21960.100000000002</v>
      </c>
      <c r="S282" s="293">
        <f t="shared" si="597"/>
        <v>21960.100000000002</v>
      </c>
      <c r="T282" s="598">
        <f t="shared" si="589"/>
        <v>21952.100000000002</v>
      </c>
      <c r="U282" s="293">
        <f t="shared" si="598"/>
        <v>21952.100000000002</v>
      </c>
      <c r="V282" s="598">
        <f t="shared" si="590"/>
        <v>21943.100000000002</v>
      </c>
      <c r="W282" s="293">
        <f t="shared" si="599"/>
        <v>21943.100000000002</v>
      </c>
      <c r="X282" s="639"/>
      <c r="Y282" s="640"/>
      <c r="Z282" s="640"/>
      <c r="AA282" s="641"/>
      <c r="AB282" s="197">
        <v>1041</v>
      </c>
      <c r="AC282" s="65"/>
    </row>
    <row r="283" spans="1:38" ht="12.6" customHeight="1" x14ac:dyDescent="0.2">
      <c r="A283" s="18"/>
      <c r="B283" s="642" t="s">
        <v>796</v>
      </c>
      <c r="C283" s="643"/>
      <c r="D283" s="643"/>
      <c r="E283" s="643"/>
      <c r="F283" s="393">
        <f>14.8*X2</f>
        <v>15199.6</v>
      </c>
      <c r="G283" s="294">
        <f t="shared" ref="G283" si="600">+F283*$X$1</f>
        <v>15199.6</v>
      </c>
      <c r="H283" s="90">
        <f t="shared" si="580"/>
        <v>15679.6</v>
      </c>
      <c r="I283" s="294">
        <f t="shared" si="592"/>
        <v>15679.6</v>
      </c>
      <c r="J283" s="493">
        <f t="shared" si="582"/>
        <v>15409.6</v>
      </c>
      <c r="K283" s="294">
        <f t="shared" si="593"/>
        <v>15409.6</v>
      </c>
      <c r="L283" s="493">
        <f t="shared" si="584"/>
        <v>15349.6</v>
      </c>
      <c r="M283" s="294">
        <f t="shared" si="594"/>
        <v>15349.6</v>
      </c>
      <c r="N283" s="493">
        <f t="shared" si="586"/>
        <v>15319.6</v>
      </c>
      <c r="O283" s="294">
        <f t="shared" si="595"/>
        <v>15319.6</v>
      </c>
      <c r="P283" s="493">
        <f t="shared" si="587"/>
        <v>15294.6</v>
      </c>
      <c r="Q283" s="294">
        <f t="shared" si="596"/>
        <v>15294.6</v>
      </c>
      <c r="R283" s="493">
        <f t="shared" si="588"/>
        <v>15284.6</v>
      </c>
      <c r="S283" s="294">
        <f t="shared" si="597"/>
        <v>15284.6</v>
      </c>
      <c r="T283" s="493">
        <f t="shared" si="589"/>
        <v>15276.6</v>
      </c>
      <c r="U283" s="294">
        <f t="shared" si="598"/>
        <v>15276.6</v>
      </c>
      <c r="V283" s="493">
        <f t="shared" si="590"/>
        <v>15267.6</v>
      </c>
      <c r="W283" s="294">
        <f t="shared" si="599"/>
        <v>15267.6</v>
      </c>
      <c r="X283" s="639"/>
      <c r="Y283" s="640"/>
      <c r="Z283" s="640"/>
      <c r="AA283" s="641"/>
      <c r="AB283" s="197">
        <v>1042</v>
      </c>
    </row>
    <row r="284" spans="1:38" ht="12.6" customHeight="1" x14ac:dyDescent="0.2">
      <c r="A284" s="18"/>
      <c r="B284" s="644" t="s">
        <v>539</v>
      </c>
      <c r="C284" s="645"/>
      <c r="D284" s="645"/>
      <c r="E284" s="645"/>
      <c r="F284" s="340">
        <v>19510</v>
      </c>
      <c r="G284" s="293">
        <f t="shared" ref="G284:G291" si="601">+F284*$X$1</f>
        <v>19510</v>
      </c>
      <c r="H284" s="72">
        <f t="shared" si="580"/>
        <v>19990</v>
      </c>
      <c r="I284" s="293">
        <f t="shared" si="592"/>
        <v>19990</v>
      </c>
      <c r="J284" s="598">
        <f t="shared" si="582"/>
        <v>19720</v>
      </c>
      <c r="K284" s="293">
        <f t="shared" si="593"/>
        <v>19720</v>
      </c>
      <c r="L284" s="598">
        <f t="shared" si="584"/>
        <v>19660</v>
      </c>
      <c r="M284" s="293">
        <f t="shared" si="594"/>
        <v>19660</v>
      </c>
      <c r="N284" s="598">
        <f t="shared" si="586"/>
        <v>19630</v>
      </c>
      <c r="O284" s="293">
        <f t="shared" si="595"/>
        <v>19630</v>
      </c>
      <c r="P284" s="598">
        <f t="shared" si="587"/>
        <v>19605</v>
      </c>
      <c r="Q284" s="293">
        <f t="shared" si="596"/>
        <v>19605</v>
      </c>
      <c r="R284" s="598">
        <f t="shared" si="588"/>
        <v>19595</v>
      </c>
      <c r="S284" s="293">
        <f t="shared" si="597"/>
        <v>19595</v>
      </c>
      <c r="T284" s="598">
        <f t="shared" si="589"/>
        <v>19587</v>
      </c>
      <c r="U284" s="293">
        <f t="shared" si="598"/>
        <v>19587</v>
      </c>
      <c r="V284" s="598">
        <f t="shared" si="590"/>
        <v>19578</v>
      </c>
      <c r="W284" s="293">
        <f t="shared" si="599"/>
        <v>19578</v>
      </c>
      <c r="X284" s="639"/>
      <c r="Y284" s="640"/>
      <c r="Z284" s="640"/>
      <c r="AA284" s="641"/>
      <c r="AB284" s="197">
        <v>1043</v>
      </c>
      <c r="AC284" s="65"/>
    </row>
    <row r="285" spans="1:38" ht="12.6" customHeight="1" x14ac:dyDescent="0.2">
      <c r="A285" s="18"/>
      <c r="B285" s="642" t="s">
        <v>540</v>
      </c>
      <c r="C285" s="643"/>
      <c r="D285" s="643"/>
      <c r="E285" s="643"/>
      <c r="F285" s="339">
        <v>21518</v>
      </c>
      <c r="G285" s="294">
        <f t="shared" si="601"/>
        <v>21518</v>
      </c>
      <c r="H285" s="90">
        <f t="shared" si="580"/>
        <v>21998</v>
      </c>
      <c r="I285" s="294">
        <f t="shared" si="592"/>
        <v>21998</v>
      </c>
      <c r="J285" s="493">
        <f t="shared" si="582"/>
        <v>21728</v>
      </c>
      <c r="K285" s="294">
        <f t="shared" si="593"/>
        <v>21728</v>
      </c>
      <c r="L285" s="493">
        <f t="shared" si="584"/>
        <v>21668</v>
      </c>
      <c r="M285" s="294">
        <f t="shared" si="594"/>
        <v>21668</v>
      </c>
      <c r="N285" s="493">
        <f t="shared" si="586"/>
        <v>21638</v>
      </c>
      <c r="O285" s="294">
        <f t="shared" si="595"/>
        <v>21638</v>
      </c>
      <c r="P285" s="493">
        <f t="shared" si="587"/>
        <v>21613</v>
      </c>
      <c r="Q285" s="294">
        <f t="shared" si="596"/>
        <v>21613</v>
      </c>
      <c r="R285" s="493">
        <f t="shared" si="588"/>
        <v>21603</v>
      </c>
      <c r="S285" s="294">
        <f t="shared" si="597"/>
        <v>21603</v>
      </c>
      <c r="T285" s="493">
        <f t="shared" si="589"/>
        <v>21595</v>
      </c>
      <c r="U285" s="294">
        <f t="shared" si="598"/>
        <v>21595</v>
      </c>
      <c r="V285" s="493">
        <f t="shared" si="590"/>
        <v>21586</v>
      </c>
      <c r="W285" s="294">
        <f t="shared" si="599"/>
        <v>21586</v>
      </c>
      <c r="X285" s="639"/>
      <c r="Y285" s="640"/>
      <c r="Z285" s="640"/>
      <c r="AA285" s="641"/>
      <c r="AB285" s="197">
        <v>1044</v>
      </c>
      <c r="AC285" s="65"/>
    </row>
    <row r="286" spans="1:38" ht="12.6" customHeight="1" x14ac:dyDescent="0.2">
      <c r="A286" s="18"/>
      <c r="B286" s="644" t="s">
        <v>835</v>
      </c>
      <c r="C286" s="645"/>
      <c r="D286" s="645"/>
      <c r="E286" s="645"/>
      <c r="F286" s="340">
        <v>22657</v>
      </c>
      <c r="G286" s="293">
        <f>+F286*$X$1</f>
        <v>22657</v>
      </c>
      <c r="H286" s="72">
        <f t="shared" si="580"/>
        <v>23137</v>
      </c>
      <c r="I286" s="293">
        <f t="shared" si="592"/>
        <v>23137</v>
      </c>
      <c r="J286" s="598">
        <f t="shared" si="582"/>
        <v>22867</v>
      </c>
      <c r="K286" s="293">
        <f t="shared" si="593"/>
        <v>22867</v>
      </c>
      <c r="L286" s="598">
        <f t="shared" si="584"/>
        <v>22807</v>
      </c>
      <c r="M286" s="293">
        <f t="shared" si="594"/>
        <v>22807</v>
      </c>
      <c r="N286" s="598">
        <f t="shared" si="586"/>
        <v>22777</v>
      </c>
      <c r="O286" s="293">
        <f t="shared" si="595"/>
        <v>22777</v>
      </c>
      <c r="P286" s="598">
        <f t="shared" si="587"/>
        <v>22752</v>
      </c>
      <c r="Q286" s="293">
        <f t="shared" si="596"/>
        <v>22752</v>
      </c>
      <c r="R286" s="598">
        <f t="shared" si="588"/>
        <v>22742</v>
      </c>
      <c r="S286" s="293">
        <f t="shared" si="597"/>
        <v>22742</v>
      </c>
      <c r="T286" s="598">
        <f t="shared" si="589"/>
        <v>22734</v>
      </c>
      <c r="U286" s="293">
        <f t="shared" si="598"/>
        <v>22734</v>
      </c>
      <c r="V286" s="598">
        <f t="shared" si="590"/>
        <v>22725</v>
      </c>
      <c r="W286" s="293">
        <f t="shared" si="599"/>
        <v>22725</v>
      </c>
      <c r="X286" s="640"/>
      <c r="Y286" s="640"/>
      <c r="Z286" s="640"/>
      <c r="AA286" s="641"/>
      <c r="AB286" s="197">
        <v>1045</v>
      </c>
      <c r="AC286" s="65"/>
    </row>
    <row r="287" spans="1:38" ht="12.6" customHeight="1" x14ac:dyDescent="0.2">
      <c r="A287" s="18"/>
      <c r="B287" s="642" t="s">
        <v>572</v>
      </c>
      <c r="C287" s="643"/>
      <c r="D287" s="643"/>
      <c r="E287" s="643"/>
      <c r="F287" s="339">
        <v>11712</v>
      </c>
      <c r="G287" s="294">
        <f t="shared" si="601"/>
        <v>11712</v>
      </c>
      <c r="H287" s="90">
        <f t="shared" si="580"/>
        <v>12192</v>
      </c>
      <c r="I287" s="294">
        <f t="shared" si="592"/>
        <v>12192</v>
      </c>
      <c r="J287" s="493">
        <f t="shared" si="582"/>
        <v>11922</v>
      </c>
      <c r="K287" s="294">
        <f t="shared" si="593"/>
        <v>11922</v>
      </c>
      <c r="L287" s="493">
        <f t="shared" si="584"/>
        <v>11862</v>
      </c>
      <c r="M287" s="294">
        <f t="shared" si="594"/>
        <v>11862</v>
      </c>
      <c r="N287" s="493">
        <f t="shared" si="586"/>
        <v>11832</v>
      </c>
      <c r="O287" s="294">
        <f t="shared" si="595"/>
        <v>11832</v>
      </c>
      <c r="P287" s="493">
        <f t="shared" si="587"/>
        <v>11807</v>
      </c>
      <c r="Q287" s="294">
        <f t="shared" si="596"/>
        <v>11807</v>
      </c>
      <c r="R287" s="493">
        <f t="shared" si="588"/>
        <v>11797</v>
      </c>
      <c r="S287" s="294">
        <f t="shared" si="597"/>
        <v>11797</v>
      </c>
      <c r="T287" s="493">
        <f t="shared" si="589"/>
        <v>11789</v>
      </c>
      <c r="U287" s="294">
        <f t="shared" si="598"/>
        <v>11789</v>
      </c>
      <c r="V287" s="493">
        <f t="shared" si="590"/>
        <v>11780</v>
      </c>
      <c r="W287" s="294">
        <f t="shared" si="599"/>
        <v>11780</v>
      </c>
      <c r="X287" s="639"/>
      <c r="Y287" s="640"/>
      <c r="Z287" s="640"/>
      <c r="AA287" s="641"/>
      <c r="AB287" s="197">
        <v>1048</v>
      </c>
      <c r="AC287" s="65"/>
    </row>
    <row r="288" spans="1:38" ht="12.6" customHeight="1" x14ac:dyDescent="0.2">
      <c r="A288" s="18"/>
      <c r="B288" s="644" t="s">
        <v>571</v>
      </c>
      <c r="C288" s="645"/>
      <c r="D288" s="645"/>
      <c r="E288" s="645"/>
      <c r="F288" s="340">
        <v>9727</v>
      </c>
      <c r="G288" s="293">
        <f t="shared" si="601"/>
        <v>9727</v>
      </c>
      <c r="H288" s="72">
        <f t="shared" si="580"/>
        <v>10207</v>
      </c>
      <c r="I288" s="293">
        <f t="shared" si="592"/>
        <v>10207</v>
      </c>
      <c r="J288" s="598">
        <f t="shared" si="582"/>
        <v>9937</v>
      </c>
      <c r="K288" s="293">
        <f t="shared" si="593"/>
        <v>9937</v>
      </c>
      <c r="L288" s="598">
        <f t="shared" si="584"/>
        <v>9877</v>
      </c>
      <c r="M288" s="293">
        <f t="shared" si="594"/>
        <v>9877</v>
      </c>
      <c r="N288" s="598">
        <f t="shared" si="586"/>
        <v>9847</v>
      </c>
      <c r="O288" s="293">
        <f t="shared" si="595"/>
        <v>9847</v>
      </c>
      <c r="P288" s="598">
        <f t="shared" si="587"/>
        <v>9822</v>
      </c>
      <c r="Q288" s="293">
        <f t="shared" si="596"/>
        <v>9822</v>
      </c>
      <c r="R288" s="598">
        <f t="shared" si="588"/>
        <v>9812</v>
      </c>
      <c r="S288" s="293">
        <f t="shared" si="597"/>
        <v>9812</v>
      </c>
      <c r="T288" s="598">
        <f t="shared" si="589"/>
        <v>9804</v>
      </c>
      <c r="U288" s="293">
        <f t="shared" si="598"/>
        <v>9804</v>
      </c>
      <c r="V288" s="598">
        <f t="shared" si="590"/>
        <v>9795</v>
      </c>
      <c r="W288" s="293">
        <f t="shared" si="599"/>
        <v>9795</v>
      </c>
      <c r="X288" s="639"/>
      <c r="Y288" s="640"/>
      <c r="Z288" s="640"/>
      <c r="AA288" s="641"/>
      <c r="AB288" s="197">
        <v>1049</v>
      </c>
      <c r="AC288" s="65"/>
    </row>
    <row r="289" spans="1:29" ht="12.6" customHeight="1" x14ac:dyDescent="0.2">
      <c r="A289" s="18"/>
      <c r="B289" s="642" t="s">
        <v>573</v>
      </c>
      <c r="C289" s="643"/>
      <c r="D289" s="643"/>
      <c r="E289" s="643"/>
      <c r="F289" s="339">
        <v>11200</v>
      </c>
      <c r="G289" s="294">
        <f t="shared" si="601"/>
        <v>11200</v>
      </c>
      <c r="H289" s="90">
        <f t="shared" si="580"/>
        <v>11680</v>
      </c>
      <c r="I289" s="294">
        <f t="shared" si="592"/>
        <v>11680</v>
      </c>
      <c r="J289" s="493">
        <f t="shared" si="582"/>
        <v>11410</v>
      </c>
      <c r="K289" s="294">
        <f t="shared" si="593"/>
        <v>11410</v>
      </c>
      <c r="L289" s="493">
        <f t="shared" si="584"/>
        <v>11350</v>
      </c>
      <c r="M289" s="294">
        <f t="shared" si="594"/>
        <v>11350</v>
      </c>
      <c r="N289" s="493">
        <f t="shared" si="586"/>
        <v>11320</v>
      </c>
      <c r="O289" s="294">
        <f t="shared" si="595"/>
        <v>11320</v>
      </c>
      <c r="P289" s="493">
        <f t="shared" si="587"/>
        <v>11295</v>
      </c>
      <c r="Q289" s="294">
        <f t="shared" si="596"/>
        <v>11295</v>
      </c>
      <c r="R289" s="493">
        <f t="shared" si="588"/>
        <v>11285</v>
      </c>
      <c r="S289" s="294">
        <f t="shared" si="597"/>
        <v>11285</v>
      </c>
      <c r="T289" s="493">
        <f t="shared" si="589"/>
        <v>11277</v>
      </c>
      <c r="U289" s="294">
        <f t="shared" si="598"/>
        <v>11277</v>
      </c>
      <c r="V289" s="493">
        <f t="shared" si="590"/>
        <v>11268</v>
      </c>
      <c r="W289" s="294">
        <f t="shared" si="599"/>
        <v>11268</v>
      </c>
      <c r="X289" s="639"/>
      <c r="Y289" s="640"/>
      <c r="Z289" s="640"/>
      <c r="AA289" s="641"/>
      <c r="AB289" s="197">
        <v>1050</v>
      </c>
      <c r="AC289" s="65"/>
    </row>
    <row r="290" spans="1:29" ht="12.6" customHeight="1" x14ac:dyDescent="0.2">
      <c r="A290" s="18"/>
      <c r="B290" s="649" t="s">
        <v>836</v>
      </c>
      <c r="C290" s="674"/>
      <c r="D290" s="674"/>
      <c r="E290" s="675"/>
      <c r="F290" s="392">
        <f>12.3*X2</f>
        <v>12632.1</v>
      </c>
      <c r="G290" s="293">
        <f t="shared" ref="G290" si="602">+F290*$X$1</f>
        <v>12632.1</v>
      </c>
      <c r="H290" s="72">
        <f t="shared" si="580"/>
        <v>13112.1</v>
      </c>
      <c r="I290" s="293">
        <f t="shared" si="592"/>
        <v>13112.1</v>
      </c>
      <c r="J290" s="598">
        <f t="shared" si="582"/>
        <v>12842.1</v>
      </c>
      <c r="K290" s="293">
        <f t="shared" si="593"/>
        <v>12842.1</v>
      </c>
      <c r="L290" s="598">
        <f t="shared" si="584"/>
        <v>12782.1</v>
      </c>
      <c r="M290" s="293">
        <f t="shared" si="594"/>
        <v>12782.1</v>
      </c>
      <c r="N290" s="598">
        <f t="shared" si="586"/>
        <v>12752.1</v>
      </c>
      <c r="O290" s="293">
        <f t="shared" si="595"/>
        <v>12752.1</v>
      </c>
      <c r="P290" s="598">
        <f t="shared" si="587"/>
        <v>12727.1</v>
      </c>
      <c r="Q290" s="293">
        <f t="shared" si="596"/>
        <v>12727.1</v>
      </c>
      <c r="R290" s="598">
        <f t="shared" si="588"/>
        <v>12717.1</v>
      </c>
      <c r="S290" s="293">
        <f t="shared" si="597"/>
        <v>12717.1</v>
      </c>
      <c r="T290" s="598">
        <f t="shared" si="589"/>
        <v>12709.1</v>
      </c>
      <c r="U290" s="293">
        <f t="shared" si="598"/>
        <v>12709.1</v>
      </c>
      <c r="V290" s="598">
        <f t="shared" si="590"/>
        <v>12700.1</v>
      </c>
      <c r="W290" s="293">
        <f t="shared" si="599"/>
        <v>12700.1</v>
      </c>
      <c r="X290" s="639"/>
      <c r="Y290" s="640"/>
      <c r="Z290" s="640"/>
      <c r="AA290" s="641"/>
      <c r="AB290" s="197">
        <v>1052</v>
      </c>
      <c r="AC290" s="65"/>
    </row>
    <row r="291" spans="1:29" ht="12.6" customHeight="1" x14ac:dyDescent="0.2">
      <c r="A291" s="18"/>
      <c r="B291" s="646" t="s">
        <v>481</v>
      </c>
      <c r="C291" s="655"/>
      <c r="D291" s="655"/>
      <c r="E291" s="656"/>
      <c r="F291" s="393">
        <f>31.583*X2</f>
        <v>32435.740999999998</v>
      </c>
      <c r="G291" s="294">
        <f t="shared" si="601"/>
        <v>32435.740999999998</v>
      </c>
      <c r="H291" s="90">
        <f t="shared" si="580"/>
        <v>32915.740999999995</v>
      </c>
      <c r="I291" s="294">
        <f t="shared" si="592"/>
        <v>32915.740999999995</v>
      </c>
      <c r="J291" s="493">
        <f t="shared" si="582"/>
        <v>32645.740999999998</v>
      </c>
      <c r="K291" s="294">
        <f t="shared" si="593"/>
        <v>32645.740999999998</v>
      </c>
      <c r="L291" s="493">
        <f t="shared" si="584"/>
        <v>32585.740999999998</v>
      </c>
      <c r="M291" s="294">
        <f t="shared" si="594"/>
        <v>32585.740999999998</v>
      </c>
      <c r="N291" s="493">
        <f t="shared" si="586"/>
        <v>32555.740999999998</v>
      </c>
      <c r="O291" s="294">
        <f t="shared" si="595"/>
        <v>32555.740999999998</v>
      </c>
      <c r="P291" s="493">
        <f t="shared" si="587"/>
        <v>32530.740999999998</v>
      </c>
      <c r="Q291" s="294">
        <f t="shared" si="596"/>
        <v>32530.740999999998</v>
      </c>
      <c r="R291" s="493">
        <f t="shared" si="588"/>
        <v>32520.740999999998</v>
      </c>
      <c r="S291" s="294">
        <f t="shared" si="597"/>
        <v>32520.740999999998</v>
      </c>
      <c r="T291" s="493">
        <f t="shared" si="589"/>
        <v>32512.740999999998</v>
      </c>
      <c r="U291" s="294">
        <f t="shared" si="598"/>
        <v>32512.740999999998</v>
      </c>
      <c r="V291" s="493">
        <f t="shared" si="590"/>
        <v>32503.740999999998</v>
      </c>
      <c r="W291" s="294">
        <f t="shared" si="599"/>
        <v>32503.740999999998</v>
      </c>
      <c r="X291" s="639"/>
      <c r="Y291" s="640"/>
      <c r="Z291" s="640"/>
      <c r="AA291" s="641"/>
      <c r="AB291" s="197">
        <v>1053</v>
      </c>
      <c r="AC291" s="65"/>
    </row>
    <row r="292" spans="1:29" ht="12.6" customHeight="1" x14ac:dyDescent="0.2">
      <c r="A292" s="18"/>
      <c r="B292" s="649" t="s">
        <v>898</v>
      </c>
      <c r="C292" s="674"/>
      <c r="D292" s="674"/>
      <c r="E292" s="675"/>
      <c r="F292" s="392">
        <f>10.57*X2</f>
        <v>10855.39</v>
      </c>
      <c r="G292" s="293">
        <f t="shared" ref="G292" si="603">+F292*$X$1</f>
        <v>10855.39</v>
      </c>
      <c r="H292" s="72">
        <f t="shared" si="580"/>
        <v>11335.39</v>
      </c>
      <c r="I292" s="293">
        <f t="shared" si="592"/>
        <v>11335.39</v>
      </c>
      <c r="J292" s="598">
        <f t="shared" si="582"/>
        <v>11065.39</v>
      </c>
      <c r="K292" s="293">
        <f t="shared" si="593"/>
        <v>11065.39</v>
      </c>
      <c r="L292" s="598">
        <f t="shared" si="584"/>
        <v>11005.39</v>
      </c>
      <c r="M292" s="293">
        <f t="shared" si="594"/>
        <v>11005.39</v>
      </c>
      <c r="N292" s="598">
        <f t="shared" si="586"/>
        <v>10975.39</v>
      </c>
      <c r="O292" s="293">
        <f t="shared" si="595"/>
        <v>10975.39</v>
      </c>
      <c r="P292" s="598">
        <f t="shared" si="587"/>
        <v>10950.39</v>
      </c>
      <c r="Q292" s="293">
        <f t="shared" si="596"/>
        <v>10950.39</v>
      </c>
      <c r="R292" s="598">
        <f t="shared" si="588"/>
        <v>10940.39</v>
      </c>
      <c r="S292" s="293">
        <f t="shared" si="597"/>
        <v>10940.39</v>
      </c>
      <c r="T292" s="598">
        <f t="shared" si="589"/>
        <v>10932.39</v>
      </c>
      <c r="U292" s="293">
        <f t="shared" si="598"/>
        <v>10932.39</v>
      </c>
      <c r="V292" s="598">
        <f t="shared" si="590"/>
        <v>10923.39</v>
      </c>
      <c r="W292" s="293">
        <f t="shared" si="599"/>
        <v>10923.39</v>
      </c>
      <c r="X292" s="639"/>
      <c r="Y292" s="640"/>
      <c r="Z292" s="640"/>
      <c r="AA292" s="641"/>
      <c r="AB292" s="197">
        <v>1054</v>
      </c>
      <c r="AC292" s="65"/>
    </row>
    <row r="293" spans="1:29" ht="12.6" customHeight="1" x14ac:dyDescent="0.2">
      <c r="A293" s="18"/>
      <c r="B293" s="642" t="s">
        <v>625</v>
      </c>
      <c r="C293" s="643"/>
      <c r="D293" s="643"/>
      <c r="E293" s="643"/>
      <c r="F293" s="339">
        <v>18130</v>
      </c>
      <c r="G293" s="294">
        <f>+F293*$X$1</f>
        <v>18130</v>
      </c>
      <c r="H293" s="90">
        <f t="shared" si="580"/>
        <v>18610</v>
      </c>
      <c r="I293" s="294">
        <f t="shared" si="592"/>
        <v>18610</v>
      </c>
      <c r="J293" s="493">
        <f t="shared" si="582"/>
        <v>18340</v>
      </c>
      <c r="K293" s="294">
        <f t="shared" si="593"/>
        <v>18340</v>
      </c>
      <c r="L293" s="493">
        <f t="shared" si="584"/>
        <v>18280</v>
      </c>
      <c r="M293" s="294">
        <f t="shared" si="594"/>
        <v>18280</v>
      </c>
      <c r="N293" s="493">
        <f t="shared" si="586"/>
        <v>18250</v>
      </c>
      <c r="O293" s="294">
        <f t="shared" si="595"/>
        <v>18250</v>
      </c>
      <c r="P293" s="493">
        <f t="shared" si="587"/>
        <v>18225</v>
      </c>
      <c r="Q293" s="294">
        <f t="shared" si="596"/>
        <v>18225</v>
      </c>
      <c r="R293" s="493">
        <f t="shared" si="588"/>
        <v>18215</v>
      </c>
      <c r="S293" s="294">
        <f t="shared" si="597"/>
        <v>18215</v>
      </c>
      <c r="T293" s="493">
        <f t="shared" si="589"/>
        <v>18207</v>
      </c>
      <c r="U293" s="294">
        <f t="shared" si="598"/>
        <v>18207</v>
      </c>
      <c r="V293" s="493">
        <f t="shared" si="590"/>
        <v>18198</v>
      </c>
      <c r="W293" s="294">
        <f t="shared" si="599"/>
        <v>18198</v>
      </c>
      <c r="X293" s="639"/>
      <c r="Y293" s="640"/>
      <c r="Z293" s="640"/>
      <c r="AA293" s="641"/>
      <c r="AB293" s="197">
        <v>1057</v>
      </c>
    </row>
    <row r="294" spans="1:29" ht="12.6" customHeight="1" x14ac:dyDescent="0.2">
      <c r="A294" s="18"/>
      <c r="B294" s="644" t="s">
        <v>449</v>
      </c>
      <c r="C294" s="645"/>
      <c r="D294" s="645"/>
      <c r="E294" s="645"/>
      <c r="F294" s="397">
        <f>13.73*X2</f>
        <v>14100.710000000001</v>
      </c>
      <c r="G294" s="314">
        <f t="shared" ref="G294" si="604">+F294*$X$1</f>
        <v>14100.710000000001</v>
      </c>
      <c r="H294" s="72">
        <f t="shared" si="580"/>
        <v>14580.710000000001</v>
      </c>
      <c r="I294" s="293">
        <f t="shared" si="592"/>
        <v>14580.710000000001</v>
      </c>
      <c r="J294" s="598">
        <f t="shared" si="582"/>
        <v>14310.710000000001</v>
      </c>
      <c r="K294" s="293">
        <f t="shared" si="593"/>
        <v>14310.710000000001</v>
      </c>
      <c r="L294" s="598">
        <f t="shared" si="584"/>
        <v>14250.710000000001</v>
      </c>
      <c r="M294" s="293">
        <f t="shared" si="594"/>
        <v>14250.710000000001</v>
      </c>
      <c r="N294" s="598">
        <f t="shared" si="586"/>
        <v>14220.710000000001</v>
      </c>
      <c r="O294" s="293">
        <f t="shared" si="595"/>
        <v>14220.710000000001</v>
      </c>
      <c r="P294" s="598">
        <f t="shared" si="587"/>
        <v>14195.710000000001</v>
      </c>
      <c r="Q294" s="293">
        <f t="shared" si="596"/>
        <v>14195.710000000001</v>
      </c>
      <c r="R294" s="598">
        <f t="shared" si="588"/>
        <v>14185.710000000001</v>
      </c>
      <c r="S294" s="293">
        <f t="shared" si="597"/>
        <v>14185.710000000001</v>
      </c>
      <c r="T294" s="598">
        <f t="shared" si="589"/>
        <v>14177.710000000001</v>
      </c>
      <c r="U294" s="293">
        <f t="shared" si="598"/>
        <v>14177.710000000001</v>
      </c>
      <c r="V294" s="598">
        <f t="shared" si="590"/>
        <v>14168.710000000001</v>
      </c>
      <c r="W294" s="293">
        <f t="shared" si="599"/>
        <v>14168.710000000001</v>
      </c>
      <c r="X294" s="639"/>
      <c r="Y294" s="640"/>
      <c r="Z294" s="640"/>
      <c r="AA294" s="641"/>
      <c r="AB294" s="197">
        <v>1064</v>
      </c>
      <c r="AC294" s="65"/>
    </row>
    <row r="295" spans="1:29" ht="12.6" customHeight="1" x14ac:dyDescent="0.2">
      <c r="A295" s="18"/>
      <c r="B295" s="646" t="s">
        <v>219</v>
      </c>
      <c r="C295" s="647"/>
      <c r="D295" s="647"/>
      <c r="E295" s="648"/>
      <c r="F295" s="393">
        <f>12.16*X2</f>
        <v>12488.32</v>
      </c>
      <c r="G295" s="294">
        <f>+F295*$X$1</f>
        <v>12488.32</v>
      </c>
      <c r="H295" s="90">
        <f t="shared" si="580"/>
        <v>12968.32</v>
      </c>
      <c r="I295" s="294">
        <f t="shared" ref="I295:I296" si="605">+H295*$X$1</f>
        <v>12968.32</v>
      </c>
      <c r="J295" s="493">
        <f t="shared" si="582"/>
        <v>12698.32</v>
      </c>
      <c r="K295" s="294">
        <f>+J295*$X$1</f>
        <v>12698.32</v>
      </c>
      <c r="L295" s="493">
        <f>F295+170</f>
        <v>12658.32</v>
      </c>
      <c r="M295" s="294">
        <f>+L295*$X$1</f>
        <v>12658.32</v>
      </c>
      <c r="N295" s="90">
        <f>F295+130</f>
        <v>12618.32</v>
      </c>
      <c r="O295" s="294">
        <f t="shared" ref="O295:O296" si="606">+N295*$X$1</f>
        <v>12618.32</v>
      </c>
      <c r="P295" s="90">
        <f>F295+110</f>
        <v>12598.32</v>
      </c>
      <c r="Q295" s="294">
        <f t="shared" ref="Q295:Q296" si="607">+P295*$X$1</f>
        <v>12598.32</v>
      </c>
      <c r="R295" s="493">
        <f>F295+100</f>
        <v>12588.32</v>
      </c>
      <c r="S295" s="294">
        <f t="shared" ref="S295:S296" si="608">+R295*$X$1</f>
        <v>12588.32</v>
      </c>
      <c r="T295" s="493">
        <f>F295+93</f>
        <v>12581.32</v>
      </c>
      <c r="U295" s="294">
        <f t="shared" ref="U295:U296" si="609">+T295*$X$1</f>
        <v>12581.32</v>
      </c>
      <c r="V295" s="493">
        <f>F295+84</f>
        <v>12572.32</v>
      </c>
      <c r="W295" s="294">
        <f t="shared" ref="W295:W296" si="610">+V295*$X$1</f>
        <v>12572.32</v>
      </c>
      <c r="X295" s="182"/>
      <c r="Y295" s="185"/>
      <c r="Z295" s="185"/>
      <c r="AA295" s="184"/>
      <c r="AB295" s="197">
        <v>1075</v>
      </c>
    </row>
    <row r="296" spans="1:29" ht="12.6" customHeight="1" x14ac:dyDescent="0.2">
      <c r="A296" s="18"/>
      <c r="B296" s="644" t="s">
        <v>398</v>
      </c>
      <c r="C296" s="744"/>
      <c r="D296" s="744"/>
      <c r="E296" s="744"/>
      <c r="F296" s="397">
        <f>8.85*X2</f>
        <v>9088.9499999999989</v>
      </c>
      <c r="G296" s="314">
        <f t="shared" ref="G296" si="611">+F296*$X$1</f>
        <v>9088.9499999999989</v>
      </c>
      <c r="H296" s="72">
        <f t="shared" si="580"/>
        <v>9568.9499999999989</v>
      </c>
      <c r="I296" s="293">
        <f t="shared" si="605"/>
        <v>9568.9499999999989</v>
      </c>
      <c r="J296" s="598">
        <f t="shared" si="582"/>
        <v>9298.9499999999989</v>
      </c>
      <c r="K296" s="293">
        <f t="shared" ref="K296" si="612">+J296*$X$1</f>
        <v>9298.9499999999989</v>
      </c>
      <c r="L296" s="598">
        <f t="shared" ref="L296:L300" si="613">F296+150</f>
        <v>9238.9499999999989</v>
      </c>
      <c r="M296" s="293">
        <f t="shared" ref="M296" si="614">+L296*$X$1</f>
        <v>9238.9499999999989</v>
      </c>
      <c r="N296" s="598">
        <f t="shared" ref="N296:N300" si="615">F296+120</f>
        <v>9208.9499999999989</v>
      </c>
      <c r="O296" s="293">
        <f t="shared" si="606"/>
        <v>9208.9499999999989</v>
      </c>
      <c r="P296" s="598">
        <f t="shared" ref="P296:P300" si="616">F296+95</f>
        <v>9183.9499999999989</v>
      </c>
      <c r="Q296" s="293">
        <f t="shared" si="607"/>
        <v>9183.9499999999989</v>
      </c>
      <c r="R296" s="598">
        <f t="shared" ref="R296:R300" si="617">F296+85</f>
        <v>9173.9499999999989</v>
      </c>
      <c r="S296" s="293">
        <f t="shared" si="608"/>
        <v>9173.9499999999989</v>
      </c>
      <c r="T296" s="598">
        <f t="shared" ref="T296:T300" si="618">F296+77</f>
        <v>9165.9499999999989</v>
      </c>
      <c r="U296" s="293">
        <f t="shared" si="609"/>
        <v>9165.9499999999989</v>
      </c>
      <c r="V296" s="598">
        <f t="shared" ref="V296:V300" si="619">F296+68</f>
        <v>9156.9499999999989</v>
      </c>
      <c r="W296" s="293">
        <f t="shared" si="610"/>
        <v>9156.9499999999989</v>
      </c>
      <c r="X296" s="639"/>
      <c r="Y296" s="640"/>
      <c r="Z296" s="640"/>
      <c r="AA296" s="641"/>
      <c r="AB296" s="197">
        <v>1078</v>
      </c>
    </row>
    <row r="297" spans="1:29" ht="12.6" customHeight="1" x14ac:dyDescent="0.2">
      <c r="A297" s="18"/>
      <c r="B297" s="694" t="s">
        <v>401</v>
      </c>
      <c r="C297" s="695"/>
      <c r="D297" s="695"/>
      <c r="E297" s="695"/>
      <c r="F297" s="396">
        <f>6.87*X2</f>
        <v>7055.49</v>
      </c>
      <c r="G297" s="328">
        <f t="shared" ref="G297" si="620">+F297*$X$1</f>
        <v>7055.49</v>
      </c>
      <c r="H297" s="90">
        <f t="shared" si="580"/>
        <v>7535.49</v>
      </c>
      <c r="I297" s="294">
        <f t="shared" ref="I297:I300" si="621">+H297*$X$1</f>
        <v>7535.49</v>
      </c>
      <c r="J297" s="493">
        <f t="shared" si="582"/>
        <v>7265.49</v>
      </c>
      <c r="K297" s="294">
        <f t="shared" ref="K297:K300" si="622">+J297*$X$1</f>
        <v>7265.49</v>
      </c>
      <c r="L297" s="493">
        <f t="shared" si="613"/>
        <v>7205.49</v>
      </c>
      <c r="M297" s="294">
        <f t="shared" ref="M297:M300" si="623">+L297*$X$1</f>
        <v>7205.49</v>
      </c>
      <c r="N297" s="493">
        <f t="shared" si="615"/>
        <v>7175.49</v>
      </c>
      <c r="O297" s="294">
        <f t="shared" ref="O297:O300" si="624">+N297*$X$1</f>
        <v>7175.49</v>
      </c>
      <c r="P297" s="493">
        <f t="shared" si="616"/>
        <v>7150.49</v>
      </c>
      <c r="Q297" s="294">
        <f t="shared" ref="Q297:Q300" si="625">+P297*$X$1</f>
        <v>7150.49</v>
      </c>
      <c r="R297" s="493">
        <f t="shared" si="617"/>
        <v>7140.49</v>
      </c>
      <c r="S297" s="294">
        <f t="shared" ref="S297:S300" si="626">+R297*$X$1</f>
        <v>7140.49</v>
      </c>
      <c r="T297" s="493">
        <f t="shared" si="618"/>
        <v>7132.49</v>
      </c>
      <c r="U297" s="294">
        <f t="shared" ref="U297:U300" si="627">+T297*$X$1</f>
        <v>7132.49</v>
      </c>
      <c r="V297" s="493">
        <f t="shared" si="619"/>
        <v>7123.49</v>
      </c>
      <c r="W297" s="294">
        <f t="shared" ref="W297:W300" si="628">+V297*$X$1</f>
        <v>7123.49</v>
      </c>
      <c r="X297" s="640"/>
      <c r="Y297" s="640"/>
      <c r="Z297" s="640"/>
      <c r="AA297" s="641"/>
      <c r="AB297" s="197">
        <v>1079</v>
      </c>
    </row>
    <row r="298" spans="1:29" ht="12.6" customHeight="1" x14ac:dyDescent="0.2">
      <c r="A298" s="18"/>
      <c r="B298" s="699" t="s">
        <v>537</v>
      </c>
      <c r="C298" s="700"/>
      <c r="D298" s="700"/>
      <c r="E298" s="700"/>
      <c r="F298" s="617">
        <v>15778</v>
      </c>
      <c r="G298" s="602">
        <f>+F298*$X$1</f>
        <v>15778</v>
      </c>
      <c r="H298" s="605">
        <f t="shared" si="580"/>
        <v>16258</v>
      </c>
      <c r="I298" s="602">
        <f t="shared" si="621"/>
        <v>16258</v>
      </c>
      <c r="J298" s="604">
        <f t="shared" si="582"/>
        <v>15988</v>
      </c>
      <c r="K298" s="602">
        <f t="shared" si="622"/>
        <v>15988</v>
      </c>
      <c r="L298" s="604">
        <f t="shared" si="613"/>
        <v>15928</v>
      </c>
      <c r="M298" s="602">
        <f t="shared" si="623"/>
        <v>15928</v>
      </c>
      <c r="N298" s="604">
        <f t="shared" si="615"/>
        <v>15898</v>
      </c>
      <c r="O298" s="602">
        <f t="shared" si="624"/>
        <v>15898</v>
      </c>
      <c r="P298" s="604">
        <f t="shared" si="616"/>
        <v>15873</v>
      </c>
      <c r="Q298" s="602">
        <f t="shared" si="625"/>
        <v>15873</v>
      </c>
      <c r="R298" s="604">
        <f t="shared" si="617"/>
        <v>15863</v>
      </c>
      <c r="S298" s="602">
        <f t="shared" si="626"/>
        <v>15863</v>
      </c>
      <c r="T298" s="604">
        <f t="shared" si="618"/>
        <v>15855</v>
      </c>
      <c r="U298" s="602">
        <f t="shared" si="627"/>
        <v>15855</v>
      </c>
      <c r="V298" s="604">
        <f t="shared" si="619"/>
        <v>15846</v>
      </c>
      <c r="W298" s="602">
        <f t="shared" si="628"/>
        <v>15846</v>
      </c>
      <c r="X298" s="640"/>
      <c r="Y298" s="640"/>
      <c r="Z298" s="640"/>
      <c r="AA298" s="641"/>
      <c r="AB298" s="197">
        <v>1080</v>
      </c>
      <c r="AC298" s="65"/>
    </row>
    <row r="299" spans="1:29" ht="12.6" customHeight="1" x14ac:dyDescent="0.2">
      <c r="A299" s="18"/>
      <c r="B299" s="642" t="s">
        <v>538</v>
      </c>
      <c r="C299" s="643"/>
      <c r="D299" s="643"/>
      <c r="E299" s="643"/>
      <c r="F299" s="339">
        <v>17031</v>
      </c>
      <c r="G299" s="294">
        <f>+F299*$X$1</f>
        <v>17031</v>
      </c>
      <c r="H299" s="90">
        <f t="shared" si="580"/>
        <v>17511</v>
      </c>
      <c r="I299" s="294">
        <f t="shared" si="621"/>
        <v>17511</v>
      </c>
      <c r="J299" s="493">
        <f t="shared" si="582"/>
        <v>17241</v>
      </c>
      <c r="K299" s="294">
        <f t="shared" si="622"/>
        <v>17241</v>
      </c>
      <c r="L299" s="493">
        <f t="shared" si="613"/>
        <v>17181</v>
      </c>
      <c r="M299" s="294">
        <f t="shared" si="623"/>
        <v>17181</v>
      </c>
      <c r="N299" s="493">
        <f t="shared" si="615"/>
        <v>17151</v>
      </c>
      <c r="O299" s="294">
        <f t="shared" si="624"/>
        <v>17151</v>
      </c>
      <c r="P299" s="493">
        <f t="shared" si="616"/>
        <v>17126</v>
      </c>
      <c r="Q299" s="294">
        <f t="shared" si="625"/>
        <v>17126</v>
      </c>
      <c r="R299" s="493">
        <f t="shared" si="617"/>
        <v>17116</v>
      </c>
      <c r="S299" s="294">
        <f t="shared" si="626"/>
        <v>17116</v>
      </c>
      <c r="T299" s="493">
        <f t="shared" si="618"/>
        <v>17108</v>
      </c>
      <c r="U299" s="294">
        <f t="shared" si="627"/>
        <v>17108</v>
      </c>
      <c r="V299" s="493">
        <f t="shared" si="619"/>
        <v>17099</v>
      </c>
      <c r="W299" s="294">
        <f t="shared" si="628"/>
        <v>17099</v>
      </c>
      <c r="X299" s="640"/>
      <c r="Y299" s="640"/>
      <c r="Z299" s="640"/>
      <c r="AA299" s="641"/>
      <c r="AB299" s="197">
        <v>1081</v>
      </c>
      <c r="AC299" s="65"/>
    </row>
    <row r="300" spans="1:29" ht="12.6" customHeight="1" x14ac:dyDescent="0.2">
      <c r="A300" s="18"/>
      <c r="B300" s="644" t="s">
        <v>453</v>
      </c>
      <c r="C300" s="645"/>
      <c r="D300" s="645"/>
      <c r="E300" s="645"/>
      <c r="F300" s="340">
        <v>13921</v>
      </c>
      <c r="G300" s="293">
        <f>+F300*$X$1</f>
        <v>13921</v>
      </c>
      <c r="H300" s="72">
        <f t="shared" si="580"/>
        <v>14401</v>
      </c>
      <c r="I300" s="293">
        <f t="shared" si="621"/>
        <v>14401</v>
      </c>
      <c r="J300" s="623">
        <f t="shared" si="582"/>
        <v>14131</v>
      </c>
      <c r="K300" s="293">
        <f t="shared" si="622"/>
        <v>14131</v>
      </c>
      <c r="L300" s="623">
        <f t="shared" si="613"/>
        <v>14071</v>
      </c>
      <c r="M300" s="293">
        <f t="shared" si="623"/>
        <v>14071</v>
      </c>
      <c r="N300" s="623">
        <f t="shared" si="615"/>
        <v>14041</v>
      </c>
      <c r="O300" s="293">
        <f t="shared" si="624"/>
        <v>14041</v>
      </c>
      <c r="P300" s="623">
        <f t="shared" si="616"/>
        <v>14016</v>
      </c>
      <c r="Q300" s="293">
        <f t="shared" si="625"/>
        <v>14016</v>
      </c>
      <c r="R300" s="623">
        <f t="shared" si="617"/>
        <v>14006</v>
      </c>
      <c r="S300" s="293">
        <f t="shared" si="626"/>
        <v>14006</v>
      </c>
      <c r="T300" s="623">
        <f t="shared" si="618"/>
        <v>13998</v>
      </c>
      <c r="U300" s="293">
        <f t="shared" si="627"/>
        <v>13998</v>
      </c>
      <c r="V300" s="623">
        <f t="shared" si="619"/>
        <v>13989</v>
      </c>
      <c r="W300" s="293">
        <f t="shared" si="628"/>
        <v>13989</v>
      </c>
      <c r="X300" s="640"/>
      <c r="Y300" s="640"/>
      <c r="Z300" s="640"/>
      <c r="AA300" s="641"/>
      <c r="AB300" s="197">
        <v>1083</v>
      </c>
      <c r="AC300" s="65"/>
    </row>
    <row r="301" spans="1:29" ht="12.6" customHeight="1" x14ac:dyDescent="0.2">
      <c r="A301" s="18"/>
      <c r="B301" s="694" t="s">
        <v>849</v>
      </c>
      <c r="C301" s="695"/>
      <c r="D301" s="695"/>
      <c r="E301" s="695"/>
      <c r="F301" s="393">
        <f>2.32*X2</f>
        <v>2382.64</v>
      </c>
      <c r="G301" s="294">
        <f t="shared" ref="G301" si="629">+F301*$X$1</f>
        <v>2382.64</v>
      </c>
      <c r="H301" s="493">
        <f>F301+450</f>
        <v>2832.64</v>
      </c>
      <c r="I301" s="294">
        <f t="shared" ref="I301:I302" si="630">+H301*$X$1</f>
        <v>2832.64</v>
      </c>
      <c r="J301" s="493">
        <f>F301+200</f>
        <v>2582.64</v>
      </c>
      <c r="K301" s="294">
        <f>+J301*$X$1</f>
        <v>2582.64</v>
      </c>
      <c r="L301" s="493">
        <f>F301+140</f>
        <v>2522.64</v>
      </c>
      <c r="M301" s="294">
        <f>+L301*$X$1</f>
        <v>2522.64</v>
      </c>
      <c r="N301" s="493">
        <f>F301+70</f>
        <v>2452.64</v>
      </c>
      <c r="O301" s="294">
        <f>+N301*$X$1</f>
        <v>2452.64</v>
      </c>
      <c r="P301" s="493">
        <f>F301+60</f>
        <v>2442.64</v>
      </c>
      <c r="Q301" s="294">
        <f>+P301*$X$1</f>
        <v>2442.64</v>
      </c>
      <c r="R301" s="493">
        <f>F301+50</f>
        <v>2432.64</v>
      </c>
      <c r="S301" s="294">
        <f>+R301*$X$1</f>
        <v>2432.64</v>
      </c>
      <c r="T301" s="103">
        <f>F301+44</f>
        <v>2426.64</v>
      </c>
      <c r="U301" s="313">
        <f>+T301*$X$1</f>
        <v>2426.64</v>
      </c>
      <c r="V301" s="103">
        <f>F301+38</f>
        <v>2420.64</v>
      </c>
      <c r="W301" s="313">
        <f>+V301*$X$1</f>
        <v>2420.64</v>
      </c>
      <c r="X301" s="871"/>
      <c r="Y301" s="872"/>
      <c r="Z301" s="872"/>
      <c r="AA301" s="873"/>
      <c r="AB301" s="420">
        <v>2130</v>
      </c>
      <c r="AC301" s="66"/>
    </row>
    <row r="302" spans="1:29" ht="12.6" customHeight="1" x14ac:dyDescent="0.2">
      <c r="A302" s="18"/>
      <c r="B302" s="692" t="s">
        <v>850</v>
      </c>
      <c r="C302" s="789"/>
      <c r="D302" s="789"/>
      <c r="E302" s="789"/>
      <c r="F302" s="392">
        <f>2.4*X2</f>
        <v>2464.7999999999997</v>
      </c>
      <c r="G302" s="293">
        <f t="shared" ref="G302" si="631">+F302*$X$1</f>
        <v>2464.7999999999997</v>
      </c>
      <c r="H302" s="623">
        <f>F302+450</f>
        <v>2914.7999999999997</v>
      </c>
      <c r="I302" s="293">
        <f t="shared" si="630"/>
        <v>2914.7999999999997</v>
      </c>
      <c r="J302" s="623">
        <f>F302+200</f>
        <v>2664.7999999999997</v>
      </c>
      <c r="K302" s="293">
        <f>+J302*$X$1</f>
        <v>2664.7999999999997</v>
      </c>
      <c r="L302" s="623">
        <f>F302+140</f>
        <v>2604.7999999999997</v>
      </c>
      <c r="M302" s="293">
        <f>+L302*$X$1</f>
        <v>2604.7999999999997</v>
      </c>
      <c r="N302" s="623">
        <f>F302+70</f>
        <v>2534.7999999999997</v>
      </c>
      <c r="O302" s="293">
        <f>+N302*$X$1</f>
        <v>2534.7999999999997</v>
      </c>
      <c r="P302" s="623">
        <f>F302+60</f>
        <v>2524.7999999999997</v>
      </c>
      <c r="Q302" s="293">
        <f>+P302*$X$1</f>
        <v>2524.7999999999997</v>
      </c>
      <c r="R302" s="623">
        <f>F302+50</f>
        <v>2514.7999999999997</v>
      </c>
      <c r="S302" s="293">
        <f>+R302*$X$1</f>
        <v>2514.7999999999997</v>
      </c>
      <c r="T302" s="104">
        <f>F302+44</f>
        <v>2508.7999999999997</v>
      </c>
      <c r="U302" s="260">
        <f>+T302*$X$1</f>
        <v>2508.7999999999997</v>
      </c>
      <c r="V302" s="104">
        <f>F302+38</f>
        <v>2502.7999999999997</v>
      </c>
      <c r="W302" s="260">
        <f>+V302*$X$1</f>
        <v>2502.7999999999997</v>
      </c>
      <c r="X302" s="871"/>
      <c r="Y302" s="872"/>
      <c r="Z302" s="872"/>
      <c r="AA302" s="873"/>
      <c r="AB302" s="420">
        <v>2131</v>
      </c>
      <c r="AC302" s="66"/>
    </row>
    <row r="303" spans="1:29" ht="12.6" customHeight="1" x14ac:dyDescent="0.2">
      <c r="A303" s="105"/>
      <c r="B303" s="642" t="s">
        <v>220</v>
      </c>
      <c r="C303" s="643"/>
      <c r="D303" s="643"/>
      <c r="E303" s="643"/>
      <c r="F303" s="393">
        <f>0.445*X2</f>
        <v>457.01499999999999</v>
      </c>
      <c r="G303" s="294">
        <f t="shared" ref="G303:G304" si="632">+F303*$X$1</f>
        <v>457.01499999999999</v>
      </c>
      <c r="H303" s="285"/>
      <c r="I303" s="354"/>
      <c r="J303" s="493"/>
      <c r="K303" s="294"/>
      <c r="L303" s="493">
        <f>F303+120</f>
        <v>577.01499999999999</v>
      </c>
      <c r="M303" s="294">
        <f>+L303*$X$1</f>
        <v>577.01499999999999</v>
      </c>
      <c r="N303" s="493">
        <f>F303+60</f>
        <v>517.01499999999999</v>
      </c>
      <c r="O303" s="294">
        <f>+N303*$X$1</f>
        <v>517.01499999999999</v>
      </c>
      <c r="P303" s="493">
        <f>F303+50</f>
        <v>507.01499999999999</v>
      </c>
      <c r="Q303" s="294">
        <f>+P303*$X$1</f>
        <v>507.01499999999999</v>
      </c>
      <c r="R303" s="493">
        <f>F303+42</f>
        <v>499.01499999999999</v>
      </c>
      <c r="S303" s="294">
        <f>+R303*$X$1</f>
        <v>499.01499999999999</v>
      </c>
      <c r="T303" s="103">
        <f>F303+34</f>
        <v>491.01499999999999</v>
      </c>
      <c r="U303" s="313">
        <f>+T303*$X$1</f>
        <v>491.01499999999999</v>
      </c>
      <c r="V303" s="103">
        <f>F303+29</f>
        <v>486.01499999999999</v>
      </c>
      <c r="W303" s="313">
        <f>+V303*$X$1</f>
        <v>486.01499999999999</v>
      </c>
      <c r="X303" s="135"/>
      <c r="Y303" s="132"/>
      <c r="Z303" s="132"/>
      <c r="AA303" s="132"/>
      <c r="AB303" s="420">
        <v>2145</v>
      </c>
      <c r="AC303" s="66"/>
    </row>
    <row r="304" spans="1:29" ht="12.6" customHeight="1" x14ac:dyDescent="0.2">
      <c r="A304" s="18"/>
      <c r="B304" s="644" t="s">
        <v>221</v>
      </c>
      <c r="C304" s="645"/>
      <c r="D304" s="645"/>
      <c r="E304" s="645"/>
      <c r="F304" s="392">
        <v>48</v>
      </c>
      <c r="G304" s="293">
        <f t="shared" si="632"/>
        <v>48</v>
      </c>
      <c r="H304" s="286"/>
      <c r="I304" s="353"/>
      <c r="J304" s="623">
        <f>F304+180</f>
        <v>228</v>
      </c>
      <c r="K304" s="293">
        <f t="shared" ref="K304" si="633">+J304*$X$1</f>
        <v>228</v>
      </c>
      <c r="L304" s="623">
        <f>F304+120</f>
        <v>168</v>
      </c>
      <c r="M304" s="293">
        <f>+L304*$X$1</f>
        <v>168</v>
      </c>
      <c r="N304" s="623">
        <f>F304+60</f>
        <v>108</v>
      </c>
      <c r="O304" s="293">
        <f>+N304*$X$1</f>
        <v>108</v>
      </c>
      <c r="P304" s="623">
        <f>F304+50</f>
        <v>98</v>
      </c>
      <c r="Q304" s="293">
        <f>+P304*$X$1</f>
        <v>98</v>
      </c>
      <c r="R304" s="623">
        <f>F304+42</f>
        <v>90</v>
      </c>
      <c r="S304" s="293">
        <f>+R304*$X$1</f>
        <v>90</v>
      </c>
      <c r="T304" s="104">
        <f>F304+34</f>
        <v>82</v>
      </c>
      <c r="U304" s="260">
        <f>+T304*$X$1</f>
        <v>82</v>
      </c>
      <c r="V304" s="104">
        <f>F304+29</f>
        <v>77</v>
      </c>
      <c r="W304" s="260">
        <f>+V304*$X$1</f>
        <v>77</v>
      </c>
      <c r="X304" s="132"/>
      <c r="Y304" s="132"/>
      <c r="Z304" s="132"/>
      <c r="AA304" s="132"/>
      <c r="AB304" s="420">
        <v>2149</v>
      </c>
    </row>
    <row r="305" spans="1:34" ht="12.6" customHeight="1" x14ac:dyDescent="0.25">
      <c r="A305" s="127"/>
      <c r="B305" s="642" t="s">
        <v>222</v>
      </c>
      <c r="C305" s="643"/>
      <c r="D305" s="643"/>
      <c r="E305" s="643"/>
      <c r="F305" s="393">
        <f>0.88*X2</f>
        <v>903.76</v>
      </c>
      <c r="G305" s="294">
        <f>+F305*$X$1</f>
        <v>903.76</v>
      </c>
      <c r="H305" s="285"/>
      <c r="I305" s="354"/>
      <c r="J305" s="631"/>
      <c r="K305" s="294"/>
      <c r="L305" s="632"/>
      <c r="M305" s="294"/>
      <c r="N305" s="632"/>
      <c r="O305" s="633"/>
      <c r="P305" s="285"/>
      <c r="Q305" s="354"/>
      <c r="R305" s="632"/>
      <c r="S305" s="633"/>
      <c r="T305" s="632"/>
      <c r="U305" s="633"/>
      <c r="V305" s="632"/>
      <c r="W305" s="633"/>
      <c r="X305" s="132"/>
      <c r="Y305" s="132"/>
      <c r="Z305" s="132"/>
      <c r="AA305" s="132"/>
      <c r="AB305" s="197">
        <v>2151</v>
      </c>
    </row>
    <row r="306" spans="1:34" ht="12.6" customHeight="1" x14ac:dyDescent="0.2">
      <c r="A306" s="18"/>
      <c r="B306" s="692" t="s">
        <v>223</v>
      </c>
      <c r="C306" s="693"/>
      <c r="D306" s="693"/>
      <c r="E306" s="693"/>
      <c r="F306" s="397">
        <f>0.67*X2</f>
        <v>688.09</v>
      </c>
      <c r="G306" s="314">
        <f>+F306*$X$1</f>
        <v>688.09</v>
      </c>
      <c r="H306" s="519"/>
      <c r="I306" s="537"/>
      <c r="J306" s="104"/>
      <c r="K306" s="314"/>
      <c r="L306" s="623">
        <f t="shared" ref="L306:L314" si="634">F306+120</f>
        <v>808.09</v>
      </c>
      <c r="M306" s="293">
        <f t="shared" ref="M306:M312" si="635">+L306*$X$1</f>
        <v>808.09</v>
      </c>
      <c r="N306" s="623">
        <f t="shared" ref="N306:N314" si="636">F306+60</f>
        <v>748.09</v>
      </c>
      <c r="O306" s="293">
        <f t="shared" ref="O306:O312" si="637">+N306*$X$1</f>
        <v>748.09</v>
      </c>
      <c r="P306" s="623">
        <f t="shared" ref="P306:P312" si="638">F306+50</f>
        <v>738.09</v>
      </c>
      <c r="Q306" s="293">
        <f t="shared" ref="Q306:Q312" si="639">+P306*$X$1</f>
        <v>738.09</v>
      </c>
      <c r="R306" s="623">
        <f t="shared" ref="R306:R312" si="640">F306+42</f>
        <v>730.09</v>
      </c>
      <c r="S306" s="293">
        <f t="shared" ref="S306:S312" si="641">+R306*$X$1</f>
        <v>730.09</v>
      </c>
      <c r="T306" s="104">
        <f t="shared" ref="T306:T312" si="642">F306+34</f>
        <v>722.09</v>
      </c>
      <c r="U306" s="260">
        <f t="shared" ref="U306:U312" si="643">+T306*$X$1</f>
        <v>722.09</v>
      </c>
      <c r="V306" s="104">
        <f t="shared" ref="V306:V312" si="644">F306+29</f>
        <v>717.09</v>
      </c>
      <c r="W306" s="260">
        <f t="shared" ref="W306:W312" si="645">+V306*$X$1</f>
        <v>717.09</v>
      </c>
      <c r="X306" s="132"/>
      <c r="Y306" s="132"/>
      <c r="Z306" s="132"/>
      <c r="AA306" s="132"/>
      <c r="AB306" s="434">
        <v>2153</v>
      </c>
      <c r="AC306" s="66"/>
    </row>
    <row r="307" spans="1:34" ht="12.6" customHeight="1" x14ac:dyDescent="0.2">
      <c r="A307" s="18"/>
      <c r="B307" s="642" t="s">
        <v>392</v>
      </c>
      <c r="C307" s="643"/>
      <c r="D307" s="643"/>
      <c r="E307" s="643"/>
      <c r="F307" s="393">
        <f>0.485*X2</f>
        <v>498.09499999999997</v>
      </c>
      <c r="G307" s="294">
        <f>+F307*$X$1</f>
        <v>498.09499999999997</v>
      </c>
      <c r="H307" s="285"/>
      <c r="I307" s="354"/>
      <c r="J307" s="493"/>
      <c r="K307" s="294"/>
      <c r="L307" s="493">
        <f t="shared" si="634"/>
        <v>618.09500000000003</v>
      </c>
      <c r="M307" s="294">
        <f t="shared" si="635"/>
        <v>618.09500000000003</v>
      </c>
      <c r="N307" s="493">
        <f t="shared" si="636"/>
        <v>558.09500000000003</v>
      </c>
      <c r="O307" s="294">
        <f t="shared" si="637"/>
        <v>558.09500000000003</v>
      </c>
      <c r="P307" s="493">
        <f t="shared" si="638"/>
        <v>548.09500000000003</v>
      </c>
      <c r="Q307" s="294">
        <f t="shared" si="639"/>
        <v>548.09500000000003</v>
      </c>
      <c r="R307" s="493">
        <f t="shared" si="640"/>
        <v>540.09500000000003</v>
      </c>
      <c r="S307" s="294">
        <f t="shared" si="641"/>
        <v>540.09500000000003</v>
      </c>
      <c r="T307" s="103">
        <f t="shared" si="642"/>
        <v>532.09500000000003</v>
      </c>
      <c r="U307" s="313">
        <f t="shared" si="643"/>
        <v>532.09500000000003</v>
      </c>
      <c r="V307" s="103">
        <f t="shared" si="644"/>
        <v>527.09500000000003</v>
      </c>
      <c r="W307" s="313">
        <f t="shared" si="645"/>
        <v>527.09500000000003</v>
      </c>
      <c r="X307" s="132"/>
      <c r="Y307" s="140"/>
      <c r="Z307" s="140"/>
      <c r="AA307" s="140"/>
      <c r="AB307" s="433">
        <v>2154</v>
      </c>
      <c r="AC307" s="22"/>
      <c r="AD307" s="22"/>
    </row>
    <row r="308" spans="1:34" ht="12.6" customHeight="1" x14ac:dyDescent="0.2">
      <c r="A308" s="18"/>
      <c r="B308" s="644" t="s">
        <v>393</v>
      </c>
      <c r="C308" s="645"/>
      <c r="D308" s="645"/>
      <c r="E308" s="645"/>
      <c r="F308" s="392">
        <f>0.56*X2</f>
        <v>575.12</v>
      </c>
      <c r="G308" s="293">
        <f>+F308*$X$1</f>
        <v>575.12</v>
      </c>
      <c r="H308" s="286"/>
      <c r="I308" s="353"/>
      <c r="J308" s="623"/>
      <c r="K308" s="293"/>
      <c r="L308" s="623">
        <f t="shared" si="634"/>
        <v>695.12</v>
      </c>
      <c r="M308" s="293">
        <f t="shared" si="635"/>
        <v>695.12</v>
      </c>
      <c r="N308" s="623">
        <f t="shared" si="636"/>
        <v>635.12</v>
      </c>
      <c r="O308" s="293">
        <f t="shared" si="637"/>
        <v>635.12</v>
      </c>
      <c r="P308" s="623">
        <f t="shared" si="638"/>
        <v>625.12</v>
      </c>
      <c r="Q308" s="293">
        <f t="shared" si="639"/>
        <v>625.12</v>
      </c>
      <c r="R308" s="623">
        <f t="shared" si="640"/>
        <v>617.12</v>
      </c>
      <c r="S308" s="293">
        <f t="shared" si="641"/>
        <v>617.12</v>
      </c>
      <c r="T308" s="104">
        <f t="shared" si="642"/>
        <v>609.12</v>
      </c>
      <c r="U308" s="260">
        <f t="shared" si="643"/>
        <v>609.12</v>
      </c>
      <c r="V308" s="104">
        <f t="shared" si="644"/>
        <v>604.12</v>
      </c>
      <c r="W308" s="260">
        <f t="shared" si="645"/>
        <v>604.12</v>
      </c>
      <c r="X308" s="155"/>
      <c r="Y308" s="132"/>
      <c r="Z308" s="140"/>
      <c r="AA308" s="140"/>
      <c r="AB308" s="433">
        <v>2156</v>
      </c>
      <c r="AC308" s="22"/>
      <c r="AD308" s="22"/>
    </row>
    <row r="309" spans="1:34" ht="12.6" customHeight="1" x14ac:dyDescent="0.2">
      <c r="A309" s="18"/>
      <c r="B309" s="646" t="s">
        <v>224</v>
      </c>
      <c r="C309" s="647"/>
      <c r="D309" s="647"/>
      <c r="E309" s="648"/>
      <c r="F309" s="393">
        <f>0.484*X2</f>
        <v>497.06799999999998</v>
      </c>
      <c r="G309" s="294">
        <f t="shared" ref="G309" si="646">+F309*$X$1</f>
        <v>497.06799999999998</v>
      </c>
      <c r="H309" s="285"/>
      <c r="I309" s="354"/>
      <c r="J309" s="493"/>
      <c r="K309" s="294"/>
      <c r="L309" s="493">
        <f t="shared" si="634"/>
        <v>617.06799999999998</v>
      </c>
      <c r="M309" s="294">
        <f t="shared" si="635"/>
        <v>617.06799999999998</v>
      </c>
      <c r="N309" s="493">
        <f t="shared" si="636"/>
        <v>557.06799999999998</v>
      </c>
      <c r="O309" s="294">
        <f t="shared" si="637"/>
        <v>557.06799999999998</v>
      </c>
      <c r="P309" s="493">
        <f t="shared" si="638"/>
        <v>547.06799999999998</v>
      </c>
      <c r="Q309" s="294">
        <f t="shared" si="639"/>
        <v>547.06799999999998</v>
      </c>
      <c r="R309" s="493">
        <f t="shared" si="640"/>
        <v>539.06799999999998</v>
      </c>
      <c r="S309" s="294">
        <f t="shared" si="641"/>
        <v>539.06799999999998</v>
      </c>
      <c r="T309" s="103">
        <f t="shared" si="642"/>
        <v>531.06799999999998</v>
      </c>
      <c r="U309" s="313">
        <f t="shared" si="643"/>
        <v>531.06799999999998</v>
      </c>
      <c r="V309" s="103">
        <f t="shared" si="644"/>
        <v>526.06799999999998</v>
      </c>
      <c r="W309" s="313">
        <f t="shared" si="645"/>
        <v>526.06799999999998</v>
      </c>
      <c r="X309" s="132"/>
      <c r="Y309" s="140"/>
      <c r="Z309" s="140"/>
      <c r="AA309" s="140"/>
      <c r="AB309" s="433">
        <v>2160</v>
      </c>
      <c r="AC309" s="22"/>
      <c r="AD309" s="22"/>
      <c r="AH309" s="65"/>
    </row>
    <row r="310" spans="1:34" ht="12.6" customHeight="1" x14ac:dyDescent="0.2">
      <c r="A310" s="98"/>
      <c r="B310" s="1001" t="s">
        <v>225</v>
      </c>
      <c r="C310" s="1002"/>
      <c r="D310" s="1002"/>
      <c r="E310" s="1003"/>
      <c r="F310" s="392">
        <f>0.57*X2</f>
        <v>585.39</v>
      </c>
      <c r="G310" s="260">
        <f t="shared" ref="G310:G314" si="647">+F310*$X$1</f>
        <v>585.39</v>
      </c>
      <c r="H310" s="623"/>
      <c r="I310" s="623"/>
      <c r="J310" s="122"/>
      <c r="K310" s="293"/>
      <c r="L310" s="623">
        <f t="shared" si="634"/>
        <v>705.39</v>
      </c>
      <c r="M310" s="293">
        <f t="shared" si="635"/>
        <v>705.39</v>
      </c>
      <c r="N310" s="623">
        <f t="shared" si="636"/>
        <v>645.39</v>
      </c>
      <c r="O310" s="293">
        <f t="shared" si="637"/>
        <v>645.39</v>
      </c>
      <c r="P310" s="623">
        <f t="shared" si="638"/>
        <v>635.39</v>
      </c>
      <c r="Q310" s="293">
        <f t="shared" si="639"/>
        <v>635.39</v>
      </c>
      <c r="R310" s="623">
        <f t="shared" si="640"/>
        <v>627.39</v>
      </c>
      <c r="S310" s="293">
        <f t="shared" si="641"/>
        <v>627.39</v>
      </c>
      <c r="T310" s="104">
        <f t="shared" si="642"/>
        <v>619.39</v>
      </c>
      <c r="U310" s="260">
        <f t="shared" si="643"/>
        <v>619.39</v>
      </c>
      <c r="V310" s="104">
        <f t="shared" si="644"/>
        <v>614.39</v>
      </c>
      <c r="W310" s="260">
        <f t="shared" si="645"/>
        <v>614.39</v>
      </c>
      <c r="X310" s="132"/>
      <c r="Y310" s="140"/>
      <c r="Z310" s="140"/>
      <c r="AA310" s="140"/>
      <c r="AB310" s="420">
        <v>2174</v>
      </c>
      <c r="AC310" s="67"/>
      <c r="AD310" s="22"/>
    </row>
    <row r="311" spans="1:34" ht="12.6" customHeight="1" x14ac:dyDescent="0.2">
      <c r="A311" s="98"/>
      <c r="B311" s="659" t="s">
        <v>226</v>
      </c>
      <c r="C311" s="660"/>
      <c r="D311" s="660"/>
      <c r="E311" s="661"/>
      <c r="F311" s="393">
        <f>0.57*X2</f>
        <v>585.39</v>
      </c>
      <c r="G311" s="313">
        <f t="shared" si="647"/>
        <v>585.39</v>
      </c>
      <c r="H311" s="493"/>
      <c r="I311" s="493"/>
      <c r="J311" s="121"/>
      <c r="K311" s="294"/>
      <c r="L311" s="493">
        <f t="shared" si="634"/>
        <v>705.39</v>
      </c>
      <c r="M311" s="294">
        <f t="shared" si="635"/>
        <v>705.39</v>
      </c>
      <c r="N311" s="493">
        <f t="shared" si="636"/>
        <v>645.39</v>
      </c>
      <c r="O311" s="294">
        <f t="shared" si="637"/>
        <v>645.39</v>
      </c>
      <c r="P311" s="493">
        <f t="shared" si="638"/>
        <v>635.39</v>
      </c>
      <c r="Q311" s="294">
        <f t="shared" si="639"/>
        <v>635.39</v>
      </c>
      <c r="R311" s="493">
        <f t="shared" si="640"/>
        <v>627.39</v>
      </c>
      <c r="S311" s="294">
        <f t="shared" si="641"/>
        <v>627.39</v>
      </c>
      <c r="T311" s="103">
        <f t="shared" si="642"/>
        <v>619.39</v>
      </c>
      <c r="U311" s="313">
        <f t="shared" si="643"/>
        <v>619.39</v>
      </c>
      <c r="V311" s="103">
        <f t="shared" si="644"/>
        <v>614.39</v>
      </c>
      <c r="W311" s="313">
        <f t="shared" si="645"/>
        <v>614.39</v>
      </c>
      <c r="X311" s="132"/>
      <c r="Y311" s="140"/>
      <c r="Z311" s="140"/>
      <c r="AA311" s="140"/>
      <c r="AB311" s="420" t="s">
        <v>352</v>
      </c>
      <c r="AC311" s="67"/>
      <c r="AD311" s="22"/>
    </row>
    <row r="312" spans="1:34" ht="12.6" customHeight="1" x14ac:dyDescent="0.2">
      <c r="A312" s="98"/>
      <c r="B312" s="644" t="s">
        <v>713</v>
      </c>
      <c r="C312" s="645"/>
      <c r="D312" s="645"/>
      <c r="E312" s="645"/>
      <c r="F312" s="392">
        <f>0.58*X2</f>
        <v>595.66</v>
      </c>
      <c r="G312" s="260">
        <f t="shared" si="647"/>
        <v>595.66</v>
      </c>
      <c r="H312" s="623"/>
      <c r="I312" s="623"/>
      <c r="J312" s="122"/>
      <c r="K312" s="293"/>
      <c r="L312" s="623">
        <f t="shared" si="634"/>
        <v>715.66</v>
      </c>
      <c r="M312" s="293">
        <f t="shared" si="635"/>
        <v>715.66</v>
      </c>
      <c r="N312" s="623">
        <f t="shared" si="636"/>
        <v>655.66</v>
      </c>
      <c r="O312" s="293">
        <f t="shared" si="637"/>
        <v>655.66</v>
      </c>
      <c r="P312" s="623">
        <f t="shared" si="638"/>
        <v>645.66</v>
      </c>
      <c r="Q312" s="293">
        <f t="shared" si="639"/>
        <v>645.66</v>
      </c>
      <c r="R312" s="623">
        <f t="shared" si="640"/>
        <v>637.66</v>
      </c>
      <c r="S312" s="293">
        <f t="shared" si="641"/>
        <v>637.66</v>
      </c>
      <c r="T312" s="104">
        <f t="shared" si="642"/>
        <v>629.66</v>
      </c>
      <c r="U312" s="260">
        <f t="shared" si="643"/>
        <v>629.66</v>
      </c>
      <c r="V312" s="104">
        <f t="shared" si="644"/>
        <v>624.66</v>
      </c>
      <c r="W312" s="260">
        <f t="shared" si="645"/>
        <v>624.66</v>
      </c>
      <c r="X312" s="132"/>
      <c r="Y312" s="140"/>
      <c r="Z312" s="140"/>
      <c r="AA312" s="140"/>
      <c r="AB312" s="420">
        <v>2180</v>
      </c>
      <c r="AC312" s="22"/>
      <c r="AD312" s="22"/>
    </row>
    <row r="313" spans="1:34" ht="12" customHeight="1" x14ac:dyDescent="0.2">
      <c r="A313" s="189"/>
      <c r="B313" s="646" t="s">
        <v>227</v>
      </c>
      <c r="C313" s="683"/>
      <c r="D313" s="683"/>
      <c r="E313" s="684"/>
      <c r="F313" s="393">
        <f>0.8*X2</f>
        <v>821.6</v>
      </c>
      <c r="G313" s="313">
        <f t="shared" si="647"/>
        <v>821.6</v>
      </c>
      <c r="H313" s="493"/>
      <c r="I313" s="493"/>
      <c r="J313" s="121"/>
      <c r="K313" s="294"/>
      <c r="L313" s="493">
        <f t="shared" si="634"/>
        <v>941.6</v>
      </c>
      <c r="M313" s="294">
        <f t="shared" ref="M313" si="648">+L313*$X$1</f>
        <v>941.6</v>
      </c>
      <c r="N313" s="493">
        <f t="shared" si="636"/>
        <v>881.6</v>
      </c>
      <c r="O313" s="294">
        <f t="shared" ref="O313" si="649">+N313*$X$1</f>
        <v>881.6</v>
      </c>
      <c r="P313" s="493"/>
      <c r="Q313" s="294"/>
      <c r="R313" s="493"/>
      <c r="S313" s="294"/>
      <c r="T313" s="103"/>
      <c r="U313" s="313"/>
      <c r="V313" s="103"/>
      <c r="W313" s="313"/>
      <c r="X313" s="132"/>
      <c r="Y313" s="132"/>
      <c r="Z313" s="132"/>
      <c r="AA313" s="132"/>
      <c r="AB313" s="420">
        <v>2184</v>
      </c>
    </row>
    <row r="314" spans="1:34" ht="12" customHeight="1" x14ac:dyDescent="0.2">
      <c r="A314" s="189"/>
      <c r="B314" s="649" t="s">
        <v>228</v>
      </c>
      <c r="C314" s="650"/>
      <c r="D314" s="650"/>
      <c r="E314" s="651"/>
      <c r="F314" s="392">
        <f>0.71*X2</f>
        <v>729.17</v>
      </c>
      <c r="G314" s="260">
        <f t="shared" si="647"/>
        <v>729.17</v>
      </c>
      <c r="H314" s="623"/>
      <c r="I314" s="623"/>
      <c r="J314" s="122"/>
      <c r="K314" s="293"/>
      <c r="L314" s="623">
        <f t="shared" si="634"/>
        <v>849.17</v>
      </c>
      <c r="M314" s="293">
        <f>+L314*$X$1</f>
        <v>849.17</v>
      </c>
      <c r="N314" s="623">
        <f t="shared" si="636"/>
        <v>789.17</v>
      </c>
      <c r="O314" s="293">
        <f>+N314*$X$1</f>
        <v>789.17</v>
      </c>
      <c r="P314" s="623">
        <f>F314+50</f>
        <v>779.17</v>
      </c>
      <c r="Q314" s="293">
        <f>+P314*$X$1</f>
        <v>779.17</v>
      </c>
      <c r="R314" s="623">
        <f>F314+42</f>
        <v>771.17</v>
      </c>
      <c r="S314" s="293">
        <f>+R314*$X$1</f>
        <v>771.17</v>
      </c>
      <c r="T314" s="104">
        <f>F314+34</f>
        <v>763.17</v>
      </c>
      <c r="U314" s="260">
        <f>+T314*$X$1</f>
        <v>763.17</v>
      </c>
      <c r="V314" s="104">
        <f>F314+29</f>
        <v>758.17</v>
      </c>
      <c r="W314" s="260">
        <f>+V314*$X$1</f>
        <v>758.17</v>
      </c>
      <c r="X314" s="132"/>
      <c r="Y314" s="132"/>
      <c r="Z314" s="132"/>
      <c r="AA314" s="132"/>
      <c r="AB314" s="420" t="s">
        <v>229</v>
      </c>
    </row>
    <row r="315" spans="1:34" ht="12.75" customHeight="1" x14ac:dyDescent="0.2">
      <c r="A315" s="18"/>
      <c r="B315" s="3"/>
      <c r="C315" s="3"/>
      <c r="D315" s="3"/>
      <c r="E315" s="3"/>
      <c r="F315" s="4"/>
      <c r="G315" s="4"/>
      <c r="H315" s="24"/>
      <c r="I315" s="24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7"/>
      <c r="W315" s="7"/>
    </row>
    <row r="316" spans="1:34" ht="12.75" customHeight="1" x14ac:dyDescent="0.2">
      <c r="A316" s="18"/>
      <c r="B316" s="3"/>
      <c r="C316" s="3"/>
      <c r="D316" s="3"/>
      <c r="E316" s="3"/>
      <c r="F316" s="4"/>
      <c r="G316" s="4"/>
      <c r="H316" s="24"/>
      <c r="I316" s="24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7"/>
      <c r="W316" s="7"/>
    </row>
    <row r="317" spans="1:34" ht="12.75" customHeight="1" x14ac:dyDescent="0.2">
      <c r="A317" s="18"/>
      <c r="B317" s="66"/>
      <c r="C317" s="66"/>
      <c r="D317" s="66"/>
      <c r="E317" s="66"/>
      <c r="F317" s="4"/>
      <c r="G317" s="4"/>
      <c r="H317" s="24"/>
      <c r="I317" s="24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7"/>
      <c r="W317" s="7"/>
    </row>
    <row r="318" spans="1:34" ht="14.25" customHeight="1" x14ac:dyDescent="0.2">
      <c r="A318" s="18"/>
      <c r="B318" s="740" t="s">
        <v>11</v>
      </c>
      <c r="C318" s="706" t="s">
        <v>12</v>
      </c>
      <c r="D318" s="707"/>
      <c r="E318" s="707"/>
      <c r="F318" s="708" t="s">
        <v>13</v>
      </c>
      <c r="G318" s="708" t="s">
        <v>13</v>
      </c>
      <c r="H318" s="781" t="s">
        <v>838</v>
      </c>
      <c r="I318" s="781"/>
      <c r="J318" s="782"/>
      <c r="K318" s="782"/>
      <c r="L318" s="782"/>
      <c r="M318" s="782"/>
      <c r="N318" s="782"/>
      <c r="O318" s="782"/>
      <c r="P318" s="782"/>
      <c r="Q318" s="782"/>
      <c r="R318" s="782"/>
      <c r="S318" s="782"/>
      <c r="T318" s="782"/>
      <c r="U318" s="782"/>
      <c r="V318" s="782"/>
      <c r="W318" s="782"/>
      <c r="X318" s="771" t="s">
        <v>14</v>
      </c>
      <c r="Y318" s="772"/>
      <c r="Z318" s="772"/>
      <c r="AA318" s="773"/>
      <c r="AB318" s="779" t="s">
        <v>15</v>
      </c>
      <c r="AF318" s="777" t="s">
        <v>3</v>
      </c>
      <c r="AG318" s="778"/>
      <c r="AH318" s="778"/>
    </row>
    <row r="319" spans="1:34" ht="11.25" customHeight="1" x14ac:dyDescent="0.2">
      <c r="A319" s="18"/>
      <c r="B319" s="740"/>
      <c r="C319" s="707"/>
      <c r="D319" s="707"/>
      <c r="E319" s="707"/>
      <c r="F319" s="709"/>
      <c r="G319" s="709"/>
      <c r="H319" s="518"/>
      <c r="I319" s="510" t="s">
        <v>295</v>
      </c>
      <c r="J319" s="512"/>
      <c r="K319" s="510" t="s">
        <v>17</v>
      </c>
      <c r="L319" s="513"/>
      <c r="M319" s="513" t="s">
        <v>18</v>
      </c>
      <c r="N319" s="513"/>
      <c r="O319" s="510" t="s">
        <v>19</v>
      </c>
      <c r="P319" s="513"/>
      <c r="Q319" s="513" t="s">
        <v>297</v>
      </c>
      <c r="R319" s="513"/>
      <c r="S319" s="513" t="s">
        <v>20</v>
      </c>
      <c r="T319" s="513"/>
      <c r="U319" s="513" t="s">
        <v>21</v>
      </c>
      <c r="V319" s="513"/>
      <c r="W319" s="513" t="s">
        <v>22</v>
      </c>
      <c r="X319" s="774"/>
      <c r="Y319" s="775"/>
      <c r="Z319" s="775"/>
      <c r="AA319" s="776"/>
      <c r="AB319" s="780"/>
    </row>
    <row r="320" spans="1:34" ht="12" customHeight="1" x14ac:dyDescent="0.2">
      <c r="A320" s="98"/>
      <c r="B320" s="649" t="s">
        <v>230</v>
      </c>
      <c r="C320" s="650"/>
      <c r="D320" s="650"/>
      <c r="E320" s="651"/>
      <c r="F320" s="392">
        <f>0.372*X2</f>
        <v>382.04399999999998</v>
      </c>
      <c r="G320" s="260">
        <f>+F320*$X$1</f>
        <v>382.04399999999998</v>
      </c>
      <c r="H320" s="636"/>
      <c r="I320" s="636"/>
      <c r="J320" s="122"/>
      <c r="K320" s="293"/>
      <c r="L320" s="636">
        <f>F320+120</f>
        <v>502.04399999999998</v>
      </c>
      <c r="M320" s="293">
        <f>+L320*$X$1</f>
        <v>502.04399999999998</v>
      </c>
      <c r="N320" s="636">
        <f>F320+60</f>
        <v>442.04399999999998</v>
      </c>
      <c r="O320" s="293">
        <f>+N320*$X$1</f>
        <v>442.04399999999998</v>
      </c>
      <c r="P320" s="636">
        <f>F320+50</f>
        <v>432.04399999999998</v>
      </c>
      <c r="Q320" s="293">
        <f>+P320*$X$1</f>
        <v>432.04399999999998</v>
      </c>
      <c r="R320" s="636">
        <f>F320+42</f>
        <v>424.04399999999998</v>
      </c>
      <c r="S320" s="293">
        <f>+R320*$X$1</f>
        <v>424.04399999999998</v>
      </c>
      <c r="T320" s="104">
        <f>F320+34</f>
        <v>416.04399999999998</v>
      </c>
      <c r="U320" s="260">
        <f>+T320*$X$1</f>
        <v>416.04399999999998</v>
      </c>
      <c r="V320" s="104">
        <f>F320+29</f>
        <v>411.04399999999998</v>
      </c>
      <c r="W320" s="260">
        <f>+V320*$X$1</f>
        <v>411.04399999999998</v>
      </c>
      <c r="X320" s="132"/>
      <c r="Y320" s="132"/>
      <c r="Z320" s="132"/>
      <c r="AA320" s="132"/>
      <c r="AB320" s="420">
        <v>2189</v>
      </c>
    </row>
    <row r="321" spans="1:31" ht="12.6" customHeight="1" x14ac:dyDescent="0.2">
      <c r="A321" s="98"/>
      <c r="B321" s="646" t="s">
        <v>231</v>
      </c>
      <c r="C321" s="647"/>
      <c r="D321" s="647"/>
      <c r="E321" s="648"/>
      <c r="F321" s="393">
        <f>0.6*X2</f>
        <v>616.19999999999993</v>
      </c>
      <c r="G321" s="313">
        <f t="shared" ref="G321" si="650">+F321*$X$1</f>
        <v>616.19999999999993</v>
      </c>
      <c r="H321" s="493"/>
      <c r="I321" s="493"/>
      <c r="J321" s="121"/>
      <c r="K321" s="294"/>
      <c r="L321" s="493">
        <f>F321+120</f>
        <v>736.19999999999993</v>
      </c>
      <c r="M321" s="294">
        <f>+L321*$X$1</f>
        <v>736.19999999999993</v>
      </c>
      <c r="N321" s="493">
        <f>F321+60</f>
        <v>676.19999999999993</v>
      </c>
      <c r="O321" s="294">
        <f>+N321*$X$1</f>
        <v>676.19999999999993</v>
      </c>
      <c r="P321" s="493">
        <f>F321+50</f>
        <v>666.19999999999993</v>
      </c>
      <c r="Q321" s="294">
        <f>+P321*$X$1</f>
        <v>666.19999999999993</v>
      </c>
      <c r="R321" s="493">
        <f>F321+42</f>
        <v>658.19999999999993</v>
      </c>
      <c r="S321" s="294">
        <f>+R321*$X$1</f>
        <v>658.19999999999993</v>
      </c>
      <c r="T321" s="103">
        <f>F321+34</f>
        <v>650.19999999999993</v>
      </c>
      <c r="U321" s="313">
        <f>+T321*$X$1</f>
        <v>650.19999999999993</v>
      </c>
      <c r="V321" s="103">
        <f>F321+29</f>
        <v>645.19999999999993</v>
      </c>
      <c r="W321" s="313">
        <f>+V321*$X$1</f>
        <v>645.19999999999993</v>
      </c>
      <c r="X321" s="132"/>
      <c r="Y321" s="132"/>
      <c r="Z321" s="132"/>
      <c r="AA321" s="132"/>
      <c r="AB321" s="420">
        <v>2190</v>
      </c>
    </row>
    <row r="322" spans="1:31" ht="12.6" customHeight="1" x14ac:dyDescent="0.2">
      <c r="A322" s="18"/>
      <c r="B322" s="657" t="s">
        <v>232</v>
      </c>
      <c r="C322" s="650"/>
      <c r="D322" s="650"/>
      <c r="E322" s="651"/>
      <c r="F322" s="392">
        <f>0.521*X2</f>
        <v>535.06700000000001</v>
      </c>
      <c r="G322" s="260">
        <f>+F322*$X$1</f>
        <v>535.06700000000001</v>
      </c>
      <c r="H322" s="560"/>
      <c r="I322" s="560"/>
      <c r="J322" s="122"/>
      <c r="K322" s="293"/>
      <c r="L322" s="598">
        <f t="shared" ref="L322:L340" si="651">F322+120</f>
        <v>655.06700000000001</v>
      </c>
      <c r="M322" s="293">
        <f t="shared" ref="M322:M335" si="652">+L322*$X$1</f>
        <v>655.06700000000001</v>
      </c>
      <c r="N322" s="598">
        <f t="shared" ref="N322:N335" si="653">F322+60</f>
        <v>595.06700000000001</v>
      </c>
      <c r="O322" s="293">
        <f t="shared" ref="O322:O335" si="654">+N322*$X$1</f>
        <v>595.06700000000001</v>
      </c>
      <c r="P322" s="598">
        <f t="shared" ref="P322:P335" si="655">F322+50</f>
        <v>585.06700000000001</v>
      </c>
      <c r="Q322" s="293">
        <f t="shared" ref="Q322:Q335" si="656">+P322*$X$1</f>
        <v>585.06700000000001</v>
      </c>
      <c r="R322" s="598">
        <f>F322+42</f>
        <v>577.06700000000001</v>
      </c>
      <c r="S322" s="293">
        <f>+R322*$X$1</f>
        <v>577.06700000000001</v>
      </c>
      <c r="T322" s="104">
        <f>F322+34</f>
        <v>569.06700000000001</v>
      </c>
      <c r="U322" s="260">
        <f>+T322*$X$1</f>
        <v>569.06700000000001</v>
      </c>
      <c r="V322" s="104">
        <f>F322+29</f>
        <v>564.06700000000001</v>
      </c>
      <c r="W322" s="260">
        <f>+V322*$X$1</f>
        <v>564.06700000000001</v>
      </c>
      <c r="X322" s="186"/>
      <c r="Y322" s="187"/>
      <c r="Z322" s="187"/>
      <c r="AA322" s="186"/>
      <c r="AB322" s="420">
        <v>2193</v>
      </c>
    </row>
    <row r="323" spans="1:31" ht="12.6" customHeight="1" x14ac:dyDescent="0.2">
      <c r="A323" s="18"/>
      <c r="B323" s="642" t="s">
        <v>233</v>
      </c>
      <c r="C323" s="643"/>
      <c r="D323" s="643"/>
      <c r="E323" s="643"/>
      <c r="F323" s="393">
        <f>0.57*X2</f>
        <v>585.39</v>
      </c>
      <c r="G323" s="313">
        <f>+F323*$X$1</f>
        <v>585.39</v>
      </c>
      <c r="H323" s="493"/>
      <c r="I323" s="493"/>
      <c r="J323" s="121"/>
      <c r="K323" s="294"/>
      <c r="L323" s="493">
        <f t="shared" si="651"/>
        <v>705.39</v>
      </c>
      <c r="M323" s="294">
        <f t="shared" si="652"/>
        <v>705.39</v>
      </c>
      <c r="N323" s="493">
        <f t="shared" si="653"/>
        <v>645.39</v>
      </c>
      <c r="O323" s="294">
        <f t="shared" si="654"/>
        <v>645.39</v>
      </c>
      <c r="P323" s="493">
        <f t="shared" si="655"/>
        <v>635.39</v>
      </c>
      <c r="Q323" s="294">
        <f t="shared" si="656"/>
        <v>635.39</v>
      </c>
      <c r="R323" s="493">
        <f>F323+42</f>
        <v>627.39</v>
      </c>
      <c r="S323" s="294">
        <f>+R323*$X$1</f>
        <v>627.39</v>
      </c>
      <c r="T323" s="103">
        <f>F323+34</f>
        <v>619.39</v>
      </c>
      <c r="U323" s="313">
        <f>+T323*$X$1</f>
        <v>619.39</v>
      </c>
      <c r="V323" s="103">
        <f>F323+29</f>
        <v>614.39</v>
      </c>
      <c r="W323" s="313">
        <f>+V323*$X$1</f>
        <v>614.39</v>
      </c>
      <c r="X323" s="132"/>
      <c r="Y323" s="132"/>
      <c r="Z323" s="132"/>
      <c r="AA323" s="132"/>
      <c r="AB323" s="420">
        <v>2194</v>
      </c>
    </row>
    <row r="324" spans="1:31" ht="12.6" customHeight="1" x14ac:dyDescent="0.2">
      <c r="A324" s="18"/>
      <c r="B324" s="685" t="s">
        <v>234</v>
      </c>
      <c r="C324" s="686"/>
      <c r="D324" s="686"/>
      <c r="E324" s="687"/>
      <c r="F324" s="392">
        <f>0.67*X2</f>
        <v>688.09</v>
      </c>
      <c r="G324" s="260">
        <f>+F324*$X$1</f>
        <v>688.09</v>
      </c>
      <c r="H324" s="560"/>
      <c r="I324" s="598"/>
      <c r="J324" s="122"/>
      <c r="K324" s="293"/>
      <c r="L324" s="598">
        <f t="shared" si="651"/>
        <v>808.09</v>
      </c>
      <c r="M324" s="293">
        <f t="shared" si="652"/>
        <v>808.09</v>
      </c>
      <c r="N324" s="598">
        <f t="shared" si="653"/>
        <v>748.09</v>
      </c>
      <c r="O324" s="293">
        <f t="shared" si="654"/>
        <v>748.09</v>
      </c>
      <c r="P324" s="598">
        <f t="shared" si="655"/>
        <v>738.09</v>
      </c>
      <c r="Q324" s="293">
        <f t="shared" si="656"/>
        <v>738.09</v>
      </c>
      <c r="R324" s="598">
        <f>F324+42</f>
        <v>730.09</v>
      </c>
      <c r="S324" s="293">
        <f>+R324*$X$1</f>
        <v>730.09</v>
      </c>
      <c r="T324" s="104">
        <f>F324+34</f>
        <v>722.09</v>
      </c>
      <c r="U324" s="260">
        <f>+T324*$X$1</f>
        <v>722.09</v>
      </c>
      <c r="V324" s="104">
        <f>F324+29</f>
        <v>717.09</v>
      </c>
      <c r="W324" s="260">
        <f>+V324*$X$1</f>
        <v>717.09</v>
      </c>
      <c r="X324" s="132"/>
      <c r="Y324" s="132"/>
      <c r="Z324" s="132"/>
      <c r="AA324" s="132"/>
      <c r="AB324" s="420">
        <v>2195</v>
      </c>
    </row>
    <row r="325" spans="1:31" ht="12.6" customHeight="1" x14ac:dyDescent="0.2">
      <c r="A325" s="18"/>
      <c r="B325" s="642" t="s">
        <v>235</v>
      </c>
      <c r="C325" s="643"/>
      <c r="D325" s="643"/>
      <c r="E325" s="643"/>
      <c r="F325" s="393">
        <f>0.652*X2</f>
        <v>669.60400000000004</v>
      </c>
      <c r="G325" s="313">
        <f>+F325*$X$1</f>
        <v>669.60400000000004</v>
      </c>
      <c r="H325" s="493"/>
      <c r="I325" s="493"/>
      <c r="J325" s="493"/>
      <c r="K325" s="294"/>
      <c r="L325" s="493">
        <f t="shared" si="651"/>
        <v>789.60400000000004</v>
      </c>
      <c r="M325" s="294">
        <f t="shared" si="652"/>
        <v>789.60400000000004</v>
      </c>
      <c r="N325" s="493">
        <f t="shared" si="653"/>
        <v>729.60400000000004</v>
      </c>
      <c r="O325" s="294">
        <f t="shared" si="654"/>
        <v>729.60400000000004</v>
      </c>
      <c r="P325" s="493">
        <f t="shared" si="655"/>
        <v>719.60400000000004</v>
      </c>
      <c r="Q325" s="294">
        <f t="shared" si="656"/>
        <v>719.60400000000004</v>
      </c>
      <c r="R325" s="493"/>
      <c r="S325" s="294"/>
      <c r="T325" s="103"/>
      <c r="U325" s="313"/>
      <c r="V325" s="103"/>
      <c r="W325" s="313"/>
      <c r="X325" s="132"/>
      <c r="Y325" s="132"/>
      <c r="Z325" s="132"/>
      <c r="AA325" s="132"/>
      <c r="AB325" s="420">
        <v>2198</v>
      </c>
    </row>
    <row r="326" spans="1:31" ht="12.6" customHeight="1" x14ac:dyDescent="0.2">
      <c r="A326" s="105"/>
      <c r="B326" s="644" t="s">
        <v>342</v>
      </c>
      <c r="C326" s="680"/>
      <c r="D326" s="680"/>
      <c r="E326" s="680"/>
      <c r="F326" s="392">
        <f>0.53*X2</f>
        <v>544.31000000000006</v>
      </c>
      <c r="G326" s="260">
        <f>+F326*$X$1</f>
        <v>544.31000000000006</v>
      </c>
      <c r="H326" s="560"/>
      <c r="I326" s="598"/>
      <c r="J326" s="598"/>
      <c r="K326" s="293"/>
      <c r="L326" s="598">
        <f t="shared" si="651"/>
        <v>664.31000000000006</v>
      </c>
      <c r="M326" s="293">
        <f t="shared" si="652"/>
        <v>664.31000000000006</v>
      </c>
      <c r="N326" s="598">
        <f t="shared" si="653"/>
        <v>604.31000000000006</v>
      </c>
      <c r="O326" s="293">
        <f t="shared" si="654"/>
        <v>604.31000000000006</v>
      </c>
      <c r="P326" s="598">
        <f t="shared" si="655"/>
        <v>594.31000000000006</v>
      </c>
      <c r="Q326" s="293">
        <f t="shared" si="656"/>
        <v>594.31000000000006</v>
      </c>
      <c r="R326" s="598">
        <f t="shared" ref="R326:R335" si="657">F326+42</f>
        <v>586.31000000000006</v>
      </c>
      <c r="S326" s="293">
        <f t="shared" ref="S326:S335" si="658">+R326*$X$1</f>
        <v>586.31000000000006</v>
      </c>
      <c r="T326" s="104">
        <f t="shared" ref="T326:T335" si="659">F326+34</f>
        <v>578.31000000000006</v>
      </c>
      <c r="U326" s="260">
        <f t="shared" ref="U326:U335" si="660">+T326*$X$1</f>
        <v>578.31000000000006</v>
      </c>
      <c r="V326" s="104">
        <f t="shared" ref="V326:V335" si="661">F326+29</f>
        <v>573.31000000000006</v>
      </c>
      <c r="W326" s="260">
        <f t="shared" ref="W326:W335" si="662">+V326*$X$1</f>
        <v>573.31000000000006</v>
      </c>
      <c r="X326" s="157"/>
      <c r="Y326" s="132"/>
      <c r="Z326" s="132"/>
      <c r="AA326" s="132"/>
      <c r="AB326" s="420">
        <v>2202</v>
      </c>
    </row>
    <row r="327" spans="1:31" ht="12.6" customHeight="1" x14ac:dyDescent="0.2">
      <c r="A327" s="105"/>
      <c r="B327" s="642" t="s">
        <v>343</v>
      </c>
      <c r="C327" s="689"/>
      <c r="D327" s="689"/>
      <c r="E327" s="689"/>
      <c r="F327" s="393">
        <f>0.53*X2</f>
        <v>544.31000000000006</v>
      </c>
      <c r="G327" s="313">
        <f t="shared" ref="G327:G331" si="663">+F327*$X$1</f>
        <v>544.31000000000006</v>
      </c>
      <c r="H327" s="493"/>
      <c r="I327" s="493"/>
      <c r="J327" s="493"/>
      <c r="K327" s="294"/>
      <c r="L327" s="493">
        <f t="shared" si="651"/>
        <v>664.31000000000006</v>
      </c>
      <c r="M327" s="294">
        <f t="shared" si="652"/>
        <v>664.31000000000006</v>
      </c>
      <c r="N327" s="493">
        <f t="shared" si="653"/>
        <v>604.31000000000006</v>
      </c>
      <c r="O327" s="294">
        <f t="shared" si="654"/>
        <v>604.31000000000006</v>
      </c>
      <c r="P327" s="493">
        <f t="shared" si="655"/>
        <v>594.31000000000006</v>
      </c>
      <c r="Q327" s="294">
        <f t="shared" si="656"/>
        <v>594.31000000000006</v>
      </c>
      <c r="R327" s="493">
        <f t="shared" si="657"/>
        <v>586.31000000000006</v>
      </c>
      <c r="S327" s="294">
        <f t="shared" si="658"/>
        <v>586.31000000000006</v>
      </c>
      <c r="T327" s="103">
        <f t="shared" si="659"/>
        <v>578.31000000000006</v>
      </c>
      <c r="U327" s="313">
        <f t="shared" si="660"/>
        <v>578.31000000000006</v>
      </c>
      <c r="V327" s="103">
        <f t="shared" si="661"/>
        <v>573.31000000000006</v>
      </c>
      <c r="W327" s="313">
        <f t="shared" si="662"/>
        <v>573.31000000000006</v>
      </c>
      <c r="X327" s="132"/>
      <c r="Y327" s="132"/>
      <c r="Z327" s="132"/>
      <c r="AA327" s="132"/>
      <c r="AB327" s="420" t="s">
        <v>236</v>
      </c>
    </row>
    <row r="328" spans="1:31" ht="12.6" customHeight="1" x14ac:dyDescent="0.2">
      <c r="A328" s="105"/>
      <c r="B328" s="644" t="s">
        <v>344</v>
      </c>
      <c r="C328" s="680"/>
      <c r="D328" s="680"/>
      <c r="E328" s="680"/>
      <c r="F328" s="392">
        <f>0.52*X2</f>
        <v>534.04</v>
      </c>
      <c r="G328" s="260">
        <f t="shared" ref="G328:G332" si="664">+F328*$X$1</f>
        <v>534.04</v>
      </c>
      <c r="H328" s="568"/>
      <c r="I328" s="598"/>
      <c r="J328" s="598"/>
      <c r="K328" s="314"/>
      <c r="L328" s="598">
        <f t="shared" si="651"/>
        <v>654.04</v>
      </c>
      <c r="M328" s="293">
        <f t="shared" si="652"/>
        <v>654.04</v>
      </c>
      <c r="N328" s="598">
        <f t="shared" si="653"/>
        <v>594.04</v>
      </c>
      <c r="O328" s="293">
        <f t="shared" si="654"/>
        <v>594.04</v>
      </c>
      <c r="P328" s="598">
        <f t="shared" si="655"/>
        <v>584.04</v>
      </c>
      <c r="Q328" s="293">
        <f t="shared" si="656"/>
        <v>584.04</v>
      </c>
      <c r="R328" s="598">
        <f t="shared" si="657"/>
        <v>576.04</v>
      </c>
      <c r="S328" s="293">
        <f t="shared" si="658"/>
        <v>576.04</v>
      </c>
      <c r="T328" s="104">
        <f t="shared" si="659"/>
        <v>568.04</v>
      </c>
      <c r="U328" s="260">
        <f t="shared" si="660"/>
        <v>568.04</v>
      </c>
      <c r="V328" s="104">
        <f t="shared" si="661"/>
        <v>563.04</v>
      </c>
      <c r="W328" s="260">
        <f t="shared" si="662"/>
        <v>563.04</v>
      </c>
      <c r="X328" s="132"/>
      <c r="Y328" s="132"/>
      <c r="Z328" s="132"/>
      <c r="AA328" s="132"/>
      <c r="AB328" s="420" t="s">
        <v>237</v>
      </c>
    </row>
    <row r="329" spans="1:31" ht="12.6" customHeight="1" x14ac:dyDescent="0.2">
      <c r="A329" s="105"/>
      <c r="B329" s="637" t="s">
        <v>891</v>
      </c>
      <c r="C329" s="1033"/>
      <c r="D329" s="1033"/>
      <c r="E329" s="1033"/>
      <c r="F329" s="393">
        <f>0.52*X2</f>
        <v>534.04</v>
      </c>
      <c r="G329" s="313">
        <f t="shared" ref="G329" si="665">+F329*$X$1</f>
        <v>534.04</v>
      </c>
      <c r="H329" s="493"/>
      <c r="I329" s="493"/>
      <c r="J329" s="493"/>
      <c r="K329" s="328"/>
      <c r="L329" s="493">
        <f t="shared" si="651"/>
        <v>654.04</v>
      </c>
      <c r="M329" s="294">
        <f t="shared" si="652"/>
        <v>654.04</v>
      </c>
      <c r="N329" s="493">
        <f t="shared" si="653"/>
        <v>594.04</v>
      </c>
      <c r="O329" s="294">
        <f t="shared" si="654"/>
        <v>594.04</v>
      </c>
      <c r="P329" s="493">
        <f t="shared" si="655"/>
        <v>584.04</v>
      </c>
      <c r="Q329" s="294">
        <f t="shared" si="656"/>
        <v>584.04</v>
      </c>
      <c r="R329" s="493">
        <f t="shared" si="657"/>
        <v>576.04</v>
      </c>
      <c r="S329" s="294">
        <f t="shared" si="658"/>
        <v>576.04</v>
      </c>
      <c r="T329" s="103">
        <f t="shared" si="659"/>
        <v>568.04</v>
      </c>
      <c r="U329" s="313">
        <f t="shared" si="660"/>
        <v>568.04</v>
      </c>
      <c r="V329" s="103">
        <f t="shared" si="661"/>
        <v>563.04</v>
      </c>
      <c r="W329" s="313">
        <f t="shared" si="662"/>
        <v>563.04</v>
      </c>
      <c r="X329" s="132"/>
      <c r="Y329" s="132"/>
      <c r="Z329" s="132"/>
      <c r="AA329" s="132"/>
      <c r="AB329" s="569" t="s">
        <v>890</v>
      </c>
    </row>
    <row r="330" spans="1:31" ht="12.6" customHeight="1" x14ac:dyDescent="0.2">
      <c r="A330" s="105"/>
      <c r="B330" s="669" t="s">
        <v>661</v>
      </c>
      <c r="C330" s="704"/>
      <c r="D330" s="704"/>
      <c r="E330" s="705"/>
      <c r="F330" s="392">
        <f>0.68*X2</f>
        <v>698.36</v>
      </c>
      <c r="G330" s="260">
        <f t="shared" si="664"/>
        <v>698.36</v>
      </c>
      <c r="H330" s="538"/>
      <c r="I330" s="598"/>
      <c r="J330" s="598"/>
      <c r="K330" s="293"/>
      <c r="L330" s="598">
        <f t="shared" si="651"/>
        <v>818.36</v>
      </c>
      <c r="M330" s="293">
        <f t="shared" si="652"/>
        <v>818.36</v>
      </c>
      <c r="N330" s="598">
        <f t="shared" si="653"/>
        <v>758.36</v>
      </c>
      <c r="O330" s="293">
        <f t="shared" si="654"/>
        <v>758.36</v>
      </c>
      <c r="P330" s="598">
        <f t="shared" si="655"/>
        <v>748.36</v>
      </c>
      <c r="Q330" s="293">
        <f t="shared" si="656"/>
        <v>748.36</v>
      </c>
      <c r="R330" s="598">
        <f t="shared" si="657"/>
        <v>740.36</v>
      </c>
      <c r="S330" s="293">
        <f t="shared" si="658"/>
        <v>740.36</v>
      </c>
      <c r="T330" s="104">
        <f t="shared" si="659"/>
        <v>732.36</v>
      </c>
      <c r="U330" s="260">
        <f t="shared" si="660"/>
        <v>732.36</v>
      </c>
      <c r="V330" s="104">
        <f t="shared" si="661"/>
        <v>727.36</v>
      </c>
      <c r="W330" s="260">
        <f t="shared" si="662"/>
        <v>727.36</v>
      </c>
      <c r="X330" s="658"/>
      <c r="Y330" s="658"/>
      <c r="Z330" s="658"/>
      <c r="AA330" s="654"/>
      <c r="AB330" s="420" t="s">
        <v>665</v>
      </c>
      <c r="AC330" s="66"/>
      <c r="AE330" s="88"/>
    </row>
    <row r="331" spans="1:31" ht="12.6" customHeight="1" x14ac:dyDescent="0.2">
      <c r="A331" s="105"/>
      <c r="B331" s="666" t="s">
        <v>238</v>
      </c>
      <c r="C331" s="681"/>
      <c r="D331" s="681"/>
      <c r="E331" s="682"/>
      <c r="F331" s="393">
        <f>0.75*X2</f>
        <v>770.25</v>
      </c>
      <c r="G331" s="313">
        <f t="shared" si="663"/>
        <v>770.25</v>
      </c>
      <c r="H331" s="493"/>
      <c r="I331" s="493"/>
      <c r="J331" s="493"/>
      <c r="K331" s="294"/>
      <c r="L331" s="493">
        <f t="shared" si="651"/>
        <v>890.25</v>
      </c>
      <c r="M331" s="294">
        <f t="shared" si="652"/>
        <v>890.25</v>
      </c>
      <c r="N331" s="493">
        <f t="shared" si="653"/>
        <v>830.25</v>
      </c>
      <c r="O331" s="294">
        <f t="shared" si="654"/>
        <v>830.25</v>
      </c>
      <c r="P331" s="493">
        <f t="shared" si="655"/>
        <v>820.25</v>
      </c>
      <c r="Q331" s="294">
        <f t="shared" si="656"/>
        <v>820.25</v>
      </c>
      <c r="R331" s="493">
        <f t="shared" si="657"/>
        <v>812.25</v>
      </c>
      <c r="S331" s="294">
        <f t="shared" si="658"/>
        <v>812.25</v>
      </c>
      <c r="T331" s="103">
        <f t="shared" si="659"/>
        <v>804.25</v>
      </c>
      <c r="U331" s="313">
        <f t="shared" si="660"/>
        <v>804.25</v>
      </c>
      <c r="V331" s="103">
        <f t="shared" si="661"/>
        <v>799.25</v>
      </c>
      <c r="W331" s="313">
        <f t="shared" si="662"/>
        <v>799.25</v>
      </c>
      <c r="X331" s="658"/>
      <c r="Y331" s="658"/>
      <c r="Z331" s="658"/>
      <c r="AA331" s="654"/>
      <c r="AB331" s="420" t="s">
        <v>239</v>
      </c>
      <c r="AC331" s="66"/>
      <c r="AE331" s="88"/>
    </row>
    <row r="332" spans="1:31" ht="12.6" customHeight="1" x14ac:dyDescent="0.2">
      <c r="A332" s="98"/>
      <c r="B332" s="669" t="s">
        <v>240</v>
      </c>
      <c r="C332" s="672"/>
      <c r="D332" s="672"/>
      <c r="E332" s="673"/>
      <c r="F332" s="392">
        <f>0.745*X2</f>
        <v>765.11500000000001</v>
      </c>
      <c r="G332" s="260">
        <f t="shared" si="664"/>
        <v>765.11500000000001</v>
      </c>
      <c r="H332" s="538"/>
      <c r="I332" s="598"/>
      <c r="J332" s="598"/>
      <c r="K332" s="293"/>
      <c r="L332" s="598">
        <f t="shared" si="651"/>
        <v>885.11500000000001</v>
      </c>
      <c r="M332" s="293">
        <f t="shared" si="652"/>
        <v>885.11500000000001</v>
      </c>
      <c r="N332" s="598">
        <f t="shared" si="653"/>
        <v>825.11500000000001</v>
      </c>
      <c r="O332" s="293">
        <f t="shared" si="654"/>
        <v>825.11500000000001</v>
      </c>
      <c r="P332" s="598">
        <f t="shared" si="655"/>
        <v>815.11500000000001</v>
      </c>
      <c r="Q332" s="293">
        <f t="shared" si="656"/>
        <v>815.11500000000001</v>
      </c>
      <c r="R332" s="598">
        <f t="shared" si="657"/>
        <v>807.11500000000001</v>
      </c>
      <c r="S332" s="293">
        <f t="shared" si="658"/>
        <v>807.11500000000001</v>
      </c>
      <c r="T332" s="104">
        <f t="shared" si="659"/>
        <v>799.11500000000001</v>
      </c>
      <c r="U332" s="260">
        <f t="shared" si="660"/>
        <v>799.11500000000001</v>
      </c>
      <c r="V332" s="104">
        <f t="shared" si="661"/>
        <v>794.11500000000001</v>
      </c>
      <c r="W332" s="260">
        <f t="shared" si="662"/>
        <v>794.11500000000001</v>
      </c>
      <c r="X332" s="173"/>
      <c r="Y332" s="132"/>
      <c r="Z332" s="132"/>
      <c r="AA332" s="132"/>
      <c r="AB332" s="420">
        <v>2203</v>
      </c>
      <c r="AC332" s="232"/>
    </row>
    <row r="333" spans="1:31" ht="12.6" customHeight="1" x14ac:dyDescent="0.2">
      <c r="A333" s="98"/>
      <c r="B333" s="664" t="s">
        <v>241</v>
      </c>
      <c r="C333" s="688"/>
      <c r="D333" s="688"/>
      <c r="E333" s="688"/>
      <c r="F333" s="393">
        <f>0.79*X2</f>
        <v>811.33</v>
      </c>
      <c r="G333" s="313">
        <f>+F333*$X$1</f>
        <v>811.33</v>
      </c>
      <c r="H333" s="493"/>
      <c r="I333" s="493"/>
      <c r="J333" s="493"/>
      <c r="K333" s="294"/>
      <c r="L333" s="493">
        <f t="shared" si="651"/>
        <v>931.33</v>
      </c>
      <c r="M333" s="294">
        <f t="shared" si="652"/>
        <v>931.33</v>
      </c>
      <c r="N333" s="493">
        <f t="shared" si="653"/>
        <v>871.33</v>
      </c>
      <c r="O333" s="294">
        <f t="shared" si="654"/>
        <v>871.33</v>
      </c>
      <c r="P333" s="493">
        <f t="shared" si="655"/>
        <v>861.33</v>
      </c>
      <c r="Q333" s="294">
        <f t="shared" si="656"/>
        <v>861.33</v>
      </c>
      <c r="R333" s="493">
        <f t="shared" si="657"/>
        <v>853.33</v>
      </c>
      <c r="S333" s="294">
        <f t="shared" si="658"/>
        <v>853.33</v>
      </c>
      <c r="T333" s="103">
        <f t="shared" si="659"/>
        <v>845.33</v>
      </c>
      <c r="U333" s="313">
        <f t="shared" si="660"/>
        <v>845.33</v>
      </c>
      <c r="V333" s="103">
        <f t="shared" si="661"/>
        <v>840.33</v>
      </c>
      <c r="W333" s="313">
        <f t="shared" si="662"/>
        <v>840.33</v>
      </c>
      <c r="X333" s="174"/>
      <c r="Y333" s="136"/>
      <c r="Z333" s="136"/>
      <c r="AA333" s="139"/>
      <c r="AB333" s="420">
        <v>2205</v>
      </c>
      <c r="AC333" s="66"/>
    </row>
    <row r="334" spans="1:31" ht="12.6" customHeight="1" x14ac:dyDescent="0.2">
      <c r="A334" s="98"/>
      <c r="B334" s="644" t="s">
        <v>242</v>
      </c>
      <c r="C334" s="680"/>
      <c r="D334" s="680"/>
      <c r="E334" s="680"/>
      <c r="F334" s="392">
        <f>0.49*X2</f>
        <v>503.23</v>
      </c>
      <c r="G334" s="260">
        <f>+F334*$X$1</f>
        <v>503.23</v>
      </c>
      <c r="H334" s="538"/>
      <c r="I334" s="598"/>
      <c r="J334" s="598"/>
      <c r="K334" s="293"/>
      <c r="L334" s="598">
        <f t="shared" si="651"/>
        <v>623.23</v>
      </c>
      <c r="M334" s="293">
        <f t="shared" si="652"/>
        <v>623.23</v>
      </c>
      <c r="N334" s="598">
        <f t="shared" si="653"/>
        <v>563.23</v>
      </c>
      <c r="O334" s="293">
        <f t="shared" si="654"/>
        <v>563.23</v>
      </c>
      <c r="P334" s="598">
        <f t="shared" si="655"/>
        <v>553.23</v>
      </c>
      <c r="Q334" s="293">
        <f t="shared" si="656"/>
        <v>553.23</v>
      </c>
      <c r="R334" s="598">
        <f t="shared" si="657"/>
        <v>545.23</v>
      </c>
      <c r="S334" s="293">
        <f t="shared" si="658"/>
        <v>545.23</v>
      </c>
      <c r="T334" s="104">
        <f t="shared" si="659"/>
        <v>537.23</v>
      </c>
      <c r="U334" s="260">
        <f t="shared" si="660"/>
        <v>537.23</v>
      </c>
      <c r="V334" s="104">
        <f t="shared" si="661"/>
        <v>532.23</v>
      </c>
      <c r="W334" s="260">
        <f t="shared" si="662"/>
        <v>532.23</v>
      </c>
      <c r="X334" s="136"/>
      <c r="Y334" s="136"/>
      <c r="Z334" s="136"/>
      <c r="AA334" s="139"/>
      <c r="AB334" s="420">
        <v>2207</v>
      </c>
    </row>
    <row r="335" spans="1:31" ht="12.6" customHeight="1" x14ac:dyDescent="0.2">
      <c r="A335" s="98"/>
      <c r="B335" s="642" t="s">
        <v>243</v>
      </c>
      <c r="C335" s="689"/>
      <c r="D335" s="689"/>
      <c r="E335" s="689"/>
      <c r="F335" s="393">
        <f>0.42*X2</f>
        <v>431.34</v>
      </c>
      <c r="G335" s="358">
        <f>+F335*$X$1</f>
        <v>431.34</v>
      </c>
      <c r="H335" s="96"/>
      <c r="I335" s="96"/>
      <c r="J335" s="96"/>
      <c r="K335" s="296"/>
      <c r="L335" s="493">
        <f t="shared" si="651"/>
        <v>551.33999999999992</v>
      </c>
      <c r="M335" s="294">
        <f t="shared" si="652"/>
        <v>551.33999999999992</v>
      </c>
      <c r="N335" s="493">
        <f t="shared" si="653"/>
        <v>491.34</v>
      </c>
      <c r="O335" s="294">
        <f t="shared" si="654"/>
        <v>491.34</v>
      </c>
      <c r="P335" s="493">
        <f t="shared" si="655"/>
        <v>481.34</v>
      </c>
      <c r="Q335" s="294">
        <f t="shared" si="656"/>
        <v>481.34</v>
      </c>
      <c r="R335" s="493">
        <f t="shared" si="657"/>
        <v>473.34</v>
      </c>
      <c r="S335" s="294">
        <f t="shared" si="658"/>
        <v>473.34</v>
      </c>
      <c r="T335" s="103">
        <f t="shared" si="659"/>
        <v>465.34</v>
      </c>
      <c r="U335" s="313">
        <f t="shared" si="660"/>
        <v>465.34</v>
      </c>
      <c r="V335" s="103">
        <f t="shared" si="661"/>
        <v>460.34</v>
      </c>
      <c r="W335" s="313">
        <f t="shared" si="662"/>
        <v>460.34</v>
      </c>
      <c r="X335" s="136"/>
      <c r="Y335" s="136"/>
      <c r="Z335" s="136"/>
      <c r="AA335" s="139"/>
      <c r="AB335" s="420">
        <v>2209</v>
      </c>
    </row>
    <row r="336" spans="1:31" ht="12.6" customHeight="1" x14ac:dyDescent="0.2">
      <c r="A336" s="98"/>
      <c r="B336" s="696" t="s">
        <v>244</v>
      </c>
      <c r="C336" s="697"/>
      <c r="D336" s="697"/>
      <c r="E336" s="697"/>
      <c r="F336" s="392">
        <f>4.17*X2</f>
        <v>4282.59</v>
      </c>
      <c r="G336" s="293">
        <f t="shared" ref="G336" si="666">+F336*$X$1</f>
        <v>4282.59</v>
      </c>
      <c r="H336" s="407">
        <f>F336+360</f>
        <v>4642.59</v>
      </c>
      <c r="I336" s="293">
        <f>+H336*$X$1</f>
        <v>4642.59</v>
      </c>
      <c r="J336" s="598">
        <f>F336+180</f>
        <v>4462.59</v>
      </c>
      <c r="K336" s="293">
        <f t="shared" ref="K336" si="667">+J336*$X$1</f>
        <v>4462.59</v>
      </c>
      <c r="L336" s="598">
        <f t="shared" si="651"/>
        <v>4402.59</v>
      </c>
      <c r="M336" s="293">
        <f t="shared" ref="M336" si="668">+L336*$X$1</f>
        <v>4402.59</v>
      </c>
      <c r="N336" s="598">
        <f>F336+61</f>
        <v>4343.59</v>
      </c>
      <c r="O336" s="293">
        <f t="shared" ref="O336" si="669">+N336*$X$1</f>
        <v>4343.59</v>
      </c>
      <c r="P336" s="598">
        <f>F336+54</f>
        <v>4336.59</v>
      </c>
      <c r="Q336" s="293">
        <f t="shared" ref="Q336" si="670">+P336*$X$1</f>
        <v>4336.59</v>
      </c>
      <c r="R336" s="598">
        <f>F336+47</f>
        <v>4329.59</v>
      </c>
      <c r="S336" s="293">
        <f t="shared" ref="S336" si="671">+R336*$X$1</f>
        <v>4329.59</v>
      </c>
      <c r="T336" s="598">
        <f>F336+38</f>
        <v>4320.59</v>
      </c>
      <c r="U336" s="293">
        <f t="shared" ref="U336" si="672">+T336*$X$1</f>
        <v>4320.59</v>
      </c>
      <c r="V336" s="598">
        <f>F336+33</f>
        <v>4315.59</v>
      </c>
      <c r="W336" s="293">
        <f t="shared" ref="W336" si="673">+V336*$X$1</f>
        <v>4315.59</v>
      </c>
      <c r="X336" s="652"/>
      <c r="Y336" s="658"/>
      <c r="Z336" s="658"/>
      <c r="AA336" s="654"/>
      <c r="AB336" s="420">
        <v>2216</v>
      </c>
      <c r="AC336" s="66"/>
    </row>
    <row r="337" spans="1:29" ht="12.6" customHeight="1" x14ac:dyDescent="0.2">
      <c r="A337" s="105"/>
      <c r="B337" s="699" t="s">
        <v>376</v>
      </c>
      <c r="C337" s="700"/>
      <c r="D337" s="700"/>
      <c r="E337" s="700"/>
      <c r="F337" s="607">
        <v>1350</v>
      </c>
      <c r="G337" s="602">
        <f>+F337*$X$1</f>
        <v>1350</v>
      </c>
      <c r="H337" s="604">
        <f>F337+360</f>
        <v>1710</v>
      </c>
      <c r="I337" s="602">
        <f>+H337*$X$1</f>
        <v>1710</v>
      </c>
      <c r="J337" s="604">
        <f>F337+180</f>
        <v>1530</v>
      </c>
      <c r="K337" s="602">
        <f t="shared" ref="K337" si="674">+J337*$X$1</f>
        <v>1530</v>
      </c>
      <c r="L337" s="604">
        <f t="shared" si="651"/>
        <v>1470</v>
      </c>
      <c r="M337" s="602">
        <f t="shared" ref="M337" si="675">+L337*$X$1</f>
        <v>1470</v>
      </c>
      <c r="N337" s="604">
        <f>F337+61</f>
        <v>1411</v>
      </c>
      <c r="O337" s="602">
        <f t="shared" ref="O337" si="676">+N337*$X$1</f>
        <v>1411</v>
      </c>
      <c r="P337" s="605"/>
      <c r="Q337" s="710" t="s">
        <v>152</v>
      </c>
      <c r="R337" s="711"/>
      <c r="S337" s="711"/>
      <c r="T337" s="711"/>
      <c r="U337" s="711"/>
      <c r="V337" s="711"/>
      <c r="W337" s="712"/>
      <c r="X337" s="652"/>
      <c r="Y337" s="658"/>
      <c r="Z337" s="658"/>
      <c r="AA337" s="654"/>
      <c r="AB337" s="420">
        <v>2222</v>
      </c>
    </row>
    <row r="338" spans="1:29" ht="12.6" customHeight="1" x14ac:dyDescent="0.2">
      <c r="A338" s="18"/>
      <c r="B338" s="669" t="s">
        <v>719</v>
      </c>
      <c r="C338" s="670"/>
      <c r="D338" s="670"/>
      <c r="E338" s="671"/>
      <c r="F338" s="397">
        <f>0.59*X2</f>
        <v>605.92999999999995</v>
      </c>
      <c r="G338" s="293">
        <f t="shared" ref="G338" si="677">+F338*$X$1</f>
        <v>605.92999999999995</v>
      </c>
      <c r="H338" s="286"/>
      <c r="I338" s="286"/>
      <c r="J338" s="598"/>
      <c r="K338" s="598"/>
      <c r="L338" s="598">
        <f t="shared" si="651"/>
        <v>725.93</v>
      </c>
      <c r="M338" s="293">
        <f t="shared" ref="M338:M347" si="678">+L338*$X$1</f>
        <v>725.93</v>
      </c>
      <c r="N338" s="598">
        <f>F338+60</f>
        <v>665.93</v>
      </c>
      <c r="O338" s="293">
        <f t="shared" ref="O338:O366" si="679">+N338*$X$1</f>
        <v>665.93</v>
      </c>
      <c r="P338" s="598">
        <f>F338+50</f>
        <v>655.93</v>
      </c>
      <c r="Q338" s="293">
        <f t="shared" ref="Q338:Q366" si="680">+P338*$X$1</f>
        <v>655.93</v>
      </c>
      <c r="R338" s="598">
        <f>F338+42</f>
        <v>647.92999999999995</v>
      </c>
      <c r="S338" s="293">
        <f t="shared" ref="S338:S366" si="681">+R338*$X$1</f>
        <v>647.92999999999995</v>
      </c>
      <c r="T338" s="104">
        <f>F338+34</f>
        <v>639.92999999999995</v>
      </c>
      <c r="U338" s="260">
        <f t="shared" ref="U338:U346" si="682">+T338*$X$1</f>
        <v>639.92999999999995</v>
      </c>
      <c r="V338" s="104">
        <f>F338+29</f>
        <v>634.92999999999995</v>
      </c>
      <c r="W338" s="260">
        <f>+V338*$X$1</f>
        <v>634.92999999999995</v>
      </c>
      <c r="X338" s="468"/>
      <c r="Y338" s="467"/>
      <c r="Z338" s="467"/>
      <c r="AA338" s="468"/>
      <c r="AB338" s="420">
        <v>2231</v>
      </c>
      <c r="AC338" s="66"/>
    </row>
    <row r="339" spans="1:29" ht="12.6" customHeight="1" x14ac:dyDescent="0.2">
      <c r="A339" s="18"/>
      <c r="B339" s="666" t="s">
        <v>731</v>
      </c>
      <c r="C339" s="667"/>
      <c r="D339" s="667"/>
      <c r="E339" s="668"/>
      <c r="F339" s="396">
        <f>0.57*X2</f>
        <v>585.39</v>
      </c>
      <c r="G339" s="294">
        <f t="shared" ref="G339" si="683">+F339*$X$1</f>
        <v>585.39</v>
      </c>
      <c r="H339" s="285"/>
      <c r="I339" s="285"/>
      <c r="J339" s="493"/>
      <c r="K339" s="493"/>
      <c r="L339" s="493">
        <f t="shared" si="651"/>
        <v>705.39</v>
      </c>
      <c r="M339" s="294">
        <f t="shared" si="678"/>
        <v>705.39</v>
      </c>
      <c r="N339" s="493">
        <f>F339+60</f>
        <v>645.39</v>
      </c>
      <c r="O339" s="294">
        <f t="shared" si="679"/>
        <v>645.39</v>
      </c>
      <c r="P339" s="493">
        <f>F339+50</f>
        <v>635.39</v>
      </c>
      <c r="Q339" s="294">
        <f t="shared" si="680"/>
        <v>635.39</v>
      </c>
      <c r="R339" s="493">
        <f>F339+42</f>
        <v>627.39</v>
      </c>
      <c r="S339" s="294">
        <f t="shared" si="681"/>
        <v>627.39</v>
      </c>
      <c r="T339" s="103">
        <f>F339+34</f>
        <v>619.39</v>
      </c>
      <c r="U339" s="313">
        <f t="shared" si="682"/>
        <v>619.39</v>
      </c>
      <c r="V339" s="103">
        <f>F339+29</f>
        <v>614.39</v>
      </c>
      <c r="W339" s="313">
        <f>+V339*$X$1</f>
        <v>614.39</v>
      </c>
      <c r="X339" s="473"/>
      <c r="Y339" s="472"/>
      <c r="Z339" s="472"/>
      <c r="AA339" s="473"/>
      <c r="AB339" s="420">
        <v>2232</v>
      </c>
      <c r="AC339" s="66"/>
    </row>
    <row r="340" spans="1:29" ht="12.6" customHeight="1" x14ac:dyDescent="0.2">
      <c r="A340" s="18"/>
      <c r="B340" s="669" t="s">
        <v>803</v>
      </c>
      <c r="C340" s="670"/>
      <c r="D340" s="670"/>
      <c r="E340" s="671"/>
      <c r="F340" s="397">
        <f>0.99*X2</f>
        <v>1016.73</v>
      </c>
      <c r="G340" s="293">
        <f t="shared" ref="G340" si="684">+F340*$X$1</f>
        <v>1016.73</v>
      </c>
      <c r="H340" s="286"/>
      <c r="I340" s="286"/>
      <c r="J340" s="598"/>
      <c r="K340" s="598"/>
      <c r="L340" s="598">
        <f t="shared" si="651"/>
        <v>1136.73</v>
      </c>
      <c r="M340" s="293">
        <f t="shared" si="678"/>
        <v>1136.73</v>
      </c>
      <c r="N340" s="598">
        <f>F340+60</f>
        <v>1076.73</v>
      </c>
      <c r="O340" s="293">
        <f t="shared" si="679"/>
        <v>1076.73</v>
      </c>
      <c r="P340" s="598">
        <f>F340+50</f>
        <v>1066.73</v>
      </c>
      <c r="Q340" s="293">
        <f t="shared" si="680"/>
        <v>1066.73</v>
      </c>
      <c r="R340" s="598">
        <f>F340+42</f>
        <v>1058.73</v>
      </c>
      <c r="S340" s="293">
        <f t="shared" si="681"/>
        <v>1058.73</v>
      </c>
      <c r="T340" s="104">
        <f>F340+34</f>
        <v>1050.73</v>
      </c>
      <c r="U340" s="260">
        <f t="shared" si="682"/>
        <v>1050.73</v>
      </c>
      <c r="V340" s="104">
        <f>F340+29</f>
        <v>1045.73</v>
      </c>
      <c r="W340" s="260">
        <f>+V340*$X$1</f>
        <v>1045.73</v>
      </c>
      <c r="X340" s="473"/>
      <c r="Y340" s="472"/>
      <c r="Z340" s="472"/>
      <c r="AA340" s="473"/>
      <c r="AB340" s="420">
        <v>2233</v>
      </c>
      <c r="AC340" s="66"/>
    </row>
    <row r="341" spans="1:29" ht="12.6" customHeight="1" x14ac:dyDescent="0.2">
      <c r="A341" s="98"/>
      <c r="B341" s="699" t="s">
        <v>804</v>
      </c>
      <c r="C341" s="1015"/>
      <c r="D341" s="1015"/>
      <c r="E341" s="1015"/>
      <c r="F341" s="607">
        <f>0.4*X2</f>
        <v>410.8</v>
      </c>
      <c r="G341" s="602">
        <f t="shared" ref="G341:G351" si="685">+F341*$X$1</f>
        <v>410.8</v>
      </c>
      <c r="H341" s="604"/>
      <c r="I341" s="602"/>
      <c r="J341" s="604"/>
      <c r="K341" s="602"/>
      <c r="L341" s="604">
        <f>F341+190</f>
        <v>600.79999999999995</v>
      </c>
      <c r="M341" s="602">
        <f t="shared" si="678"/>
        <v>600.79999999999995</v>
      </c>
      <c r="N341" s="604">
        <f>F341+100</f>
        <v>510.8</v>
      </c>
      <c r="O341" s="602">
        <f t="shared" si="679"/>
        <v>510.8</v>
      </c>
      <c r="P341" s="604">
        <f>F341+80</f>
        <v>490.8</v>
      </c>
      <c r="Q341" s="602">
        <f t="shared" si="680"/>
        <v>490.8</v>
      </c>
      <c r="R341" s="604">
        <f>F341+68</f>
        <v>478.8</v>
      </c>
      <c r="S341" s="602">
        <f t="shared" si="681"/>
        <v>478.8</v>
      </c>
      <c r="T341" s="614">
        <f>F341+52</f>
        <v>462.8</v>
      </c>
      <c r="U341" s="613">
        <f t="shared" si="682"/>
        <v>462.8</v>
      </c>
      <c r="V341" s="614"/>
      <c r="W341" s="613"/>
      <c r="X341" s="140"/>
      <c r="Y341" s="136"/>
      <c r="Z341" s="136"/>
      <c r="AA341" s="139"/>
      <c r="AB341" s="420">
        <v>2234</v>
      </c>
    </row>
    <row r="342" spans="1:29" ht="12.6" customHeight="1" x14ac:dyDescent="0.2">
      <c r="A342" s="98"/>
      <c r="B342" s="642" t="s">
        <v>805</v>
      </c>
      <c r="C342" s="698"/>
      <c r="D342" s="698"/>
      <c r="E342" s="698"/>
      <c r="F342" s="393">
        <f>0.56*X2</f>
        <v>575.12</v>
      </c>
      <c r="G342" s="294">
        <f t="shared" si="685"/>
        <v>575.12</v>
      </c>
      <c r="H342" s="285"/>
      <c r="I342" s="354"/>
      <c r="J342" s="493"/>
      <c r="K342" s="294"/>
      <c r="L342" s="493">
        <f>F342+190</f>
        <v>765.12</v>
      </c>
      <c r="M342" s="294">
        <f t="shared" si="678"/>
        <v>765.12</v>
      </c>
      <c r="N342" s="493">
        <f>F342+100</f>
        <v>675.12</v>
      </c>
      <c r="O342" s="294">
        <f t="shared" si="679"/>
        <v>675.12</v>
      </c>
      <c r="P342" s="493">
        <f>F342+80</f>
        <v>655.12</v>
      </c>
      <c r="Q342" s="294">
        <f t="shared" si="680"/>
        <v>655.12</v>
      </c>
      <c r="R342" s="493">
        <f>F342+68</f>
        <v>643.12</v>
      </c>
      <c r="S342" s="294">
        <f t="shared" si="681"/>
        <v>643.12</v>
      </c>
      <c r="T342" s="103">
        <f>F342+52</f>
        <v>627.12</v>
      </c>
      <c r="U342" s="313">
        <f t="shared" si="682"/>
        <v>627.12</v>
      </c>
      <c r="V342" s="103">
        <f>F342+45</f>
        <v>620.12</v>
      </c>
      <c r="W342" s="313">
        <f>+V342*$X$1</f>
        <v>620.12</v>
      </c>
      <c r="X342" s="140"/>
      <c r="Y342" s="136"/>
      <c r="Z342" s="136"/>
      <c r="AA342" s="139"/>
      <c r="AB342" s="420" t="s">
        <v>245</v>
      </c>
    </row>
    <row r="343" spans="1:29" ht="12.6" customHeight="1" x14ac:dyDescent="0.2">
      <c r="A343" s="18"/>
      <c r="B343" s="1004" t="s">
        <v>845</v>
      </c>
      <c r="C343" s="1005"/>
      <c r="D343" s="1005"/>
      <c r="E343" s="1006"/>
      <c r="F343" s="397">
        <f>0.372*X2</f>
        <v>382.04399999999998</v>
      </c>
      <c r="G343" s="293">
        <f t="shared" si="685"/>
        <v>382.04399999999998</v>
      </c>
      <c r="H343" s="286"/>
      <c r="I343" s="286"/>
      <c r="J343" s="621"/>
      <c r="K343" s="621"/>
      <c r="L343" s="621">
        <f t="shared" ref="L343:L347" si="686">F343+120</f>
        <v>502.04399999999998</v>
      </c>
      <c r="M343" s="293">
        <f t="shared" si="678"/>
        <v>502.04399999999998</v>
      </c>
      <c r="N343" s="621">
        <f t="shared" ref="N343:N366" si="687">F343+60</f>
        <v>442.04399999999998</v>
      </c>
      <c r="O343" s="293">
        <f t="shared" si="679"/>
        <v>442.04399999999998</v>
      </c>
      <c r="P343" s="621">
        <f t="shared" ref="P343:P366" si="688">F343+50</f>
        <v>432.04399999999998</v>
      </c>
      <c r="Q343" s="293">
        <f t="shared" si="680"/>
        <v>432.04399999999998</v>
      </c>
      <c r="R343" s="621">
        <f t="shared" ref="R343:R366" si="689">F343+42</f>
        <v>424.04399999999998</v>
      </c>
      <c r="S343" s="293">
        <f t="shared" si="681"/>
        <v>424.04399999999998</v>
      </c>
      <c r="T343" s="104">
        <f>F343+34</f>
        <v>416.04399999999998</v>
      </c>
      <c r="U343" s="260">
        <f t="shared" si="682"/>
        <v>416.04399999999998</v>
      </c>
      <c r="V343" s="104">
        <f>F343+29</f>
        <v>411.04399999999998</v>
      </c>
      <c r="W343" s="260">
        <f>+V343*$X$1</f>
        <v>411.04399999999998</v>
      </c>
      <c r="X343" s="506"/>
      <c r="Y343" s="507"/>
      <c r="Z343" s="507"/>
      <c r="AA343" s="506"/>
      <c r="AB343" s="420">
        <v>2235</v>
      </c>
      <c r="AC343" s="66"/>
    </row>
    <row r="344" spans="1:29" ht="12.6" customHeight="1" x14ac:dyDescent="0.2">
      <c r="A344" s="18"/>
      <c r="B344" s="1004" t="s">
        <v>888</v>
      </c>
      <c r="C344" s="1005"/>
      <c r="D344" s="1005"/>
      <c r="E344" s="1006"/>
      <c r="F344" s="396">
        <f>0.745*X2</f>
        <v>765.11500000000001</v>
      </c>
      <c r="G344" s="294">
        <f t="shared" ref="G344" si="690">+F344*$X$1</f>
        <v>765.11500000000001</v>
      </c>
      <c r="H344" s="285"/>
      <c r="I344" s="285"/>
      <c r="J344" s="493"/>
      <c r="K344" s="493"/>
      <c r="L344" s="493">
        <f t="shared" si="686"/>
        <v>885.11500000000001</v>
      </c>
      <c r="M344" s="294">
        <f t="shared" si="678"/>
        <v>885.11500000000001</v>
      </c>
      <c r="N344" s="493">
        <f t="shared" si="687"/>
        <v>825.11500000000001</v>
      </c>
      <c r="O344" s="294">
        <f t="shared" si="679"/>
        <v>825.11500000000001</v>
      </c>
      <c r="P344" s="493">
        <f t="shared" si="688"/>
        <v>815.11500000000001</v>
      </c>
      <c r="Q344" s="294">
        <f t="shared" si="680"/>
        <v>815.11500000000001</v>
      </c>
      <c r="R344" s="493">
        <f t="shared" si="689"/>
        <v>807.11500000000001</v>
      </c>
      <c r="S344" s="294">
        <f t="shared" si="681"/>
        <v>807.11500000000001</v>
      </c>
      <c r="T344" s="103">
        <f>F344+34</f>
        <v>799.11500000000001</v>
      </c>
      <c r="U344" s="313">
        <f t="shared" si="682"/>
        <v>799.11500000000001</v>
      </c>
      <c r="V344" s="103">
        <f>F344+29</f>
        <v>794.11500000000001</v>
      </c>
      <c r="W344" s="313">
        <f>+V344*$X$1</f>
        <v>794.11500000000001</v>
      </c>
      <c r="X344" s="561"/>
      <c r="Y344" s="562"/>
      <c r="Z344" s="562"/>
      <c r="AA344" s="561"/>
      <c r="AB344" s="420">
        <v>2236</v>
      </c>
      <c r="AC344" s="66"/>
    </row>
    <row r="345" spans="1:29" ht="12.6" customHeight="1" x14ac:dyDescent="0.2">
      <c r="A345" s="98"/>
      <c r="B345" s="644" t="s">
        <v>246</v>
      </c>
      <c r="C345" s="645"/>
      <c r="D345" s="645"/>
      <c r="E345" s="645"/>
      <c r="F345" s="392">
        <f>0.42*X2</f>
        <v>431.34</v>
      </c>
      <c r="G345" s="293">
        <f t="shared" si="685"/>
        <v>431.34</v>
      </c>
      <c r="H345" s="286"/>
      <c r="I345" s="353"/>
      <c r="J345" s="621"/>
      <c r="K345" s="293"/>
      <c r="L345" s="621">
        <f t="shared" si="686"/>
        <v>551.33999999999992</v>
      </c>
      <c r="M345" s="293">
        <f t="shared" si="678"/>
        <v>551.33999999999992</v>
      </c>
      <c r="N345" s="621">
        <f t="shared" si="687"/>
        <v>491.34</v>
      </c>
      <c r="O345" s="293">
        <f t="shared" si="679"/>
        <v>491.34</v>
      </c>
      <c r="P345" s="621">
        <f t="shared" si="688"/>
        <v>481.34</v>
      </c>
      <c r="Q345" s="293">
        <f t="shared" si="680"/>
        <v>481.34</v>
      </c>
      <c r="R345" s="621">
        <f t="shared" si="689"/>
        <v>473.34</v>
      </c>
      <c r="S345" s="293">
        <f t="shared" si="681"/>
        <v>473.34</v>
      </c>
      <c r="T345" s="104">
        <f>F345+34</f>
        <v>465.34</v>
      </c>
      <c r="U345" s="260">
        <f t="shared" si="682"/>
        <v>465.34</v>
      </c>
      <c r="V345" s="104">
        <f>F345+29</f>
        <v>460.34</v>
      </c>
      <c r="W345" s="260">
        <f>+V345*$X$1</f>
        <v>460.34</v>
      </c>
      <c r="X345" s="140"/>
      <c r="Y345" s="136"/>
      <c r="Z345" s="136"/>
      <c r="AA345" s="139"/>
      <c r="AB345" s="420">
        <v>2238</v>
      </c>
    </row>
    <row r="346" spans="1:29" ht="12.6" customHeight="1" x14ac:dyDescent="0.2">
      <c r="A346" s="105"/>
      <c r="B346" s="646" t="s">
        <v>247</v>
      </c>
      <c r="C346" s="647"/>
      <c r="D346" s="647"/>
      <c r="E346" s="648"/>
      <c r="F346" s="393">
        <f>0.428*X2</f>
        <v>439.55599999999998</v>
      </c>
      <c r="G346" s="294">
        <f t="shared" si="685"/>
        <v>439.55599999999998</v>
      </c>
      <c r="H346" s="285"/>
      <c r="I346" s="354"/>
      <c r="J346" s="493"/>
      <c r="K346" s="294"/>
      <c r="L346" s="493">
        <f t="shared" si="686"/>
        <v>559.55600000000004</v>
      </c>
      <c r="M346" s="294">
        <f t="shared" si="678"/>
        <v>559.55600000000004</v>
      </c>
      <c r="N346" s="493">
        <f t="shared" si="687"/>
        <v>499.55599999999998</v>
      </c>
      <c r="O346" s="294">
        <f t="shared" si="679"/>
        <v>499.55599999999998</v>
      </c>
      <c r="P346" s="493">
        <f t="shared" si="688"/>
        <v>489.55599999999998</v>
      </c>
      <c r="Q346" s="294">
        <f t="shared" si="680"/>
        <v>489.55599999999998</v>
      </c>
      <c r="R346" s="493">
        <f t="shared" si="689"/>
        <v>481.55599999999998</v>
      </c>
      <c r="S346" s="294">
        <f t="shared" si="681"/>
        <v>481.55599999999998</v>
      </c>
      <c r="T346" s="103">
        <f>F346+34</f>
        <v>473.55599999999998</v>
      </c>
      <c r="U346" s="313">
        <f t="shared" si="682"/>
        <v>473.55599999999998</v>
      </c>
      <c r="V346" s="103">
        <f>F346+29</f>
        <v>468.55599999999998</v>
      </c>
      <c r="W346" s="313">
        <f>+V346*$X$1</f>
        <v>468.55599999999998</v>
      </c>
      <c r="X346" s="140"/>
      <c r="Y346" s="136"/>
      <c r="Z346" s="136"/>
      <c r="AA346" s="139"/>
      <c r="AB346" s="420">
        <v>2239</v>
      </c>
    </row>
    <row r="347" spans="1:29" ht="12.6" customHeight="1" x14ac:dyDescent="0.2">
      <c r="A347" s="18"/>
      <c r="B347" s="644" t="s">
        <v>864</v>
      </c>
      <c r="C347" s="645"/>
      <c r="D347" s="645"/>
      <c r="E347" s="645"/>
      <c r="F347" s="392">
        <f>0.48*X2</f>
        <v>492.96</v>
      </c>
      <c r="G347" s="293">
        <f t="shared" si="685"/>
        <v>492.96</v>
      </c>
      <c r="H347" s="286"/>
      <c r="I347" s="353"/>
      <c r="J347" s="621"/>
      <c r="K347" s="293"/>
      <c r="L347" s="621">
        <f t="shared" si="686"/>
        <v>612.96</v>
      </c>
      <c r="M347" s="293">
        <f t="shared" si="678"/>
        <v>612.96</v>
      </c>
      <c r="N347" s="621">
        <f t="shared" si="687"/>
        <v>552.96</v>
      </c>
      <c r="O347" s="293">
        <f t="shared" si="679"/>
        <v>552.96</v>
      </c>
      <c r="P347" s="621">
        <f t="shared" si="688"/>
        <v>542.96</v>
      </c>
      <c r="Q347" s="293">
        <f t="shared" si="680"/>
        <v>542.96</v>
      </c>
      <c r="R347" s="621"/>
      <c r="S347" s="293"/>
      <c r="T347" s="104"/>
      <c r="U347" s="260"/>
      <c r="V347" s="104"/>
      <c r="W347" s="260"/>
      <c r="X347" s="140"/>
      <c r="Y347" s="136"/>
      <c r="Z347" s="136"/>
      <c r="AA347" s="139"/>
      <c r="AB347" s="420">
        <v>2240</v>
      </c>
    </row>
    <row r="348" spans="1:29" ht="12.6" customHeight="1" x14ac:dyDescent="0.2">
      <c r="A348" s="18"/>
      <c r="B348" s="637" t="s">
        <v>927</v>
      </c>
      <c r="C348" s="638"/>
      <c r="D348" s="638"/>
      <c r="E348" s="638"/>
      <c r="F348" s="393">
        <f>0.34*X2</f>
        <v>349.18</v>
      </c>
      <c r="G348" s="294">
        <f t="shared" ref="G348" si="691">+F348*$X$1</f>
        <v>349.18</v>
      </c>
      <c r="H348" s="285"/>
      <c r="I348" s="354"/>
      <c r="J348" s="493"/>
      <c r="K348" s="294"/>
      <c r="L348" s="493"/>
      <c r="M348" s="294"/>
      <c r="N348" s="493">
        <f t="shared" ref="N348" si="692">F348+60</f>
        <v>409.18</v>
      </c>
      <c r="O348" s="294">
        <f t="shared" ref="O348" si="693">+N348*$X$1</f>
        <v>409.18</v>
      </c>
      <c r="P348" s="493">
        <f t="shared" ref="P348" si="694">F348+50</f>
        <v>399.18</v>
      </c>
      <c r="Q348" s="294">
        <f t="shared" ref="Q348" si="695">+P348*$X$1</f>
        <v>399.18</v>
      </c>
      <c r="R348" s="493">
        <f t="shared" ref="R348" si="696">F348+42</f>
        <v>391.18</v>
      </c>
      <c r="S348" s="294">
        <f t="shared" ref="S348" si="697">+R348*$X$1</f>
        <v>391.18</v>
      </c>
      <c r="T348" s="103">
        <f t="shared" ref="T348" si="698">F348+34</f>
        <v>383.18</v>
      </c>
      <c r="U348" s="313">
        <f t="shared" ref="U348" si="699">+T348*$X$1</f>
        <v>383.18</v>
      </c>
      <c r="V348" s="103">
        <f t="shared" ref="V348" si="700">F348+29</f>
        <v>378.18</v>
      </c>
      <c r="W348" s="313">
        <f t="shared" ref="W348" si="701">+V348*$X$1</f>
        <v>378.18</v>
      </c>
      <c r="X348" s="140"/>
      <c r="Y348" s="136"/>
      <c r="Z348" s="136"/>
      <c r="AA348" s="139"/>
      <c r="AB348" s="420" t="s">
        <v>942</v>
      </c>
    </row>
    <row r="349" spans="1:29" ht="12.6" customHeight="1" x14ac:dyDescent="0.2">
      <c r="A349" s="18"/>
      <c r="B349" s="637" t="s">
        <v>851</v>
      </c>
      <c r="C349" s="638"/>
      <c r="D349" s="638"/>
      <c r="E349" s="638"/>
      <c r="F349" s="392">
        <f>0.22*X2</f>
        <v>225.94</v>
      </c>
      <c r="G349" s="293">
        <f t="shared" ref="G349:G350" si="702">+F349*$X$1</f>
        <v>225.94</v>
      </c>
      <c r="H349" s="286"/>
      <c r="I349" s="353"/>
      <c r="J349" s="598"/>
      <c r="K349" s="293"/>
      <c r="L349" s="598"/>
      <c r="M349" s="293"/>
      <c r="N349" s="598">
        <f t="shared" si="687"/>
        <v>285.94</v>
      </c>
      <c r="O349" s="293">
        <f t="shared" si="679"/>
        <v>285.94</v>
      </c>
      <c r="P349" s="598">
        <f t="shared" si="688"/>
        <v>275.94</v>
      </c>
      <c r="Q349" s="293">
        <f t="shared" si="680"/>
        <v>275.94</v>
      </c>
      <c r="R349" s="598">
        <f t="shared" si="689"/>
        <v>267.94</v>
      </c>
      <c r="S349" s="293">
        <f t="shared" si="681"/>
        <v>267.94</v>
      </c>
      <c r="T349" s="104">
        <f t="shared" ref="T349:T366" si="703">F349+34</f>
        <v>259.94</v>
      </c>
      <c r="U349" s="260">
        <f t="shared" ref="U349:U366" si="704">+T349*$X$1</f>
        <v>259.94</v>
      </c>
      <c r="V349" s="104">
        <f t="shared" ref="V349:V366" si="705">F349+29</f>
        <v>254.94</v>
      </c>
      <c r="W349" s="260">
        <f t="shared" ref="W349:W366" si="706">+V349*$X$1</f>
        <v>254.94</v>
      </c>
      <c r="X349" s="140"/>
      <c r="Y349" s="136"/>
      <c r="Z349" s="136"/>
      <c r="AA349" s="139"/>
      <c r="AB349" s="420">
        <v>2241</v>
      </c>
    </row>
    <row r="350" spans="1:29" ht="12.6" customHeight="1" x14ac:dyDescent="0.2">
      <c r="A350" s="18"/>
      <c r="B350" s="637" t="s">
        <v>852</v>
      </c>
      <c r="C350" s="638"/>
      <c r="D350" s="638"/>
      <c r="E350" s="638"/>
      <c r="F350" s="393">
        <f>0.35*X2</f>
        <v>359.45</v>
      </c>
      <c r="G350" s="294">
        <f t="shared" si="702"/>
        <v>359.45</v>
      </c>
      <c r="H350" s="285"/>
      <c r="I350" s="354"/>
      <c r="J350" s="493"/>
      <c r="K350" s="294"/>
      <c r="L350" s="493">
        <f t="shared" ref="L350:L369" si="707">F350+120</f>
        <v>479.45</v>
      </c>
      <c r="M350" s="294">
        <f t="shared" ref="M350:M367" si="708">+L350*$X$1</f>
        <v>479.45</v>
      </c>
      <c r="N350" s="493">
        <f t="shared" si="687"/>
        <v>419.45</v>
      </c>
      <c r="O350" s="294">
        <f t="shared" si="679"/>
        <v>419.45</v>
      </c>
      <c r="P350" s="493">
        <f t="shared" si="688"/>
        <v>409.45</v>
      </c>
      <c r="Q350" s="294">
        <f t="shared" si="680"/>
        <v>409.45</v>
      </c>
      <c r="R350" s="493">
        <f t="shared" si="689"/>
        <v>401.45</v>
      </c>
      <c r="S350" s="294">
        <f t="shared" si="681"/>
        <v>401.45</v>
      </c>
      <c r="T350" s="103">
        <f t="shared" si="703"/>
        <v>393.45</v>
      </c>
      <c r="U350" s="313">
        <f t="shared" si="704"/>
        <v>393.45</v>
      </c>
      <c r="V350" s="103">
        <f t="shared" si="705"/>
        <v>388.45</v>
      </c>
      <c r="W350" s="313">
        <f t="shared" si="706"/>
        <v>388.45</v>
      </c>
      <c r="X350" s="140"/>
      <c r="Y350" s="136"/>
      <c r="Z350" s="136"/>
      <c r="AA350" s="139"/>
      <c r="AB350" s="420">
        <v>2242</v>
      </c>
    </row>
    <row r="351" spans="1:29" ht="12.6" customHeight="1" x14ac:dyDescent="0.2">
      <c r="A351" s="98"/>
      <c r="B351" s="644" t="s">
        <v>248</v>
      </c>
      <c r="C351" s="645"/>
      <c r="D351" s="645"/>
      <c r="E351" s="645"/>
      <c r="F351" s="392">
        <f>0.31*X2</f>
        <v>318.37</v>
      </c>
      <c r="G351" s="293">
        <f t="shared" si="685"/>
        <v>318.37</v>
      </c>
      <c r="H351" s="286"/>
      <c r="I351" s="353"/>
      <c r="J351" s="598"/>
      <c r="K351" s="293"/>
      <c r="L351" s="598">
        <f t="shared" si="707"/>
        <v>438.37</v>
      </c>
      <c r="M351" s="293">
        <f t="shared" si="708"/>
        <v>438.37</v>
      </c>
      <c r="N351" s="598">
        <f t="shared" si="687"/>
        <v>378.37</v>
      </c>
      <c r="O351" s="293">
        <f t="shared" si="679"/>
        <v>378.37</v>
      </c>
      <c r="P351" s="598">
        <f t="shared" si="688"/>
        <v>368.37</v>
      </c>
      <c r="Q351" s="293">
        <f t="shared" si="680"/>
        <v>368.37</v>
      </c>
      <c r="R351" s="598">
        <f t="shared" si="689"/>
        <v>360.37</v>
      </c>
      <c r="S351" s="293">
        <f t="shared" si="681"/>
        <v>360.37</v>
      </c>
      <c r="T351" s="104">
        <f t="shared" si="703"/>
        <v>352.37</v>
      </c>
      <c r="U351" s="260">
        <f t="shared" si="704"/>
        <v>352.37</v>
      </c>
      <c r="V351" s="104">
        <f t="shared" si="705"/>
        <v>347.37</v>
      </c>
      <c r="W351" s="260">
        <f t="shared" si="706"/>
        <v>347.37</v>
      </c>
      <c r="X351" s="140"/>
      <c r="Y351" s="136"/>
      <c r="Z351" s="136"/>
      <c r="AA351" s="139"/>
      <c r="AB351" s="420">
        <v>2244</v>
      </c>
    </row>
    <row r="352" spans="1:29" ht="12.6" customHeight="1" x14ac:dyDescent="0.2">
      <c r="A352" s="18"/>
      <c r="B352" s="642" t="s">
        <v>855</v>
      </c>
      <c r="C352" s="643"/>
      <c r="D352" s="643"/>
      <c r="E352" s="643"/>
      <c r="F352" s="393">
        <f>0.29*X2</f>
        <v>297.83</v>
      </c>
      <c r="G352" s="294">
        <f t="shared" ref="G352:G353" si="709">+F352*$X$1</f>
        <v>297.83</v>
      </c>
      <c r="H352" s="285"/>
      <c r="I352" s="354"/>
      <c r="J352" s="493"/>
      <c r="K352" s="294"/>
      <c r="L352" s="493">
        <f t="shared" si="707"/>
        <v>417.83</v>
      </c>
      <c r="M352" s="294">
        <f t="shared" si="708"/>
        <v>417.83</v>
      </c>
      <c r="N352" s="493">
        <f t="shared" si="687"/>
        <v>357.83</v>
      </c>
      <c r="O352" s="294">
        <f t="shared" si="679"/>
        <v>357.83</v>
      </c>
      <c r="P352" s="493">
        <f t="shared" si="688"/>
        <v>347.83</v>
      </c>
      <c r="Q352" s="294">
        <f t="shared" si="680"/>
        <v>347.83</v>
      </c>
      <c r="R352" s="493">
        <f t="shared" si="689"/>
        <v>339.83</v>
      </c>
      <c r="S352" s="294">
        <f t="shared" si="681"/>
        <v>339.83</v>
      </c>
      <c r="T352" s="103">
        <f t="shared" si="703"/>
        <v>331.83</v>
      </c>
      <c r="U352" s="313">
        <f t="shared" si="704"/>
        <v>331.83</v>
      </c>
      <c r="V352" s="103">
        <f t="shared" si="705"/>
        <v>326.83</v>
      </c>
      <c r="W352" s="313">
        <f t="shared" si="706"/>
        <v>326.83</v>
      </c>
      <c r="X352" s="140"/>
      <c r="Y352" s="136"/>
      <c r="Z352" s="136"/>
      <c r="AA352" s="139"/>
      <c r="AB352" s="420">
        <v>2245</v>
      </c>
    </row>
    <row r="353" spans="1:29" ht="12.6" customHeight="1" x14ac:dyDescent="0.2">
      <c r="A353" s="18"/>
      <c r="B353" s="644" t="s">
        <v>854</v>
      </c>
      <c r="C353" s="645"/>
      <c r="D353" s="645"/>
      <c r="E353" s="645"/>
      <c r="F353" s="392">
        <f>0.3*X2</f>
        <v>308.09999999999997</v>
      </c>
      <c r="G353" s="293">
        <f t="shared" si="709"/>
        <v>308.09999999999997</v>
      </c>
      <c r="H353" s="286"/>
      <c r="I353" s="353"/>
      <c r="J353" s="598"/>
      <c r="K353" s="293"/>
      <c r="L353" s="598">
        <f t="shared" si="707"/>
        <v>428.09999999999997</v>
      </c>
      <c r="M353" s="293">
        <f t="shared" si="708"/>
        <v>428.09999999999997</v>
      </c>
      <c r="N353" s="598">
        <f t="shared" si="687"/>
        <v>368.09999999999997</v>
      </c>
      <c r="O353" s="293">
        <f t="shared" si="679"/>
        <v>368.09999999999997</v>
      </c>
      <c r="P353" s="629">
        <f t="shared" ref="P353" si="710">F353+50</f>
        <v>358.09999999999997</v>
      </c>
      <c r="Q353" s="293">
        <f t="shared" ref="Q353" si="711">+P353*$X$1</f>
        <v>358.09999999999997</v>
      </c>
      <c r="R353" s="629">
        <f t="shared" ref="R353" si="712">F353+42</f>
        <v>350.09999999999997</v>
      </c>
      <c r="S353" s="293">
        <f t="shared" ref="S353" si="713">+R353*$X$1</f>
        <v>350.09999999999997</v>
      </c>
      <c r="T353" s="104">
        <f t="shared" ref="T353" si="714">F353+34</f>
        <v>342.09999999999997</v>
      </c>
      <c r="U353" s="260">
        <f t="shared" ref="U353" si="715">+T353*$X$1</f>
        <v>342.09999999999997</v>
      </c>
      <c r="V353" s="104">
        <f t="shared" ref="V353" si="716">F353+29</f>
        <v>337.09999999999997</v>
      </c>
      <c r="W353" s="260">
        <f t="shared" ref="W353" si="717">+V353*$X$1</f>
        <v>337.09999999999997</v>
      </c>
      <c r="X353" s="140"/>
      <c r="Y353" s="136"/>
      <c r="Z353" s="136"/>
      <c r="AA353" s="139"/>
      <c r="AB353" s="420" t="s">
        <v>853</v>
      </c>
    </row>
    <row r="354" spans="1:29" ht="12.6" customHeight="1" x14ac:dyDescent="0.2">
      <c r="A354" s="98"/>
      <c r="B354" s="642" t="s">
        <v>541</v>
      </c>
      <c r="C354" s="643"/>
      <c r="D354" s="643"/>
      <c r="E354" s="643"/>
      <c r="F354" s="339">
        <v>1299</v>
      </c>
      <c r="G354" s="294">
        <f>+F354*$X$1</f>
        <v>1299</v>
      </c>
      <c r="H354" s="285"/>
      <c r="I354" s="354"/>
      <c r="J354" s="493"/>
      <c r="K354" s="294"/>
      <c r="L354" s="493">
        <f t="shared" si="707"/>
        <v>1419</v>
      </c>
      <c r="M354" s="294">
        <f t="shared" si="708"/>
        <v>1419</v>
      </c>
      <c r="N354" s="493">
        <f t="shared" si="687"/>
        <v>1359</v>
      </c>
      <c r="O354" s="294">
        <f t="shared" si="679"/>
        <v>1359</v>
      </c>
      <c r="P354" s="493">
        <f t="shared" si="688"/>
        <v>1349</v>
      </c>
      <c r="Q354" s="294">
        <f t="shared" si="680"/>
        <v>1349</v>
      </c>
      <c r="R354" s="493">
        <f t="shared" si="689"/>
        <v>1341</v>
      </c>
      <c r="S354" s="294">
        <f t="shared" si="681"/>
        <v>1341</v>
      </c>
      <c r="T354" s="103">
        <f t="shared" si="703"/>
        <v>1333</v>
      </c>
      <c r="U354" s="313">
        <f t="shared" si="704"/>
        <v>1333</v>
      </c>
      <c r="V354" s="103">
        <f t="shared" si="705"/>
        <v>1328</v>
      </c>
      <c r="W354" s="313">
        <f t="shared" si="706"/>
        <v>1328</v>
      </c>
      <c r="X354" s="140"/>
      <c r="Y354" s="136"/>
      <c r="Z354" s="136"/>
      <c r="AA354" s="139"/>
      <c r="AB354" s="420">
        <v>2246</v>
      </c>
    </row>
    <row r="355" spans="1:29" ht="12.6" customHeight="1" x14ac:dyDescent="0.2">
      <c r="A355" s="18"/>
      <c r="B355" s="637" t="s">
        <v>866</v>
      </c>
      <c r="C355" s="638"/>
      <c r="D355" s="638"/>
      <c r="E355" s="638"/>
      <c r="F355" s="527">
        <f>2.85*X2</f>
        <v>2926.9500000000003</v>
      </c>
      <c r="G355" s="293">
        <f t="shared" ref="G355" si="718">+F355*$X$1</f>
        <v>2926.9500000000003</v>
      </c>
      <c r="H355" s="286"/>
      <c r="I355" s="353"/>
      <c r="J355" s="598">
        <f>F355+180</f>
        <v>3106.9500000000003</v>
      </c>
      <c r="K355" s="293">
        <f t="shared" ref="K355" si="719">+J355*$X$1</f>
        <v>3106.9500000000003</v>
      </c>
      <c r="L355" s="598">
        <f t="shared" si="707"/>
        <v>3046.9500000000003</v>
      </c>
      <c r="M355" s="293">
        <f t="shared" si="708"/>
        <v>3046.9500000000003</v>
      </c>
      <c r="N355" s="598">
        <f t="shared" si="687"/>
        <v>2986.9500000000003</v>
      </c>
      <c r="O355" s="293">
        <f t="shared" si="679"/>
        <v>2986.9500000000003</v>
      </c>
      <c r="P355" s="598">
        <f t="shared" si="688"/>
        <v>2976.9500000000003</v>
      </c>
      <c r="Q355" s="293">
        <f t="shared" si="680"/>
        <v>2976.9500000000003</v>
      </c>
      <c r="R355" s="598">
        <f t="shared" si="689"/>
        <v>2968.9500000000003</v>
      </c>
      <c r="S355" s="293">
        <f t="shared" si="681"/>
        <v>2968.9500000000003</v>
      </c>
      <c r="T355" s="104">
        <f t="shared" si="703"/>
        <v>2960.9500000000003</v>
      </c>
      <c r="U355" s="260">
        <f t="shared" si="704"/>
        <v>2960.9500000000003</v>
      </c>
      <c r="V355" s="104">
        <f t="shared" si="705"/>
        <v>2955.9500000000003</v>
      </c>
      <c r="W355" s="260">
        <f t="shared" si="706"/>
        <v>2955.9500000000003</v>
      </c>
      <c r="X355" s="140"/>
      <c r="Y355" s="136"/>
      <c r="Z355" s="136"/>
      <c r="AA355" s="139"/>
      <c r="AB355" s="420">
        <v>2247</v>
      </c>
    </row>
    <row r="356" spans="1:29" ht="12.6" customHeight="1" x14ac:dyDescent="0.2">
      <c r="A356" s="18"/>
      <c r="B356" s="646" t="s">
        <v>494</v>
      </c>
      <c r="C356" s="655"/>
      <c r="D356" s="655"/>
      <c r="E356" s="656"/>
      <c r="F356" s="396">
        <f>0.47*X2</f>
        <v>482.69</v>
      </c>
      <c r="G356" s="294">
        <f t="shared" ref="G356:G360" si="720">+F356*$X$1</f>
        <v>482.69</v>
      </c>
      <c r="H356" s="285"/>
      <c r="I356" s="354"/>
      <c r="J356" s="493"/>
      <c r="K356" s="294"/>
      <c r="L356" s="493">
        <f t="shared" si="707"/>
        <v>602.69000000000005</v>
      </c>
      <c r="M356" s="294">
        <f t="shared" si="708"/>
        <v>602.69000000000005</v>
      </c>
      <c r="N356" s="493">
        <f t="shared" si="687"/>
        <v>542.69000000000005</v>
      </c>
      <c r="O356" s="294">
        <f t="shared" si="679"/>
        <v>542.69000000000005</v>
      </c>
      <c r="P356" s="493">
        <f t="shared" si="688"/>
        <v>532.69000000000005</v>
      </c>
      <c r="Q356" s="294">
        <f t="shared" si="680"/>
        <v>532.69000000000005</v>
      </c>
      <c r="R356" s="493">
        <f t="shared" si="689"/>
        <v>524.69000000000005</v>
      </c>
      <c r="S356" s="294">
        <f t="shared" si="681"/>
        <v>524.69000000000005</v>
      </c>
      <c r="T356" s="103">
        <f t="shared" si="703"/>
        <v>516.69000000000005</v>
      </c>
      <c r="U356" s="313">
        <f t="shared" si="704"/>
        <v>516.69000000000005</v>
      </c>
      <c r="V356" s="103">
        <f t="shared" si="705"/>
        <v>511.69</v>
      </c>
      <c r="W356" s="313">
        <f t="shared" si="706"/>
        <v>511.69</v>
      </c>
      <c r="X356" s="132"/>
      <c r="Y356" s="132"/>
      <c r="Z356" s="132"/>
      <c r="AA356" s="132"/>
      <c r="AB356" s="434">
        <v>2251</v>
      </c>
    </row>
    <row r="357" spans="1:29" ht="12.6" customHeight="1" x14ac:dyDescent="0.2">
      <c r="A357" s="18"/>
      <c r="B357" s="649" t="s">
        <v>712</v>
      </c>
      <c r="C357" s="674"/>
      <c r="D357" s="674"/>
      <c r="E357" s="675"/>
      <c r="F357" s="397">
        <f>0.47*X2</f>
        <v>482.69</v>
      </c>
      <c r="G357" s="293">
        <f t="shared" si="720"/>
        <v>482.69</v>
      </c>
      <c r="H357" s="286"/>
      <c r="I357" s="353"/>
      <c r="J357" s="598"/>
      <c r="K357" s="293"/>
      <c r="L357" s="598">
        <f t="shared" si="707"/>
        <v>602.69000000000005</v>
      </c>
      <c r="M357" s="293">
        <f t="shared" si="708"/>
        <v>602.69000000000005</v>
      </c>
      <c r="N357" s="598">
        <f t="shared" si="687"/>
        <v>542.69000000000005</v>
      </c>
      <c r="O357" s="293">
        <f t="shared" si="679"/>
        <v>542.69000000000005</v>
      </c>
      <c r="P357" s="598">
        <f t="shared" si="688"/>
        <v>532.69000000000005</v>
      </c>
      <c r="Q357" s="293">
        <f t="shared" si="680"/>
        <v>532.69000000000005</v>
      </c>
      <c r="R357" s="598">
        <f t="shared" si="689"/>
        <v>524.69000000000005</v>
      </c>
      <c r="S357" s="293">
        <f t="shared" si="681"/>
        <v>524.69000000000005</v>
      </c>
      <c r="T357" s="104">
        <f t="shared" si="703"/>
        <v>516.69000000000005</v>
      </c>
      <c r="U357" s="260">
        <f t="shared" si="704"/>
        <v>516.69000000000005</v>
      </c>
      <c r="V357" s="104">
        <f t="shared" si="705"/>
        <v>511.69</v>
      </c>
      <c r="W357" s="260">
        <f t="shared" si="706"/>
        <v>511.69</v>
      </c>
      <c r="X357" s="132"/>
      <c r="Y357" s="132"/>
      <c r="Z357" s="132"/>
      <c r="AA357" s="132"/>
      <c r="AB357" s="420">
        <v>2252</v>
      </c>
    </row>
    <row r="358" spans="1:29" ht="12.6" customHeight="1" x14ac:dyDescent="0.2">
      <c r="A358" s="105"/>
      <c r="B358" s="646" t="s">
        <v>249</v>
      </c>
      <c r="C358" s="683"/>
      <c r="D358" s="683"/>
      <c r="E358" s="684"/>
      <c r="F358" s="393">
        <f>0.35*X2</f>
        <v>359.45</v>
      </c>
      <c r="G358" s="294">
        <f t="shared" si="720"/>
        <v>359.45</v>
      </c>
      <c r="H358" s="285"/>
      <c r="I358" s="354"/>
      <c r="J358" s="493"/>
      <c r="K358" s="294"/>
      <c r="L358" s="493">
        <f t="shared" si="707"/>
        <v>479.45</v>
      </c>
      <c r="M358" s="294">
        <f t="shared" si="708"/>
        <v>479.45</v>
      </c>
      <c r="N358" s="493">
        <f t="shared" si="687"/>
        <v>419.45</v>
      </c>
      <c r="O358" s="294">
        <f t="shared" si="679"/>
        <v>419.45</v>
      </c>
      <c r="P358" s="493">
        <f t="shared" si="688"/>
        <v>409.45</v>
      </c>
      <c r="Q358" s="294">
        <f t="shared" si="680"/>
        <v>409.45</v>
      </c>
      <c r="R358" s="493">
        <f t="shared" si="689"/>
        <v>401.45</v>
      </c>
      <c r="S358" s="294">
        <f t="shared" si="681"/>
        <v>401.45</v>
      </c>
      <c r="T358" s="103">
        <f t="shared" si="703"/>
        <v>393.45</v>
      </c>
      <c r="U358" s="313">
        <f t="shared" si="704"/>
        <v>393.45</v>
      </c>
      <c r="V358" s="103">
        <f t="shared" si="705"/>
        <v>388.45</v>
      </c>
      <c r="W358" s="313">
        <f t="shared" si="706"/>
        <v>388.45</v>
      </c>
      <c r="X358" s="173"/>
      <c r="Y358" s="132"/>
      <c r="Z358" s="132"/>
      <c r="AA358" s="152"/>
      <c r="AB358" s="420">
        <v>2254</v>
      </c>
      <c r="AC358" s="66"/>
    </row>
    <row r="359" spans="1:29" ht="12.6" customHeight="1" x14ac:dyDescent="0.2">
      <c r="A359" s="105"/>
      <c r="B359" s="649" t="s">
        <v>506</v>
      </c>
      <c r="C359" s="735"/>
      <c r="D359" s="735"/>
      <c r="E359" s="736"/>
      <c r="F359" s="392">
        <f>0.372*X2</f>
        <v>382.04399999999998</v>
      </c>
      <c r="G359" s="293">
        <f t="shared" si="720"/>
        <v>382.04399999999998</v>
      </c>
      <c r="H359" s="286"/>
      <c r="I359" s="353"/>
      <c r="J359" s="598"/>
      <c r="K359" s="293"/>
      <c r="L359" s="598">
        <f t="shared" si="707"/>
        <v>502.04399999999998</v>
      </c>
      <c r="M359" s="293">
        <f t="shared" si="708"/>
        <v>502.04399999999998</v>
      </c>
      <c r="N359" s="598">
        <f t="shared" si="687"/>
        <v>442.04399999999998</v>
      </c>
      <c r="O359" s="293">
        <f t="shared" si="679"/>
        <v>442.04399999999998</v>
      </c>
      <c r="P359" s="598">
        <f t="shared" si="688"/>
        <v>432.04399999999998</v>
      </c>
      <c r="Q359" s="293">
        <f t="shared" si="680"/>
        <v>432.04399999999998</v>
      </c>
      <c r="R359" s="598">
        <f t="shared" si="689"/>
        <v>424.04399999999998</v>
      </c>
      <c r="S359" s="293">
        <f t="shared" si="681"/>
        <v>424.04399999999998</v>
      </c>
      <c r="T359" s="104">
        <f t="shared" si="703"/>
        <v>416.04399999999998</v>
      </c>
      <c r="U359" s="260">
        <f t="shared" si="704"/>
        <v>416.04399999999998</v>
      </c>
      <c r="V359" s="104">
        <f t="shared" si="705"/>
        <v>411.04399999999998</v>
      </c>
      <c r="W359" s="260">
        <f t="shared" si="706"/>
        <v>411.04399999999998</v>
      </c>
      <c r="X359" s="173"/>
      <c r="Y359" s="132"/>
      <c r="Z359" s="132"/>
      <c r="AA359" s="152"/>
      <c r="AB359" s="420" t="s">
        <v>531</v>
      </c>
      <c r="AC359" s="66"/>
    </row>
    <row r="360" spans="1:29" ht="12.6" customHeight="1" x14ac:dyDescent="0.2">
      <c r="A360" s="105"/>
      <c r="B360" s="701" t="s">
        <v>250</v>
      </c>
      <c r="C360" s="702"/>
      <c r="D360" s="702"/>
      <c r="E360" s="703"/>
      <c r="F360" s="602">
        <v>430</v>
      </c>
      <c r="G360" s="602">
        <f t="shared" si="720"/>
        <v>430</v>
      </c>
      <c r="H360" s="603"/>
      <c r="I360" s="606"/>
      <c r="J360" s="604"/>
      <c r="K360" s="602"/>
      <c r="L360" s="604">
        <f t="shared" si="707"/>
        <v>550</v>
      </c>
      <c r="M360" s="602">
        <f t="shared" si="708"/>
        <v>550</v>
      </c>
      <c r="N360" s="604">
        <f t="shared" si="687"/>
        <v>490</v>
      </c>
      <c r="O360" s="602">
        <f t="shared" si="679"/>
        <v>490</v>
      </c>
      <c r="P360" s="604">
        <f t="shared" si="688"/>
        <v>480</v>
      </c>
      <c r="Q360" s="602">
        <f t="shared" si="680"/>
        <v>480</v>
      </c>
      <c r="R360" s="604">
        <f t="shared" si="689"/>
        <v>472</v>
      </c>
      <c r="S360" s="602">
        <f t="shared" si="681"/>
        <v>472</v>
      </c>
      <c r="T360" s="614">
        <f t="shared" si="703"/>
        <v>464</v>
      </c>
      <c r="U360" s="613">
        <f t="shared" si="704"/>
        <v>464</v>
      </c>
      <c r="V360" s="614">
        <f t="shared" si="705"/>
        <v>459</v>
      </c>
      <c r="W360" s="613">
        <f t="shared" si="706"/>
        <v>459</v>
      </c>
      <c r="X360" s="173"/>
      <c r="Y360" s="132"/>
      <c r="Z360" s="132"/>
      <c r="AA360" s="132"/>
      <c r="AB360" s="420">
        <v>2255</v>
      </c>
      <c r="AC360" s="66"/>
    </row>
    <row r="361" spans="1:29" ht="12.6" customHeight="1" x14ac:dyDescent="0.2">
      <c r="A361" s="98"/>
      <c r="B361" s="637" t="s">
        <v>918</v>
      </c>
      <c r="C361" s="638"/>
      <c r="D361" s="638"/>
      <c r="E361" s="638"/>
      <c r="F361" s="392">
        <f>1.842*X2</f>
        <v>1891.7340000000002</v>
      </c>
      <c r="G361" s="293">
        <f t="shared" ref="G361" si="721">+F361*$X$1</f>
        <v>1891.7340000000002</v>
      </c>
      <c r="H361" s="286"/>
      <c r="I361" s="353"/>
      <c r="J361" s="599"/>
      <c r="K361" s="293"/>
      <c r="L361" s="599">
        <f t="shared" ref="L361" si="722">F361+120</f>
        <v>2011.7340000000002</v>
      </c>
      <c r="M361" s="293">
        <f t="shared" ref="M361" si="723">+L361*$X$1</f>
        <v>2011.7340000000002</v>
      </c>
      <c r="N361" s="599">
        <f t="shared" ref="N361" si="724">F361+60</f>
        <v>1951.7340000000002</v>
      </c>
      <c r="O361" s="293">
        <f t="shared" ref="O361" si="725">+N361*$X$1</f>
        <v>1951.7340000000002</v>
      </c>
      <c r="P361" s="599">
        <f t="shared" ref="P361" si="726">F361+50</f>
        <v>1941.7340000000002</v>
      </c>
      <c r="Q361" s="293">
        <f t="shared" ref="Q361" si="727">+P361*$X$1</f>
        <v>1941.7340000000002</v>
      </c>
      <c r="R361" s="599">
        <f t="shared" ref="R361" si="728">F361+42</f>
        <v>1933.7340000000002</v>
      </c>
      <c r="S361" s="293">
        <f t="shared" ref="S361" si="729">+R361*$X$1</f>
        <v>1933.7340000000002</v>
      </c>
      <c r="T361" s="104">
        <f t="shared" ref="T361" si="730">F361+34</f>
        <v>1925.7340000000002</v>
      </c>
      <c r="U361" s="260">
        <f t="shared" ref="U361" si="731">+T361*$X$1</f>
        <v>1925.7340000000002</v>
      </c>
      <c r="V361" s="104">
        <f t="shared" ref="V361" si="732">F361+29</f>
        <v>1920.7340000000002</v>
      </c>
      <c r="W361" s="260">
        <f t="shared" ref="W361" si="733">+V361*$X$1</f>
        <v>1920.7340000000002</v>
      </c>
      <c r="X361" s="140"/>
      <c r="Y361" s="136"/>
      <c r="Z361" s="136"/>
      <c r="AA361" s="139"/>
      <c r="AB361" s="420">
        <v>2258</v>
      </c>
    </row>
    <row r="362" spans="1:29" ht="12.6" customHeight="1" x14ac:dyDescent="0.2">
      <c r="A362" s="18"/>
      <c r="B362" s="664" t="s">
        <v>693</v>
      </c>
      <c r="C362" s="679"/>
      <c r="D362" s="679"/>
      <c r="E362" s="679"/>
      <c r="F362" s="393">
        <f>0.53*X2</f>
        <v>544.31000000000006</v>
      </c>
      <c r="G362" s="294">
        <f t="shared" ref="G362" si="734">+F362*$X$1</f>
        <v>544.31000000000006</v>
      </c>
      <c r="H362" s="493"/>
      <c r="I362" s="294"/>
      <c r="J362" s="493"/>
      <c r="K362" s="294"/>
      <c r="L362" s="493">
        <f t="shared" si="707"/>
        <v>664.31000000000006</v>
      </c>
      <c r="M362" s="294">
        <f t="shared" si="708"/>
        <v>664.31000000000006</v>
      </c>
      <c r="N362" s="493">
        <f t="shared" si="687"/>
        <v>604.31000000000006</v>
      </c>
      <c r="O362" s="294">
        <f t="shared" si="679"/>
        <v>604.31000000000006</v>
      </c>
      <c r="P362" s="493">
        <f t="shared" si="688"/>
        <v>594.31000000000006</v>
      </c>
      <c r="Q362" s="294">
        <f t="shared" si="680"/>
        <v>594.31000000000006</v>
      </c>
      <c r="R362" s="493">
        <f t="shared" si="689"/>
        <v>586.31000000000006</v>
      </c>
      <c r="S362" s="294">
        <f t="shared" si="681"/>
        <v>586.31000000000006</v>
      </c>
      <c r="T362" s="103">
        <f t="shared" si="703"/>
        <v>578.31000000000006</v>
      </c>
      <c r="U362" s="313">
        <f t="shared" si="704"/>
        <v>578.31000000000006</v>
      </c>
      <c r="V362" s="103">
        <f t="shared" si="705"/>
        <v>573.31000000000006</v>
      </c>
      <c r="W362" s="313">
        <f t="shared" si="706"/>
        <v>573.31000000000006</v>
      </c>
      <c r="X362" s="658"/>
      <c r="Y362" s="653"/>
      <c r="Z362" s="653"/>
      <c r="AA362" s="654"/>
      <c r="AB362" s="420">
        <v>2260</v>
      </c>
      <c r="AC362" s="66"/>
    </row>
    <row r="363" spans="1:29" ht="12.6" customHeight="1" x14ac:dyDescent="0.2">
      <c r="A363" s="18"/>
      <c r="B363" s="662" t="s">
        <v>671</v>
      </c>
      <c r="C363" s="663"/>
      <c r="D363" s="663"/>
      <c r="E363" s="663"/>
      <c r="F363" s="392">
        <f>0.6*X2</f>
        <v>616.19999999999993</v>
      </c>
      <c r="G363" s="293">
        <f t="shared" ref="G363:G364" si="735">+F363*$X$1</f>
        <v>616.19999999999993</v>
      </c>
      <c r="H363" s="574"/>
      <c r="I363" s="293"/>
      <c r="J363" s="598"/>
      <c r="K363" s="293"/>
      <c r="L363" s="598">
        <f t="shared" si="707"/>
        <v>736.19999999999993</v>
      </c>
      <c r="M363" s="293">
        <f t="shared" si="708"/>
        <v>736.19999999999993</v>
      </c>
      <c r="N363" s="598">
        <f t="shared" si="687"/>
        <v>676.19999999999993</v>
      </c>
      <c r="O363" s="293">
        <f t="shared" si="679"/>
        <v>676.19999999999993</v>
      </c>
      <c r="P363" s="598">
        <f t="shared" si="688"/>
        <v>666.19999999999993</v>
      </c>
      <c r="Q363" s="293">
        <f t="shared" si="680"/>
        <v>666.19999999999993</v>
      </c>
      <c r="R363" s="598">
        <f t="shared" si="689"/>
        <v>658.19999999999993</v>
      </c>
      <c r="S363" s="293">
        <f t="shared" si="681"/>
        <v>658.19999999999993</v>
      </c>
      <c r="T363" s="104">
        <f t="shared" si="703"/>
        <v>650.19999999999993</v>
      </c>
      <c r="U363" s="260">
        <f t="shared" si="704"/>
        <v>650.19999999999993</v>
      </c>
      <c r="V363" s="104">
        <f t="shared" si="705"/>
        <v>645.19999999999993</v>
      </c>
      <c r="W363" s="260">
        <f t="shared" si="706"/>
        <v>645.19999999999993</v>
      </c>
      <c r="X363" s="658"/>
      <c r="Y363" s="653"/>
      <c r="Z363" s="653"/>
      <c r="AA363" s="654"/>
      <c r="AB363" s="420">
        <v>2261</v>
      </c>
      <c r="AC363" s="66"/>
    </row>
    <row r="364" spans="1:29" ht="12.6" customHeight="1" x14ac:dyDescent="0.2">
      <c r="A364" s="18"/>
      <c r="B364" s="664" t="s">
        <v>695</v>
      </c>
      <c r="C364" s="679"/>
      <c r="D364" s="679"/>
      <c r="E364" s="679"/>
      <c r="F364" s="393">
        <f>0.58*X2</f>
        <v>595.66</v>
      </c>
      <c r="G364" s="294">
        <f t="shared" si="735"/>
        <v>595.66</v>
      </c>
      <c r="H364" s="493"/>
      <c r="I364" s="294"/>
      <c r="J364" s="493"/>
      <c r="K364" s="294"/>
      <c r="L364" s="493">
        <f t="shared" si="707"/>
        <v>715.66</v>
      </c>
      <c r="M364" s="294">
        <f t="shared" si="708"/>
        <v>715.66</v>
      </c>
      <c r="N364" s="493">
        <f t="shared" si="687"/>
        <v>655.66</v>
      </c>
      <c r="O364" s="294">
        <f t="shared" si="679"/>
        <v>655.66</v>
      </c>
      <c r="P364" s="493">
        <f t="shared" si="688"/>
        <v>645.66</v>
      </c>
      <c r="Q364" s="294">
        <f t="shared" si="680"/>
        <v>645.66</v>
      </c>
      <c r="R364" s="493">
        <f t="shared" si="689"/>
        <v>637.66</v>
      </c>
      <c r="S364" s="294">
        <f t="shared" si="681"/>
        <v>637.66</v>
      </c>
      <c r="T364" s="103">
        <f t="shared" si="703"/>
        <v>629.66</v>
      </c>
      <c r="U364" s="313">
        <f t="shared" si="704"/>
        <v>629.66</v>
      </c>
      <c r="V364" s="103">
        <f t="shared" si="705"/>
        <v>624.66</v>
      </c>
      <c r="W364" s="313">
        <f t="shared" si="706"/>
        <v>624.66</v>
      </c>
      <c r="X364" s="658"/>
      <c r="Y364" s="653"/>
      <c r="Z364" s="653"/>
      <c r="AA364" s="654"/>
      <c r="AB364" s="420">
        <v>2262</v>
      </c>
      <c r="AC364" s="66"/>
    </row>
    <row r="365" spans="1:29" ht="12.6" customHeight="1" x14ac:dyDescent="0.2">
      <c r="A365" s="18"/>
      <c r="B365" s="662" t="s">
        <v>638</v>
      </c>
      <c r="C365" s="663"/>
      <c r="D365" s="663"/>
      <c r="E365" s="663"/>
      <c r="F365" s="392">
        <f>1.25*X2</f>
        <v>1283.75</v>
      </c>
      <c r="G365" s="293">
        <f t="shared" ref="G365" si="736">+F365*$X$1</f>
        <v>1283.75</v>
      </c>
      <c r="H365" s="574"/>
      <c r="I365" s="293"/>
      <c r="J365" s="598"/>
      <c r="K365" s="293"/>
      <c r="L365" s="598">
        <f t="shared" si="707"/>
        <v>1403.75</v>
      </c>
      <c r="M365" s="293">
        <f t="shared" si="708"/>
        <v>1403.75</v>
      </c>
      <c r="N365" s="598">
        <f t="shared" si="687"/>
        <v>1343.75</v>
      </c>
      <c r="O365" s="293">
        <f t="shared" si="679"/>
        <v>1343.75</v>
      </c>
      <c r="P365" s="598">
        <f t="shared" si="688"/>
        <v>1333.75</v>
      </c>
      <c r="Q365" s="293">
        <f t="shared" si="680"/>
        <v>1333.75</v>
      </c>
      <c r="R365" s="598">
        <f t="shared" si="689"/>
        <v>1325.75</v>
      </c>
      <c r="S365" s="293">
        <f t="shared" si="681"/>
        <v>1325.75</v>
      </c>
      <c r="T365" s="104">
        <f t="shared" si="703"/>
        <v>1317.75</v>
      </c>
      <c r="U365" s="260">
        <f t="shared" si="704"/>
        <v>1317.75</v>
      </c>
      <c r="V365" s="104">
        <f t="shared" si="705"/>
        <v>1312.75</v>
      </c>
      <c r="W365" s="260">
        <f t="shared" si="706"/>
        <v>1312.75</v>
      </c>
      <c r="X365" s="658"/>
      <c r="Y365" s="653"/>
      <c r="Z365" s="653"/>
      <c r="AA365" s="654"/>
      <c r="AB365" s="420">
        <v>2264</v>
      </c>
      <c r="AC365" s="66"/>
    </row>
    <row r="366" spans="1:29" ht="12.6" customHeight="1" x14ac:dyDescent="0.2">
      <c r="A366" s="18"/>
      <c r="B366" s="664" t="s">
        <v>694</v>
      </c>
      <c r="C366" s="679"/>
      <c r="D366" s="679"/>
      <c r="E366" s="679"/>
      <c r="F366" s="393">
        <f>0.81*X2</f>
        <v>831.87</v>
      </c>
      <c r="G366" s="294">
        <f t="shared" ref="G366" si="737">+F366*$X$1</f>
        <v>831.87</v>
      </c>
      <c r="H366" s="493"/>
      <c r="I366" s="294"/>
      <c r="J366" s="493"/>
      <c r="K366" s="294"/>
      <c r="L366" s="493">
        <f t="shared" si="707"/>
        <v>951.87</v>
      </c>
      <c r="M366" s="294">
        <f t="shared" si="708"/>
        <v>951.87</v>
      </c>
      <c r="N366" s="493">
        <f t="shared" si="687"/>
        <v>891.87</v>
      </c>
      <c r="O366" s="294">
        <f t="shared" si="679"/>
        <v>891.87</v>
      </c>
      <c r="P366" s="493">
        <f t="shared" si="688"/>
        <v>881.87</v>
      </c>
      <c r="Q366" s="294">
        <f t="shared" si="680"/>
        <v>881.87</v>
      </c>
      <c r="R366" s="493">
        <f t="shared" si="689"/>
        <v>873.87</v>
      </c>
      <c r="S366" s="294">
        <f t="shared" si="681"/>
        <v>873.87</v>
      </c>
      <c r="T366" s="103">
        <f t="shared" si="703"/>
        <v>865.87</v>
      </c>
      <c r="U366" s="313">
        <f t="shared" si="704"/>
        <v>865.87</v>
      </c>
      <c r="V366" s="103">
        <f t="shared" si="705"/>
        <v>860.87</v>
      </c>
      <c r="W366" s="313">
        <f t="shared" si="706"/>
        <v>860.87</v>
      </c>
      <c r="X366" s="658"/>
      <c r="Y366" s="653"/>
      <c r="Z366" s="653"/>
      <c r="AA366" s="654"/>
      <c r="AB366" s="420">
        <v>2266</v>
      </c>
      <c r="AC366" s="66"/>
    </row>
    <row r="367" spans="1:29" ht="12.6" customHeight="1" x14ac:dyDescent="0.2">
      <c r="A367" s="18"/>
      <c r="B367" s="690" t="s">
        <v>251</v>
      </c>
      <c r="C367" s="691"/>
      <c r="D367" s="691"/>
      <c r="E367" s="691"/>
      <c r="F367" s="589">
        <f>1.96*X2</f>
        <v>2012.92</v>
      </c>
      <c r="G367" s="293">
        <f t="shared" ref="G367:G368" si="738">+F367*$X$1</f>
        <v>2012.92</v>
      </c>
      <c r="H367" s="623">
        <f>F367+500</f>
        <v>2512.92</v>
      </c>
      <c r="I367" s="293">
        <f t="shared" ref="I367" si="739">+H367*$X$1</f>
        <v>2512.92</v>
      </c>
      <c r="J367" s="623">
        <f>F367+210</f>
        <v>2222.92</v>
      </c>
      <c r="K367" s="293">
        <f t="shared" ref="K367" si="740">+J367*$X$1</f>
        <v>2222.92</v>
      </c>
      <c r="L367" s="623">
        <f>F367+170</f>
        <v>2182.92</v>
      </c>
      <c r="M367" s="293">
        <f t="shared" si="708"/>
        <v>2182.92</v>
      </c>
      <c r="N367" s="623"/>
      <c r="O367" s="293"/>
      <c r="P367" s="623"/>
      <c r="Q367" s="293"/>
      <c r="R367" s="623"/>
      <c r="S367" s="293"/>
      <c r="T367" s="623"/>
      <c r="U367" s="293"/>
      <c r="V367" s="623"/>
      <c r="W367" s="293"/>
      <c r="X367" s="658"/>
      <c r="Y367" s="653"/>
      <c r="Z367" s="653"/>
      <c r="AA367" s="654"/>
      <c r="AB367" s="420">
        <v>2268</v>
      </c>
      <c r="AC367" s="66"/>
    </row>
    <row r="368" spans="1:29" ht="12.6" customHeight="1" x14ac:dyDescent="0.2">
      <c r="A368" s="18"/>
      <c r="B368" s="664" t="s">
        <v>252</v>
      </c>
      <c r="C368" s="688"/>
      <c r="D368" s="688"/>
      <c r="E368" s="688"/>
      <c r="F368" s="393">
        <f>0.443*X2</f>
        <v>454.96100000000001</v>
      </c>
      <c r="G368" s="294">
        <f t="shared" si="738"/>
        <v>454.96100000000001</v>
      </c>
      <c r="H368" s="285"/>
      <c r="I368" s="285"/>
      <c r="J368" s="493"/>
      <c r="K368" s="493"/>
      <c r="L368" s="493">
        <f t="shared" si="707"/>
        <v>574.96100000000001</v>
      </c>
      <c r="M368" s="294">
        <f>+L368*$X$1</f>
        <v>574.96100000000001</v>
      </c>
      <c r="N368" s="493">
        <f>F368+60</f>
        <v>514.96100000000001</v>
      </c>
      <c r="O368" s="294">
        <f>+N368*$X$1</f>
        <v>514.96100000000001</v>
      </c>
      <c r="P368" s="493">
        <f>F368+50</f>
        <v>504.96100000000001</v>
      </c>
      <c r="Q368" s="294">
        <f>+P368*$X$1</f>
        <v>504.96100000000001</v>
      </c>
      <c r="R368" s="493">
        <f>F368+42</f>
        <v>496.96100000000001</v>
      </c>
      <c r="S368" s="294">
        <f>+R368*$X$1</f>
        <v>496.96100000000001</v>
      </c>
      <c r="T368" s="103">
        <f>F368+34</f>
        <v>488.96100000000001</v>
      </c>
      <c r="U368" s="313">
        <f>+T368*$X$1</f>
        <v>488.96100000000001</v>
      </c>
      <c r="V368" s="103">
        <f>F368+29</f>
        <v>483.96100000000001</v>
      </c>
      <c r="W368" s="313">
        <f>+V368*$X$1</f>
        <v>483.96100000000001</v>
      </c>
      <c r="X368" s="179"/>
      <c r="Y368" s="181"/>
      <c r="Z368" s="181"/>
      <c r="AA368" s="179"/>
      <c r="AB368" s="420">
        <v>2270</v>
      </c>
      <c r="AC368" s="66"/>
    </row>
    <row r="369" spans="1:29" ht="12.6" customHeight="1" x14ac:dyDescent="0.2">
      <c r="A369" s="18"/>
      <c r="B369" s="662" t="s">
        <v>253</v>
      </c>
      <c r="C369" s="678"/>
      <c r="D369" s="678"/>
      <c r="E369" s="678"/>
      <c r="F369" s="392">
        <f>0.59*X2</f>
        <v>605.92999999999995</v>
      </c>
      <c r="G369" s="293">
        <f>+F369*$X$1</f>
        <v>605.92999999999995</v>
      </c>
      <c r="H369" s="286"/>
      <c r="I369" s="286"/>
      <c r="J369" s="629"/>
      <c r="K369" s="629"/>
      <c r="L369" s="629">
        <f t="shared" si="707"/>
        <v>725.93</v>
      </c>
      <c r="M369" s="293">
        <f>+L369*$X$1</f>
        <v>725.93</v>
      </c>
      <c r="N369" s="629">
        <f>F369+60</f>
        <v>665.93</v>
      </c>
      <c r="O369" s="293">
        <f>+N369*$X$1</f>
        <v>665.93</v>
      </c>
      <c r="P369" s="629">
        <f>F369+50</f>
        <v>655.93</v>
      </c>
      <c r="Q369" s="293">
        <f>+P369*$X$1</f>
        <v>655.93</v>
      </c>
      <c r="R369" s="629">
        <f>F369+42</f>
        <v>647.92999999999995</v>
      </c>
      <c r="S369" s="293">
        <f>+R369*$X$1</f>
        <v>647.92999999999995</v>
      </c>
      <c r="T369" s="104">
        <f>F369+34</f>
        <v>639.92999999999995</v>
      </c>
      <c r="U369" s="260">
        <f>+T369*$X$1</f>
        <v>639.92999999999995</v>
      </c>
      <c r="V369" s="104">
        <f>F369+29</f>
        <v>634.92999999999995</v>
      </c>
      <c r="W369" s="260">
        <f>+V369*$X$1</f>
        <v>634.92999999999995</v>
      </c>
      <c r="X369" s="179"/>
      <c r="Y369" s="181"/>
      <c r="Z369" s="181"/>
      <c r="AA369" s="179"/>
      <c r="AB369" s="420">
        <v>2275</v>
      </c>
      <c r="AC369" s="66"/>
    </row>
    <row r="370" spans="1:29" ht="12.6" customHeight="1" x14ac:dyDescent="0.2">
      <c r="A370" s="18"/>
      <c r="B370" s="664" t="s">
        <v>636</v>
      </c>
      <c r="C370" s="665"/>
      <c r="D370" s="665"/>
      <c r="E370" s="665"/>
      <c r="F370" s="393">
        <f>0.59*X2</f>
        <v>605.92999999999995</v>
      </c>
      <c r="G370" s="294">
        <f t="shared" ref="G370:G371" si="741">+F370*$X$1</f>
        <v>605.92999999999995</v>
      </c>
      <c r="H370" s="285"/>
      <c r="I370" s="285"/>
      <c r="J370" s="493"/>
      <c r="K370" s="493"/>
      <c r="L370" s="493">
        <f t="shared" ref="L370:L387" si="742">F370+120</f>
        <v>725.93</v>
      </c>
      <c r="M370" s="294">
        <f t="shared" ref="M370:M393" si="743">+L370*$X$1</f>
        <v>725.93</v>
      </c>
      <c r="N370" s="493">
        <f t="shared" ref="N370:N386" si="744">F370+60</f>
        <v>665.93</v>
      </c>
      <c r="O370" s="294">
        <f t="shared" ref="O370:O393" si="745">+N370*$X$1</f>
        <v>665.93</v>
      </c>
      <c r="P370" s="493">
        <f t="shared" ref="P370:P386" si="746">F370+50</f>
        <v>655.93</v>
      </c>
      <c r="Q370" s="294">
        <f t="shared" ref="Q370:Q393" si="747">+P370*$X$1</f>
        <v>655.93</v>
      </c>
      <c r="R370" s="493">
        <f t="shared" ref="R370:R386" si="748">F370+42</f>
        <v>647.92999999999995</v>
      </c>
      <c r="S370" s="294">
        <f t="shared" ref="S370:S393" si="749">+R370*$X$1</f>
        <v>647.92999999999995</v>
      </c>
      <c r="T370" s="103">
        <f t="shared" ref="T370:T386" si="750">F370+34</f>
        <v>639.92999999999995</v>
      </c>
      <c r="U370" s="313">
        <f t="shared" ref="U370:U393" si="751">+T370*$X$1</f>
        <v>639.92999999999995</v>
      </c>
      <c r="V370" s="103">
        <f t="shared" ref="V370:V386" si="752">F370+29</f>
        <v>634.92999999999995</v>
      </c>
      <c r="W370" s="313">
        <f t="shared" ref="W370:W393" si="753">+V370*$X$1</f>
        <v>634.92999999999995</v>
      </c>
      <c r="X370" s="230"/>
      <c r="Y370" s="231"/>
      <c r="Z370" s="231"/>
      <c r="AA370" s="230"/>
      <c r="AB370" s="420">
        <v>2279</v>
      </c>
      <c r="AC370" s="66"/>
    </row>
    <row r="371" spans="1:29" ht="12.6" customHeight="1" x14ac:dyDescent="0.2">
      <c r="A371" s="18"/>
      <c r="B371" s="662" t="s">
        <v>254</v>
      </c>
      <c r="C371" s="678"/>
      <c r="D371" s="678"/>
      <c r="E371" s="678"/>
      <c r="F371" s="392">
        <f>0.484*X2</f>
        <v>497.06799999999998</v>
      </c>
      <c r="G371" s="293">
        <f t="shared" si="741"/>
        <v>497.06799999999998</v>
      </c>
      <c r="H371" s="286"/>
      <c r="I371" s="286"/>
      <c r="J371" s="629"/>
      <c r="K371" s="629"/>
      <c r="L371" s="629">
        <f t="shared" si="742"/>
        <v>617.06799999999998</v>
      </c>
      <c r="M371" s="293">
        <f t="shared" si="743"/>
        <v>617.06799999999998</v>
      </c>
      <c r="N371" s="629">
        <f t="shared" si="744"/>
        <v>557.06799999999998</v>
      </c>
      <c r="O371" s="293">
        <f t="shared" si="745"/>
        <v>557.06799999999998</v>
      </c>
      <c r="P371" s="629">
        <f t="shared" si="746"/>
        <v>547.06799999999998</v>
      </c>
      <c r="Q371" s="293">
        <f t="shared" si="747"/>
        <v>547.06799999999998</v>
      </c>
      <c r="R371" s="629">
        <f t="shared" si="748"/>
        <v>539.06799999999998</v>
      </c>
      <c r="S371" s="293">
        <f t="shared" si="749"/>
        <v>539.06799999999998</v>
      </c>
      <c r="T371" s="104">
        <f t="shared" si="750"/>
        <v>531.06799999999998</v>
      </c>
      <c r="U371" s="260">
        <f t="shared" si="751"/>
        <v>531.06799999999998</v>
      </c>
      <c r="V371" s="104">
        <f t="shared" si="752"/>
        <v>526.06799999999998</v>
      </c>
      <c r="W371" s="260">
        <f t="shared" si="753"/>
        <v>526.06799999999998</v>
      </c>
      <c r="X371" s="179"/>
      <c r="Y371" s="181"/>
      <c r="Z371" s="181"/>
      <c r="AA371" s="179"/>
      <c r="AB371" s="420">
        <v>2280</v>
      </c>
      <c r="AC371" s="66"/>
    </row>
    <row r="372" spans="1:29" ht="12.6" customHeight="1" x14ac:dyDescent="0.2">
      <c r="A372" s="18"/>
      <c r="B372" s="664" t="s">
        <v>500</v>
      </c>
      <c r="C372" s="665"/>
      <c r="D372" s="665"/>
      <c r="E372" s="665"/>
      <c r="F372" s="393">
        <f>0.42*X2</f>
        <v>431.34</v>
      </c>
      <c r="G372" s="294">
        <f t="shared" ref="G372:G376" si="754">+F372*$X$1</f>
        <v>431.34</v>
      </c>
      <c r="H372" s="285"/>
      <c r="I372" s="285"/>
      <c r="J372" s="493"/>
      <c r="K372" s="493"/>
      <c r="L372" s="493">
        <f t="shared" si="742"/>
        <v>551.33999999999992</v>
      </c>
      <c r="M372" s="294">
        <f t="shared" si="743"/>
        <v>551.33999999999992</v>
      </c>
      <c r="N372" s="493">
        <f t="shared" si="744"/>
        <v>491.34</v>
      </c>
      <c r="O372" s="294">
        <f t="shared" si="745"/>
        <v>491.34</v>
      </c>
      <c r="P372" s="493">
        <f t="shared" si="746"/>
        <v>481.34</v>
      </c>
      <c r="Q372" s="294">
        <f t="shared" si="747"/>
        <v>481.34</v>
      </c>
      <c r="R372" s="493">
        <f t="shared" si="748"/>
        <v>473.34</v>
      </c>
      <c r="S372" s="294">
        <f t="shared" si="749"/>
        <v>473.34</v>
      </c>
      <c r="T372" s="103">
        <f t="shared" si="750"/>
        <v>465.34</v>
      </c>
      <c r="U372" s="313">
        <f t="shared" si="751"/>
        <v>465.34</v>
      </c>
      <c r="V372" s="103">
        <f t="shared" si="752"/>
        <v>460.34</v>
      </c>
      <c r="W372" s="313">
        <f t="shared" si="753"/>
        <v>460.34</v>
      </c>
      <c r="X372" s="179"/>
      <c r="Y372" s="181"/>
      <c r="Z372" s="181"/>
      <c r="AA372" s="179"/>
      <c r="AB372" s="420">
        <v>2281</v>
      </c>
      <c r="AC372" s="66"/>
    </row>
    <row r="373" spans="1:29" ht="12.6" customHeight="1" x14ac:dyDescent="0.2">
      <c r="A373" s="18"/>
      <c r="B373" s="716" t="s">
        <v>907</v>
      </c>
      <c r="C373" s="897"/>
      <c r="D373" s="897"/>
      <c r="E373" s="898"/>
      <c r="F373" s="397">
        <f>0.609*X2</f>
        <v>625.44299999999998</v>
      </c>
      <c r="G373" s="293">
        <f t="shared" ref="G373" si="755">+F373*$X$1</f>
        <v>625.44299999999998</v>
      </c>
      <c r="H373" s="286"/>
      <c r="I373" s="353"/>
      <c r="J373" s="629"/>
      <c r="K373" s="293"/>
      <c r="L373" s="629">
        <f t="shared" si="742"/>
        <v>745.44299999999998</v>
      </c>
      <c r="M373" s="293">
        <f t="shared" si="743"/>
        <v>745.44299999999998</v>
      </c>
      <c r="N373" s="629">
        <f t="shared" si="744"/>
        <v>685.44299999999998</v>
      </c>
      <c r="O373" s="293">
        <f t="shared" si="745"/>
        <v>685.44299999999998</v>
      </c>
      <c r="P373" s="629">
        <f t="shared" si="746"/>
        <v>675.44299999999998</v>
      </c>
      <c r="Q373" s="293">
        <f t="shared" si="747"/>
        <v>675.44299999999998</v>
      </c>
      <c r="R373" s="629">
        <f t="shared" si="748"/>
        <v>667.44299999999998</v>
      </c>
      <c r="S373" s="293">
        <f t="shared" si="749"/>
        <v>667.44299999999998</v>
      </c>
      <c r="T373" s="104">
        <f t="shared" si="750"/>
        <v>659.44299999999998</v>
      </c>
      <c r="U373" s="260">
        <f t="shared" si="751"/>
        <v>659.44299999999998</v>
      </c>
      <c r="V373" s="104">
        <f t="shared" si="752"/>
        <v>654.44299999999998</v>
      </c>
      <c r="W373" s="260">
        <f t="shared" si="753"/>
        <v>654.44299999999998</v>
      </c>
      <c r="X373" s="132"/>
      <c r="Y373" s="132"/>
      <c r="Z373" s="132"/>
      <c r="AA373" s="132"/>
      <c r="AB373" s="420">
        <v>2282</v>
      </c>
    </row>
    <row r="374" spans="1:29" ht="12.6" customHeight="1" x14ac:dyDescent="0.2">
      <c r="A374" s="18"/>
      <c r="B374" s="716" t="s">
        <v>906</v>
      </c>
      <c r="C374" s="897"/>
      <c r="D374" s="897"/>
      <c r="E374" s="898"/>
      <c r="F374" s="396">
        <f>0.57*X2</f>
        <v>585.39</v>
      </c>
      <c r="G374" s="294">
        <f t="shared" si="754"/>
        <v>585.39</v>
      </c>
      <c r="H374" s="285"/>
      <c r="I374" s="354"/>
      <c r="J374" s="493"/>
      <c r="K374" s="294"/>
      <c r="L374" s="493">
        <f t="shared" si="742"/>
        <v>705.39</v>
      </c>
      <c r="M374" s="294">
        <f t="shared" si="743"/>
        <v>705.39</v>
      </c>
      <c r="N374" s="493">
        <f t="shared" si="744"/>
        <v>645.39</v>
      </c>
      <c r="O374" s="294">
        <f t="shared" si="745"/>
        <v>645.39</v>
      </c>
      <c r="P374" s="493">
        <f t="shared" si="746"/>
        <v>635.39</v>
      </c>
      <c r="Q374" s="294">
        <f t="shared" si="747"/>
        <v>635.39</v>
      </c>
      <c r="R374" s="493">
        <f t="shared" si="748"/>
        <v>627.39</v>
      </c>
      <c r="S374" s="294">
        <f t="shared" si="749"/>
        <v>627.39</v>
      </c>
      <c r="T374" s="103">
        <f t="shared" si="750"/>
        <v>619.39</v>
      </c>
      <c r="U374" s="313">
        <f t="shared" si="751"/>
        <v>619.39</v>
      </c>
      <c r="V374" s="103">
        <f t="shared" si="752"/>
        <v>614.39</v>
      </c>
      <c r="W374" s="313">
        <f t="shared" si="753"/>
        <v>614.39</v>
      </c>
      <c r="X374" s="132"/>
      <c r="Y374" s="132"/>
      <c r="Z374" s="132"/>
      <c r="AA374" s="132"/>
      <c r="AB374" s="420">
        <v>2283</v>
      </c>
    </row>
    <row r="375" spans="1:29" ht="12.6" customHeight="1" x14ac:dyDescent="0.2">
      <c r="A375" s="18"/>
      <c r="B375" s="662" t="s">
        <v>350</v>
      </c>
      <c r="C375" s="678"/>
      <c r="D375" s="678"/>
      <c r="E375" s="678"/>
      <c r="F375" s="392">
        <f>0.64*X2</f>
        <v>657.28</v>
      </c>
      <c r="G375" s="293">
        <f t="shared" si="754"/>
        <v>657.28</v>
      </c>
      <c r="H375" s="286"/>
      <c r="I375" s="286"/>
      <c r="J375" s="629"/>
      <c r="K375" s="629"/>
      <c r="L375" s="629">
        <f t="shared" si="742"/>
        <v>777.28</v>
      </c>
      <c r="M375" s="293">
        <f t="shared" si="743"/>
        <v>777.28</v>
      </c>
      <c r="N375" s="629">
        <f t="shared" si="744"/>
        <v>717.28</v>
      </c>
      <c r="O375" s="293">
        <f t="shared" si="745"/>
        <v>717.28</v>
      </c>
      <c r="P375" s="629">
        <f t="shared" si="746"/>
        <v>707.28</v>
      </c>
      <c r="Q375" s="293">
        <f t="shared" si="747"/>
        <v>707.28</v>
      </c>
      <c r="R375" s="629">
        <f t="shared" si="748"/>
        <v>699.28</v>
      </c>
      <c r="S375" s="293">
        <f t="shared" si="749"/>
        <v>699.28</v>
      </c>
      <c r="T375" s="104">
        <f t="shared" si="750"/>
        <v>691.28</v>
      </c>
      <c r="U375" s="260">
        <f t="shared" si="751"/>
        <v>691.28</v>
      </c>
      <c r="V375" s="104">
        <f t="shared" si="752"/>
        <v>686.28</v>
      </c>
      <c r="W375" s="260">
        <f t="shared" si="753"/>
        <v>686.28</v>
      </c>
      <c r="X375" s="192"/>
      <c r="Y375" s="191"/>
      <c r="Z375" s="191"/>
      <c r="AA375" s="192"/>
      <c r="AB375" s="420">
        <v>2285</v>
      </c>
      <c r="AC375" s="66"/>
    </row>
    <row r="376" spans="1:29" ht="12.6" customHeight="1" x14ac:dyDescent="0.2">
      <c r="A376" s="18"/>
      <c r="B376" s="664" t="s">
        <v>351</v>
      </c>
      <c r="C376" s="665"/>
      <c r="D376" s="665"/>
      <c r="E376" s="665"/>
      <c r="F376" s="393">
        <f>0.356*X2</f>
        <v>365.61199999999997</v>
      </c>
      <c r="G376" s="294">
        <f t="shared" si="754"/>
        <v>365.61199999999997</v>
      </c>
      <c r="H376" s="285"/>
      <c r="I376" s="285"/>
      <c r="J376" s="493"/>
      <c r="K376" s="493"/>
      <c r="L376" s="493">
        <f t="shared" si="742"/>
        <v>485.61199999999997</v>
      </c>
      <c r="M376" s="294">
        <f t="shared" si="743"/>
        <v>485.61199999999997</v>
      </c>
      <c r="N376" s="493">
        <f t="shared" si="744"/>
        <v>425.61199999999997</v>
      </c>
      <c r="O376" s="294">
        <f t="shared" si="745"/>
        <v>425.61199999999997</v>
      </c>
      <c r="P376" s="493">
        <f t="shared" si="746"/>
        <v>415.61199999999997</v>
      </c>
      <c r="Q376" s="294">
        <f t="shared" si="747"/>
        <v>415.61199999999997</v>
      </c>
      <c r="R376" s="493">
        <f t="shared" si="748"/>
        <v>407.61199999999997</v>
      </c>
      <c r="S376" s="294">
        <f t="shared" si="749"/>
        <v>407.61199999999997</v>
      </c>
      <c r="T376" s="103">
        <f t="shared" si="750"/>
        <v>399.61199999999997</v>
      </c>
      <c r="U376" s="313">
        <f t="shared" si="751"/>
        <v>399.61199999999997</v>
      </c>
      <c r="V376" s="103">
        <f t="shared" si="752"/>
        <v>394.61199999999997</v>
      </c>
      <c r="W376" s="313">
        <f t="shared" si="753"/>
        <v>394.61199999999997</v>
      </c>
      <c r="X376" s="193"/>
      <c r="Y376" s="194"/>
      <c r="Z376" s="194"/>
      <c r="AA376" s="193"/>
      <c r="AB376" s="420">
        <v>2286</v>
      </c>
      <c r="AC376" s="66"/>
    </row>
    <row r="377" spans="1:29" ht="12.6" customHeight="1" x14ac:dyDescent="0.2">
      <c r="A377" s="18"/>
      <c r="B377" s="676" t="s">
        <v>388</v>
      </c>
      <c r="C377" s="677"/>
      <c r="D377" s="677"/>
      <c r="E377" s="677"/>
      <c r="F377" s="397">
        <f>0.51*X2</f>
        <v>523.77</v>
      </c>
      <c r="G377" s="314">
        <f t="shared" ref="G377:G379" si="756">+F377*$X$1</f>
        <v>523.77</v>
      </c>
      <c r="H377" s="519"/>
      <c r="I377" s="519"/>
      <c r="J377" s="104"/>
      <c r="K377" s="104"/>
      <c r="L377" s="629">
        <f t="shared" si="742"/>
        <v>643.77</v>
      </c>
      <c r="M377" s="293">
        <f t="shared" si="743"/>
        <v>643.77</v>
      </c>
      <c r="N377" s="629">
        <f t="shared" si="744"/>
        <v>583.77</v>
      </c>
      <c r="O377" s="293">
        <f t="shared" si="745"/>
        <v>583.77</v>
      </c>
      <c r="P377" s="629">
        <f t="shared" si="746"/>
        <v>573.77</v>
      </c>
      <c r="Q377" s="293">
        <f t="shared" si="747"/>
        <v>573.77</v>
      </c>
      <c r="R377" s="629">
        <f t="shared" si="748"/>
        <v>565.77</v>
      </c>
      <c r="S377" s="293">
        <f t="shared" si="749"/>
        <v>565.77</v>
      </c>
      <c r="T377" s="104">
        <f t="shared" si="750"/>
        <v>557.77</v>
      </c>
      <c r="U377" s="260">
        <f t="shared" si="751"/>
        <v>557.77</v>
      </c>
      <c r="V377" s="104">
        <f t="shared" si="752"/>
        <v>552.77</v>
      </c>
      <c r="W377" s="260">
        <f t="shared" si="753"/>
        <v>552.77</v>
      </c>
      <c r="X377" s="225"/>
      <c r="Y377" s="224"/>
      <c r="Z377" s="224"/>
      <c r="AA377" s="225"/>
      <c r="AB377" s="420">
        <v>2287</v>
      </c>
      <c r="AC377" s="66"/>
    </row>
    <row r="378" spans="1:29" ht="12.6" customHeight="1" x14ac:dyDescent="0.2">
      <c r="A378" s="18"/>
      <c r="B378" s="713" t="s">
        <v>399</v>
      </c>
      <c r="C378" s="714"/>
      <c r="D378" s="714"/>
      <c r="E378" s="715"/>
      <c r="F378" s="393">
        <f>1.01*X2</f>
        <v>1037.27</v>
      </c>
      <c r="G378" s="294">
        <f t="shared" si="756"/>
        <v>1037.27</v>
      </c>
      <c r="H378" s="285"/>
      <c r="I378" s="285"/>
      <c r="J378" s="493"/>
      <c r="K378" s="493"/>
      <c r="L378" s="493">
        <f t="shared" si="742"/>
        <v>1157.27</v>
      </c>
      <c r="M378" s="294">
        <f t="shared" si="743"/>
        <v>1157.27</v>
      </c>
      <c r="N378" s="493">
        <f t="shared" si="744"/>
        <v>1097.27</v>
      </c>
      <c r="O378" s="294">
        <f t="shared" si="745"/>
        <v>1097.27</v>
      </c>
      <c r="P378" s="493">
        <f t="shared" si="746"/>
        <v>1087.27</v>
      </c>
      <c r="Q378" s="294">
        <f t="shared" si="747"/>
        <v>1087.27</v>
      </c>
      <c r="R378" s="493">
        <f t="shared" si="748"/>
        <v>1079.27</v>
      </c>
      <c r="S378" s="294">
        <f t="shared" si="749"/>
        <v>1079.27</v>
      </c>
      <c r="T378" s="103">
        <f t="shared" si="750"/>
        <v>1071.27</v>
      </c>
      <c r="U378" s="313">
        <f t="shared" si="751"/>
        <v>1071.27</v>
      </c>
      <c r="V378" s="103">
        <f t="shared" si="752"/>
        <v>1066.27</v>
      </c>
      <c r="W378" s="313">
        <f t="shared" si="753"/>
        <v>1066.27</v>
      </c>
      <c r="X378" s="226"/>
      <c r="Y378" s="227"/>
      <c r="Z378" s="227"/>
      <c r="AA378" s="226"/>
      <c r="AB378" s="420">
        <v>2289</v>
      </c>
      <c r="AC378" s="66"/>
    </row>
    <row r="379" spans="1:29" ht="12.6" customHeight="1" x14ac:dyDescent="0.2">
      <c r="A379" s="18"/>
      <c r="B379" s="669" t="s">
        <v>718</v>
      </c>
      <c r="C379" s="670"/>
      <c r="D379" s="670"/>
      <c r="E379" s="671"/>
      <c r="F379" s="397">
        <f>0.73*X2</f>
        <v>749.71</v>
      </c>
      <c r="G379" s="293">
        <f t="shared" si="756"/>
        <v>749.71</v>
      </c>
      <c r="H379" s="286"/>
      <c r="I379" s="286"/>
      <c r="J379" s="629"/>
      <c r="K379" s="629"/>
      <c r="L379" s="629">
        <f t="shared" si="742"/>
        <v>869.71</v>
      </c>
      <c r="M379" s="293">
        <f t="shared" si="743"/>
        <v>869.71</v>
      </c>
      <c r="N379" s="629">
        <f t="shared" si="744"/>
        <v>809.71</v>
      </c>
      <c r="O379" s="293">
        <f t="shared" si="745"/>
        <v>809.71</v>
      </c>
      <c r="P379" s="629">
        <f t="shared" si="746"/>
        <v>799.71</v>
      </c>
      <c r="Q379" s="293">
        <f t="shared" si="747"/>
        <v>799.71</v>
      </c>
      <c r="R379" s="629">
        <f t="shared" si="748"/>
        <v>791.71</v>
      </c>
      <c r="S379" s="293">
        <f t="shared" si="749"/>
        <v>791.71</v>
      </c>
      <c r="T379" s="104">
        <f t="shared" si="750"/>
        <v>783.71</v>
      </c>
      <c r="U379" s="260">
        <f t="shared" si="751"/>
        <v>783.71</v>
      </c>
      <c r="V379" s="104">
        <f t="shared" si="752"/>
        <v>778.71</v>
      </c>
      <c r="W379" s="260">
        <f t="shared" si="753"/>
        <v>778.71</v>
      </c>
      <c r="X379" s="465"/>
      <c r="Y379" s="466"/>
      <c r="Z379" s="466"/>
      <c r="AA379" s="465"/>
      <c r="AB379" s="420">
        <v>2290</v>
      </c>
      <c r="AC379" s="66"/>
    </row>
    <row r="380" spans="1:29" ht="12.6" customHeight="1" x14ac:dyDescent="0.2">
      <c r="A380" s="18"/>
      <c r="B380" s="666" t="s">
        <v>499</v>
      </c>
      <c r="C380" s="667"/>
      <c r="D380" s="667"/>
      <c r="E380" s="668"/>
      <c r="F380" s="396">
        <f>0.549*X2</f>
        <v>563.82300000000009</v>
      </c>
      <c r="G380" s="294">
        <f t="shared" ref="G380" si="757">+F380*$X$1</f>
        <v>563.82300000000009</v>
      </c>
      <c r="H380" s="285"/>
      <c r="I380" s="285"/>
      <c r="J380" s="493"/>
      <c r="K380" s="493"/>
      <c r="L380" s="493">
        <f t="shared" si="742"/>
        <v>683.82300000000009</v>
      </c>
      <c r="M380" s="294">
        <f t="shared" si="743"/>
        <v>683.82300000000009</v>
      </c>
      <c r="N380" s="493">
        <f t="shared" si="744"/>
        <v>623.82300000000009</v>
      </c>
      <c r="O380" s="294">
        <f t="shared" si="745"/>
        <v>623.82300000000009</v>
      </c>
      <c r="P380" s="493">
        <f t="shared" si="746"/>
        <v>613.82300000000009</v>
      </c>
      <c r="Q380" s="294">
        <f t="shared" si="747"/>
        <v>613.82300000000009</v>
      </c>
      <c r="R380" s="493">
        <f t="shared" si="748"/>
        <v>605.82300000000009</v>
      </c>
      <c r="S380" s="294">
        <f t="shared" si="749"/>
        <v>605.82300000000009</v>
      </c>
      <c r="T380" s="103">
        <f t="shared" si="750"/>
        <v>597.82300000000009</v>
      </c>
      <c r="U380" s="313">
        <f t="shared" si="751"/>
        <v>597.82300000000009</v>
      </c>
      <c r="V380" s="103">
        <f t="shared" si="752"/>
        <v>592.82300000000009</v>
      </c>
      <c r="W380" s="313">
        <f t="shared" si="753"/>
        <v>592.82300000000009</v>
      </c>
      <c r="X380" s="253"/>
      <c r="Y380" s="257"/>
      <c r="Z380" s="257"/>
      <c r="AA380" s="253"/>
      <c r="AB380" s="420">
        <v>2291</v>
      </c>
      <c r="AC380" s="66"/>
    </row>
    <row r="381" spans="1:29" ht="12.6" customHeight="1" x14ac:dyDescent="0.2">
      <c r="A381" s="18"/>
      <c r="B381" s="669" t="s">
        <v>637</v>
      </c>
      <c r="C381" s="670"/>
      <c r="D381" s="670"/>
      <c r="E381" s="671"/>
      <c r="F381" s="397">
        <f>0.37*X2</f>
        <v>379.99</v>
      </c>
      <c r="G381" s="293">
        <f t="shared" ref="G381" si="758">+F381*$X$1</f>
        <v>379.99</v>
      </c>
      <c r="H381" s="286"/>
      <c r="I381" s="286"/>
      <c r="J381" s="629"/>
      <c r="K381" s="629"/>
      <c r="L381" s="629">
        <f t="shared" si="742"/>
        <v>499.99</v>
      </c>
      <c r="M381" s="293">
        <f t="shared" si="743"/>
        <v>499.99</v>
      </c>
      <c r="N381" s="629">
        <f t="shared" si="744"/>
        <v>439.99</v>
      </c>
      <c r="O381" s="293">
        <f t="shared" si="745"/>
        <v>439.99</v>
      </c>
      <c r="P381" s="629">
        <f t="shared" si="746"/>
        <v>429.99</v>
      </c>
      <c r="Q381" s="293">
        <f t="shared" si="747"/>
        <v>429.99</v>
      </c>
      <c r="R381" s="629">
        <f t="shared" si="748"/>
        <v>421.99</v>
      </c>
      <c r="S381" s="293">
        <f t="shared" si="749"/>
        <v>421.99</v>
      </c>
      <c r="T381" s="104">
        <f t="shared" si="750"/>
        <v>413.99</v>
      </c>
      <c r="U381" s="260">
        <f t="shared" si="751"/>
        <v>413.99</v>
      </c>
      <c r="V381" s="104">
        <f t="shared" si="752"/>
        <v>408.99</v>
      </c>
      <c r="W381" s="260">
        <f t="shared" si="753"/>
        <v>408.99</v>
      </c>
      <c r="X381" s="258"/>
      <c r="Y381" s="259"/>
      <c r="Z381" s="259"/>
      <c r="AA381" s="258"/>
      <c r="AB381" s="420">
        <v>2292</v>
      </c>
      <c r="AC381" s="66"/>
    </row>
    <row r="382" spans="1:29" ht="12.6" customHeight="1" x14ac:dyDescent="0.2">
      <c r="A382" s="18"/>
      <c r="B382" s="666" t="s">
        <v>517</v>
      </c>
      <c r="C382" s="667"/>
      <c r="D382" s="667"/>
      <c r="E382" s="668"/>
      <c r="F382" s="396">
        <f>0.94*X2</f>
        <v>965.38</v>
      </c>
      <c r="G382" s="294">
        <f t="shared" ref="G382" si="759">+F382*$X$1</f>
        <v>965.38</v>
      </c>
      <c r="H382" s="285"/>
      <c r="I382" s="285"/>
      <c r="J382" s="493"/>
      <c r="K382" s="493"/>
      <c r="L382" s="493">
        <f t="shared" si="742"/>
        <v>1085.3800000000001</v>
      </c>
      <c r="M382" s="294">
        <f t="shared" si="743"/>
        <v>1085.3800000000001</v>
      </c>
      <c r="N382" s="493">
        <f t="shared" si="744"/>
        <v>1025.3800000000001</v>
      </c>
      <c r="O382" s="294">
        <f t="shared" si="745"/>
        <v>1025.3800000000001</v>
      </c>
      <c r="P382" s="493">
        <f t="shared" si="746"/>
        <v>1015.38</v>
      </c>
      <c r="Q382" s="294">
        <f t="shared" si="747"/>
        <v>1015.38</v>
      </c>
      <c r="R382" s="493">
        <f t="shared" si="748"/>
        <v>1007.38</v>
      </c>
      <c r="S382" s="294">
        <f t="shared" si="749"/>
        <v>1007.38</v>
      </c>
      <c r="T382" s="103">
        <f t="shared" si="750"/>
        <v>999.38</v>
      </c>
      <c r="U382" s="313">
        <f t="shared" si="751"/>
        <v>999.38</v>
      </c>
      <c r="V382" s="103">
        <f t="shared" si="752"/>
        <v>994.38</v>
      </c>
      <c r="W382" s="313">
        <f t="shared" si="753"/>
        <v>994.38</v>
      </c>
      <c r="X382" s="261"/>
      <c r="Y382" s="262"/>
      <c r="Z382" s="262"/>
      <c r="AA382" s="261"/>
      <c r="AB382" s="420">
        <v>2293</v>
      </c>
      <c r="AC382" s="66"/>
    </row>
    <row r="383" spans="1:29" ht="12.6" customHeight="1" x14ac:dyDescent="0.2">
      <c r="A383" s="18"/>
      <c r="B383" s="669" t="s">
        <v>576</v>
      </c>
      <c r="C383" s="670"/>
      <c r="D383" s="670"/>
      <c r="E383" s="671"/>
      <c r="F383" s="564">
        <v>380</v>
      </c>
      <c r="G383" s="293">
        <f t="shared" ref="G383" si="760">+F383*$X$1</f>
        <v>380</v>
      </c>
      <c r="H383" s="286"/>
      <c r="I383" s="286"/>
      <c r="J383" s="629"/>
      <c r="K383" s="629"/>
      <c r="L383" s="629">
        <f t="shared" si="742"/>
        <v>500</v>
      </c>
      <c r="M383" s="293">
        <f t="shared" si="743"/>
        <v>500</v>
      </c>
      <c r="N383" s="629">
        <f t="shared" si="744"/>
        <v>440</v>
      </c>
      <c r="O383" s="293">
        <f t="shared" si="745"/>
        <v>440</v>
      </c>
      <c r="P383" s="629">
        <f t="shared" si="746"/>
        <v>430</v>
      </c>
      <c r="Q383" s="293">
        <f t="shared" si="747"/>
        <v>430</v>
      </c>
      <c r="R383" s="629">
        <f t="shared" si="748"/>
        <v>422</v>
      </c>
      <c r="S383" s="293">
        <f t="shared" si="749"/>
        <v>422</v>
      </c>
      <c r="T383" s="104">
        <f t="shared" si="750"/>
        <v>414</v>
      </c>
      <c r="U383" s="260">
        <f t="shared" si="751"/>
        <v>414</v>
      </c>
      <c r="V383" s="104">
        <f t="shared" si="752"/>
        <v>409</v>
      </c>
      <c r="W383" s="260">
        <f t="shared" si="753"/>
        <v>409</v>
      </c>
      <c r="X383" s="337"/>
      <c r="Y383" s="338"/>
      <c r="Z383" s="338"/>
      <c r="AA383" s="337"/>
      <c r="AB383" s="420">
        <v>2294</v>
      </c>
      <c r="AC383" s="66"/>
    </row>
    <row r="384" spans="1:29" ht="12.6" customHeight="1" x14ac:dyDescent="0.2">
      <c r="A384" s="18"/>
      <c r="B384" s="666" t="s">
        <v>456</v>
      </c>
      <c r="C384" s="667"/>
      <c r="D384" s="667"/>
      <c r="E384" s="668"/>
      <c r="F384" s="396">
        <f>0.7*X2</f>
        <v>718.9</v>
      </c>
      <c r="G384" s="294">
        <f t="shared" ref="G384" si="761">+F384*$X$1</f>
        <v>718.9</v>
      </c>
      <c r="H384" s="285"/>
      <c r="I384" s="285"/>
      <c r="J384" s="493"/>
      <c r="K384" s="493"/>
      <c r="L384" s="493">
        <f t="shared" si="742"/>
        <v>838.9</v>
      </c>
      <c r="M384" s="294">
        <f t="shared" si="743"/>
        <v>838.9</v>
      </c>
      <c r="N384" s="493">
        <f t="shared" si="744"/>
        <v>778.9</v>
      </c>
      <c r="O384" s="294">
        <f t="shared" si="745"/>
        <v>778.9</v>
      </c>
      <c r="P384" s="493">
        <f t="shared" si="746"/>
        <v>768.9</v>
      </c>
      <c r="Q384" s="294">
        <f t="shared" si="747"/>
        <v>768.9</v>
      </c>
      <c r="R384" s="493">
        <f t="shared" si="748"/>
        <v>760.9</v>
      </c>
      <c r="S384" s="294">
        <f t="shared" si="749"/>
        <v>760.9</v>
      </c>
      <c r="T384" s="103">
        <f t="shared" si="750"/>
        <v>752.9</v>
      </c>
      <c r="U384" s="313">
        <f t="shared" si="751"/>
        <v>752.9</v>
      </c>
      <c r="V384" s="103">
        <f t="shared" si="752"/>
        <v>747.9</v>
      </c>
      <c r="W384" s="313">
        <f t="shared" si="753"/>
        <v>747.9</v>
      </c>
      <c r="X384" s="228"/>
      <c r="Y384" s="229"/>
      <c r="Z384" s="229"/>
      <c r="AA384" s="228"/>
      <c r="AB384" s="420">
        <v>2295</v>
      </c>
      <c r="AC384" s="66"/>
    </row>
    <row r="385" spans="1:34" ht="12.6" customHeight="1" x14ac:dyDescent="0.2">
      <c r="A385" s="18"/>
      <c r="B385" s="729" t="s">
        <v>402</v>
      </c>
      <c r="C385" s="730"/>
      <c r="D385" s="730"/>
      <c r="E385" s="731"/>
      <c r="F385" s="618">
        <f>0.46*X2</f>
        <v>472.42</v>
      </c>
      <c r="G385" s="602">
        <f t="shared" ref="G385" si="762">+F385*$X$1</f>
        <v>472.42</v>
      </c>
      <c r="H385" s="603"/>
      <c r="I385" s="603"/>
      <c r="J385" s="628"/>
      <c r="K385" s="628"/>
      <c r="L385" s="628">
        <f t="shared" si="742"/>
        <v>592.42000000000007</v>
      </c>
      <c r="M385" s="602">
        <f t="shared" si="743"/>
        <v>592.42000000000007</v>
      </c>
      <c r="N385" s="628">
        <f t="shared" si="744"/>
        <v>532.42000000000007</v>
      </c>
      <c r="O385" s="602">
        <f t="shared" si="745"/>
        <v>532.42000000000007</v>
      </c>
      <c r="P385" s="628">
        <f t="shared" si="746"/>
        <v>522.42000000000007</v>
      </c>
      <c r="Q385" s="602">
        <f t="shared" si="747"/>
        <v>522.42000000000007</v>
      </c>
      <c r="R385" s="628">
        <f t="shared" si="748"/>
        <v>514.42000000000007</v>
      </c>
      <c r="S385" s="602">
        <f t="shared" si="749"/>
        <v>514.42000000000007</v>
      </c>
      <c r="T385" s="614">
        <f t="shared" si="750"/>
        <v>506.42</v>
      </c>
      <c r="U385" s="613">
        <f t="shared" si="751"/>
        <v>506.42</v>
      </c>
      <c r="V385" s="614">
        <f t="shared" si="752"/>
        <v>501.42</v>
      </c>
      <c r="W385" s="613">
        <f t="shared" si="753"/>
        <v>501.42</v>
      </c>
      <c r="X385" s="228"/>
      <c r="Y385" s="229"/>
      <c r="Z385" s="229"/>
      <c r="AA385" s="228"/>
      <c r="AB385" s="420">
        <v>2296</v>
      </c>
      <c r="AC385" s="66"/>
    </row>
    <row r="386" spans="1:34" ht="12.6" customHeight="1" x14ac:dyDescent="0.2">
      <c r="A386" s="18"/>
      <c r="B386" s="666" t="s">
        <v>558</v>
      </c>
      <c r="C386" s="667"/>
      <c r="D386" s="667"/>
      <c r="E386" s="668"/>
      <c r="F386" s="396">
        <f>0.57*X2</f>
        <v>585.39</v>
      </c>
      <c r="G386" s="294">
        <f t="shared" ref="G386" si="763">+F386*$X$1</f>
        <v>585.39</v>
      </c>
      <c r="H386" s="285"/>
      <c r="I386" s="285"/>
      <c r="J386" s="493"/>
      <c r="K386" s="294"/>
      <c r="L386" s="493">
        <f t="shared" si="742"/>
        <v>705.39</v>
      </c>
      <c r="M386" s="294">
        <f t="shared" si="743"/>
        <v>705.39</v>
      </c>
      <c r="N386" s="493">
        <f t="shared" si="744"/>
        <v>645.39</v>
      </c>
      <c r="O386" s="294">
        <f t="shared" si="745"/>
        <v>645.39</v>
      </c>
      <c r="P386" s="493">
        <f t="shared" si="746"/>
        <v>635.39</v>
      </c>
      <c r="Q386" s="294">
        <f t="shared" si="747"/>
        <v>635.39</v>
      </c>
      <c r="R386" s="493">
        <f t="shared" si="748"/>
        <v>627.39</v>
      </c>
      <c r="S386" s="294">
        <f t="shared" si="749"/>
        <v>627.39</v>
      </c>
      <c r="T386" s="103">
        <f t="shared" si="750"/>
        <v>619.39</v>
      </c>
      <c r="U386" s="313">
        <f t="shared" si="751"/>
        <v>619.39</v>
      </c>
      <c r="V386" s="103">
        <f t="shared" si="752"/>
        <v>614.39</v>
      </c>
      <c r="W386" s="313">
        <f t="shared" si="753"/>
        <v>614.39</v>
      </c>
      <c r="X386" s="322"/>
      <c r="Y386" s="323"/>
      <c r="Z386" s="323"/>
      <c r="AA386" s="322"/>
      <c r="AB386" s="420">
        <v>2299</v>
      </c>
      <c r="AC386" s="66"/>
    </row>
    <row r="387" spans="1:34" ht="12.6" customHeight="1" x14ac:dyDescent="0.2">
      <c r="A387" s="18"/>
      <c r="B387" s="716" t="s">
        <v>916</v>
      </c>
      <c r="C387" s="717"/>
      <c r="D387" s="717"/>
      <c r="E387" s="718"/>
      <c r="F387" s="392">
        <f>1.98*X2</f>
        <v>2033.46</v>
      </c>
      <c r="G387" s="293">
        <f>+F387*$X$1</f>
        <v>2033.46</v>
      </c>
      <c r="H387" s="407">
        <f t="shared" ref="H387" si="764">F387+360</f>
        <v>2393.46</v>
      </c>
      <c r="I387" s="293">
        <f t="shared" ref="I387" si="765">+H387*$X$1</f>
        <v>2393.46</v>
      </c>
      <c r="J387" s="629">
        <f t="shared" ref="J387" si="766">F387+180</f>
        <v>2213.46</v>
      </c>
      <c r="K387" s="293">
        <f t="shared" ref="K387" si="767">+J387*$X$1</f>
        <v>2213.46</v>
      </c>
      <c r="L387" s="629">
        <f t="shared" si="742"/>
        <v>2153.46</v>
      </c>
      <c r="M387" s="293">
        <f t="shared" ref="M387" si="768">+L387*$X$1</f>
        <v>2153.46</v>
      </c>
      <c r="N387" s="629">
        <f t="shared" ref="N387" si="769">F387+61</f>
        <v>2094.46</v>
      </c>
      <c r="O387" s="293">
        <f t="shared" ref="O387" si="770">+N387*$X$1</f>
        <v>2094.46</v>
      </c>
      <c r="P387" s="629">
        <f t="shared" ref="P387" si="771">F387+54</f>
        <v>2087.46</v>
      </c>
      <c r="Q387" s="293">
        <f t="shared" ref="Q387" si="772">+P387*$X$1</f>
        <v>2087.46</v>
      </c>
      <c r="R387" s="629">
        <f t="shared" ref="R387" si="773">F387+47</f>
        <v>2080.46</v>
      </c>
      <c r="S387" s="293">
        <f t="shared" ref="S387" si="774">+R387*$X$1</f>
        <v>2080.46</v>
      </c>
      <c r="T387" s="629">
        <f t="shared" ref="T387" si="775">F387+38</f>
        <v>2071.46</v>
      </c>
      <c r="U387" s="293">
        <f t="shared" ref="U387" si="776">+T387*$X$1</f>
        <v>2071.46</v>
      </c>
      <c r="V387" s="629">
        <f t="shared" ref="V387" si="777">F387+33</f>
        <v>2066.46</v>
      </c>
      <c r="W387" s="293">
        <f t="shared" ref="W387" si="778">+V387*$X$1</f>
        <v>2066.46</v>
      </c>
      <c r="X387" s="652"/>
      <c r="Y387" s="653"/>
      <c r="Z387" s="653"/>
      <c r="AA387" s="654"/>
      <c r="AB387" s="420">
        <v>2310</v>
      </c>
      <c r="AC387" s="66"/>
    </row>
    <row r="388" spans="1:34" ht="12.6" customHeight="1" x14ac:dyDescent="0.2">
      <c r="A388" s="18"/>
      <c r="B388" s="664" t="s">
        <v>446</v>
      </c>
      <c r="C388" s="679"/>
      <c r="D388" s="679"/>
      <c r="E388" s="679"/>
      <c r="F388" s="393">
        <f>1.35*X2</f>
        <v>1386.45</v>
      </c>
      <c r="G388" s="294">
        <f>+F388*$X$1</f>
        <v>1386.45</v>
      </c>
      <c r="H388" s="101">
        <f t="shared" ref="H388:H389" si="779">F388+360</f>
        <v>1746.45</v>
      </c>
      <c r="I388" s="294">
        <f t="shared" ref="I388:I393" si="780">+H388*$X$1</f>
        <v>1746.45</v>
      </c>
      <c r="J388" s="493">
        <f t="shared" ref="J388:J389" si="781">F388+180</f>
        <v>1566.45</v>
      </c>
      <c r="K388" s="294">
        <f t="shared" ref="K388:K393" si="782">+J388*$X$1</f>
        <v>1566.45</v>
      </c>
      <c r="L388" s="493">
        <f t="shared" ref="L388:L389" si="783">F388+120</f>
        <v>1506.45</v>
      </c>
      <c r="M388" s="294">
        <f t="shared" si="743"/>
        <v>1506.45</v>
      </c>
      <c r="N388" s="493">
        <f t="shared" ref="N388:N389" si="784">F388+61</f>
        <v>1447.45</v>
      </c>
      <c r="O388" s="294">
        <f t="shared" si="745"/>
        <v>1447.45</v>
      </c>
      <c r="P388" s="493">
        <f t="shared" ref="P388:P389" si="785">F388+54</f>
        <v>1440.45</v>
      </c>
      <c r="Q388" s="294">
        <f t="shared" si="747"/>
        <v>1440.45</v>
      </c>
      <c r="R388" s="493">
        <f t="shared" ref="R388:R389" si="786">F388+47</f>
        <v>1433.45</v>
      </c>
      <c r="S388" s="294">
        <f t="shared" si="749"/>
        <v>1433.45</v>
      </c>
      <c r="T388" s="493">
        <f t="shared" ref="T388:T389" si="787">F388+38</f>
        <v>1424.45</v>
      </c>
      <c r="U388" s="294">
        <f t="shared" si="751"/>
        <v>1424.45</v>
      </c>
      <c r="V388" s="493">
        <f t="shared" ref="V388:V389" si="788">F388+33</f>
        <v>1419.45</v>
      </c>
      <c r="W388" s="294">
        <f t="shared" si="753"/>
        <v>1419.45</v>
      </c>
      <c r="X388" s="652"/>
      <c r="Y388" s="653"/>
      <c r="Z388" s="653"/>
      <c r="AA388" s="654"/>
      <c r="AB388" s="420">
        <v>2322</v>
      </c>
      <c r="AC388" s="66"/>
    </row>
    <row r="389" spans="1:34" ht="12.6" customHeight="1" x14ac:dyDescent="0.2">
      <c r="A389" s="18"/>
      <c r="B389" s="662" t="s">
        <v>869</v>
      </c>
      <c r="C389" s="663"/>
      <c r="D389" s="663"/>
      <c r="E389" s="663"/>
      <c r="F389" s="392">
        <f>1.71*X2</f>
        <v>1756.17</v>
      </c>
      <c r="G389" s="293">
        <f>+F389*$X$1</f>
        <v>1756.17</v>
      </c>
      <c r="H389" s="407">
        <f t="shared" si="779"/>
        <v>2116.17</v>
      </c>
      <c r="I389" s="293">
        <f t="shared" si="780"/>
        <v>2116.17</v>
      </c>
      <c r="J389" s="629">
        <f t="shared" si="781"/>
        <v>1936.17</v>
      </c>
      <c r="K389" s="293">
        <f t="shared" si="782"/>
        <v>1936.17</v>
      </c>
      <c r="L389" s="629">
        <f t="shared" si="783"/>
        <v>1876.17</v>
      </c>
      <c r="M389" s="293">
        <f t="shared" si="743"/>
        <v>1876.17</v>
      </c>
      <c r="N389" s="629">
        <f t="shared" si="784"/>
        <v>1817.17</v>
      </c>
      <c r="O389" s="293">
        <f t="shared" si="745"/>
        <v>1817.17</v>
      </c>
      <c r="P389" s="629">
        <f t="shared" si="785"/>
        <v>1810.17</v>
      </c>
      <c r="Q389" s="293">
        <f t="shared" si="747"/>
        <v>1810.17</v>
      </c>
      <c r="R389" s="629">
        <f t="shared" si="786"/>
        <v>1803.17</v>
      </c>
      <c r="S389" s="293">
        <f t="shared" si="749"/>
        <v>1803.17</v>
      </c>
      <c r="T389" s="629">
        <f t="shared" si="787"/>
        <v>1794.17</v>
      </c>
      <c r="U389" s="293">
        <f t="shared" si="751"/>
        <v>1794.17</v>
      </c>
      <c r="V389" s="629">
        <f t="shared" si="788"/>
        <v>1789.17</v>
      </c>
      <c r="W389" s="293">
        <f t="shared" si="753"/>
        <v>1789.17</v>
      </c>
      <c r="X389" s="652"/>
      <c r="Y389" s="653"/>
      <c r="Z389" s="653"/>
      <c r="AA389" s="654"/>
      <c r="AB389" s="420">
        <v>2327</v>
      </c>
      <c r="AC389" s="66"/>
    </row>
    <row r="390" spans="1:34" ht="12.6" customHeight="1" x14ac:dyDescent="0.2">
      <c r="A390" s="18"/>
      <c r="B390" s="646" t="s">
        <v>255</v>
      </c>
      <c r="C390" s="683"/>
      <c r="D390" s="683"/>
      <c r="E390" s="684"/>
      <c r="F390" s="393">
        <f>3.407*X2</f>
        <v>3498.989</v>
      </c>
      <c r="G390" s="294">
        <f>+F390*$X$1</f>
        <v>3498.989</v>
      </c>
      <c r="H390" s="493">
        <f>F390+500</f>
        <v>3998.989</v>
      </c>
      <c r="I390" s="294">
        <f t="shared" si="780"/>
        <v>3998.989</v>
      </c>
      <c r="J390" s="493">
        <f>F390+210</f>
        <v>3708.989</v>
      </c>
      <c r="K390" s="294">
        <f t="shared" si="782"/>
        <v>3708.989</v>
      </c>
      <c r="L390" s="493">
        <f>F390+170</f>
        <v>3668.989</v>
      </c>
      <c r="M390" s="294">
        <f t="shared" si="743"/>
        <v>3668.989</v>
      </c>
      <c r="N390" s="493">
        <f>F390+130</f>
        <v>3628.989</v>
      </c>
      <c r="O390" s="294">
        <f t="shared" si="745"/>
        <v>3628.989</v>
      </c>
      <c r="P390" s="493">
        <f>F390+100</f>
        <v>3598.989</v>
      </c>
      <c r="Q390" s="294">
        <f t="shared" si="747"/>
        <v>3598.989</v>
      </c>
      <c r="R390" s="493">
        <f>F390+80</f>
        <v>3578.989</v>
      </c>
      <c r="S390" s="294">
        <f t="shared" si="749"/>
        <v>3578.989</v>
      </c>
      <c r="T390" s="493">
        <f>F390+65</f>
        <v>3563.989</v>
      </c>
      <c r="U390" s="294">
        <f t="shared" si="751"/>
        <v>3563.989</v>
      </c>
      <c r="V390" s="493">
        <f>F390+50</f>
        <v>3548.989</v>
      </c>
      <c r="W390" s="294">
        <f t="shared" si="753"/>
        <v>3548.989</v>
      </c>
      <c r="X390" s="652"/>
      <c r="Y390" s="653"/>
      <c r="Z390" s="653"/>
      <c r="AA390" s="654"/>
      <c r="AB390" s="420">
        <v>2330</v>
      </c>
      <c r="AC390" s="66"/>
    </row>
    <row r="391" spans="1:34" ht="12.6" customHeight="1" x14ac:dyDescent="0.2">
      <c r="A391" s="105"/>
      <c r="B391" s="716" t="s">
        <v>946</v>
      </c>
      <c r="C391" s="717"/>
      <c r="D391" s="717"/>
      <c r="E391" s="718"/>
      <c r="F391" s="392">
        <f>1.3*X2</f>
        <v>1335.1000000000001</v>
      </c>
      <c r="G391" s="293">
        <f t="shared" ref="G391" si="789">+F391*$X$1</f>
        <v>1335.1000000000001</v>
      </c>
      <c r="H391" s="629">
        <f>F391+500</f>
        <v>1835.1000000000001</v>
      </c>
      <c r="I391" s="293">
        <f t="shared" ref="I391" si="790">+H391*$X$1</f>
        <v>1835.1000000000001</v>
      </c>
      <c r="J391" s="629">
        <f>F391+210</f>
        <v>1545.1000000000001</v>
      </c>
      <c r="K391" s="293">
        <f t="shared" ref="K391" si="791">+J391*$X$1</f>
        <v>1545.1000000000001</v>
      </c>
      <c r="L391" s="629">
        <f>F391+170</f>
        <v>1505.1000000000001</v>
      </c>
      <c r="M391" s="293">
        <f t="shared" ref="M391" si="792">+L391*$X$1</f>
        <v>1505.1000000000001</v>
      </c>
      <c r="N391" s="629">
        <f>F391+130</f>
        <v>1465.1000000000001</v>
      </c>
      <c r="O391" s="293">
        <f t="shared" ref="O391" si="793">+N391*$X$1</f>
        <v>1465.1000000000001</v>
      </c>
      <c r="P391" s="629">
        <f>F391+100</f>
        <v>1435.1000000000001</v>
      </c>
      <c r="Q391" s="293">
        <f t="shared" ref="Q391" si="794">+P391*$X$1</f>
        <v>1435.1000000000001</v>
      </c>
      <c r="R391" s="629">
        <f>F391+80</f>
        <v>1415.1000000000001</v>
      </c>
      <c r="S391" s="293">
        <f t="shared" ref="S391" si="795">+R391*$X$1</f>
        <v>1415.1000000000001</v>
      </c>
      <c r="T391" s="629">
        <f>F391+65</f>
        <v>1400.1000000000001</v>
      </c>
      <c r="U391" s="293">
        <f t="shared" ref="U391" si="796">+T391*$X$1</f>
        <v>1400.1000000000001</v>
      </c>
      <c r="V391" s="629">
        <f>F391+50</f>
        <v>1385.1000000000001</v>
      </c>
      <c r="W391" s="293">
        <f t="shared" ref="W391" si="797">+V391*$X$1</f>
        <v>1385.1000000000001</v>
      </c>
      <c r="X391" s="652"/>
      <c r="Y391" s="653"/>
      <c r="Z391" s="653"/>
      <c r="AA391" s="654"/>
      <c r="AB391" s="420">
        <v>2331</v>
      </c>
      <c r="AC391" s="66"/>
    </row>
    <row r="392" spans="1:34" ht="12.6" customHeight="1" x14ac:dyDescent="0.2">
      <c r="A392" s="105"/>
      <c r="B392" s="716" t="s">
        <v>938</v>
      </c>
      <c r="C392" s="717"/>
      <c r="D392" s="717"/>
      <c r="E392" s="718"/>
      <c r="F392" s="393">
        <f>5.4*X2</f>
        <v>5545.8</v>
      </c>
      <c r="G392" s="294">
        <f t="shared" ref="G392" si="798">+F392*$X$1</f>
        <v>5545.8</v>
      </c>
      <c r="H392" s="493">
        <f>F392+800</f>
        <v>6345.8</v>
      </c>
      <c r="I392" s="294">
        <f t="shared" ref="I392" si="799">+H392*$X$1</f>
        <v>6345.8</v>
      </c>
      <c r="J392" s="493">
        <f>F392+320</f>
        <v>5865.8</v>
      </c>
      <c r="K392" s="294">
        <f t="shared" ref="K392" si="800">+J392*$X$1</f>
        <v>5865.8</v>
      </c>
      <c r="L392" s="493">
        <f>F392+260</f>
        <v>5805.8</v>
      </c>
      <c r="M392" s="294">
        <f t="shared" ref="M392" si="801">+L392*$X$1</f>
        <v>5805.8</v>
      </c>
      <c r="N392" s="493">
        <f>F392+200</f>
        <v>5745.8</v>
      </c>
      <c r="O392" s="294">
        <f t="shared" ref="O392" si="802">+N392*$X$1</f>
        <v>5745.8</v>
      </c>
      <c r="P392" s="493">
        <f>F392+150</f>
        <v>5695.8</v>
      </c>
      <c r="Q392" s="294">
        <f t="shared" ref="Q392" si="803">+P392*$X$1</f>
        <v>5695.8</v>
      </c>
      <c r="R392" s="493">
        <f>F392+120</f>
        <v>5665.8</v>
      </c>
      <c r="S392" s="294">
        <f t="shared" ref="S392" si="804">+R392*$X$1</f>
        <v>5665.8</v>
      </c>
      <c r="T392" s="493">
        <f>F392+100</f>
        <v>5645.8</v>
      </c>
      <c r="U392" s="294">
        <f t="shared" ref="U392" si="805">+T392*$X$1</f>
        <v>5645.8</v>
      </c>
      <c r="V392" s="493">
        <f>F392+75</f>
        <v>5620.8</v>
      </c>
      <c r="W392" s="294">
        <f t="shared" ref="W392" si="806">+V392*$X$1</f>
        <v>5620.8</v>
      </c>
      <c r="X392" s="652"/>
      <c r="Y392" s="653"/>
      <c r="Z392" s="653"/>
      <c r="AA392" s="654"/>
      <c r="AB392" s="420">
        <v>2332</v>
      </c>
      <c r="AC392" s="66"/>
    </row>
    <row r="393" spans="1:34" ht="12.6" customHeight="1" x14ac:dyDescent="0.2">
      <c r="A393" s="105"/>
      <c r="B393" s="649" t="s">
        <v>403</v>
      </c>
      <c r="C393" s="650"/>
      <c r="D393" s="650"/>
      <c r="E393" s="651"/>
      <c r="F393" s="392">
        <f>1.26*X2</f>
        <v>1294.02</v>
      </c>
      <c r="G393" s="293">
        <f t="shared" ref="G393" si="807">+F393*$X$1</f>
        <v>1294.02</v>
      </c>
      <c r="H393" s="629">
        <f>F393+500</f>
        <v>1794.02</v>
      </c>
      <c r="I393" s="293">
        <f t="shared" si="780"/>
        <v>1794.02</v>
      </c>
      <c r="J393" s="629">
        <f>F393+210</f>
        <v>1504.02</v>
      </c>
      <c r="K393" s="293">
        <f t="shared" si="782"/>
        <v>1504.02</v>
      </c>
      <c r="L393" s="629">
        <f>F393+170</f>
        <v>1464.02</v>
      </c>
      <c r="M393" s="293">
        <f t="shared" si="743"/>
        <v>1464.02</v>
      </c>
      <c r="N393" s="629">
        <f>F393+130</f>
        <v>1424.02</v>
      </c>
      <c r="O393" s="293">
        <f t="shared" si="745"/>
        <v>1424.02</v>
      </c>
      <c r="P393" s="629">
        <f>F393+100</f>
        <v>1394.02</v>
      </c>
      <c r="Q393" s="293">
        <f t="shared" si="747"/>
        <v>1394.02</v>
      </c>
      <c r="R393" s="629">
        <f>F393+80</f>
        <v>1374.02</v>
      </c>
      <c r="S393" s="293">
        <f t="shared" si="749"/>
        <v>1374.02</v>
      </c>
      <c r="T393" s="629">
        <f>F393+65</f>
        <v>1359.02</v>
      </c>
      <c r="U393" s="293">
        <f t="shared" si="751"/>
        <v>1359.02</v>
      </c>
      <c r="V393" s="629">
        <f>F393+50</f>
        <v>1344.02</v>
      </c>
      <c r="W393" s="293">
        <f t="shared" si="753"/>
        <v>1344.02</v>
      </c>
      <c r="X393" s="652"/>
      <c r="Y393" s="653"/>
      <c r="Z393" s="653"/>
      <c r="AA393" s="654"/>
      <c r="AB393" s="420">
        <v>2334</v>
      </c>
      <c r="AC393" s="66"/>
    </row>
    <row r="394" spans="1:34" ht="12.6" customHeight="1" x14ac:dyDescent="0.2">
      <c r="A394" s="105"/>
      <c r="B394" s="732" t="s">
        <v>256</v>
      </c>
      <c r="C394" s="733"/>
      <c r="D394" s="733"/>
      <c r="E394" s="734"/>
      <c r="F394" s="396">
        <f>1.5*X2</f>
        <v>1540.5</v>
      </c>
      <c r="G394" s="328">
        <f t="shared" ref="G394" si="808">+F394*$X$1</f>
        <v>1540.5</v>
      </c>
      <c r="H394" s="493">
        <f>F394+500</f>
        <v>2040.5</v>
      </c>
      <c r="I394" s="294">
        <f t="shared" ref="I394" si="809">+H394*$X$1</f>
        <v>2040.5</v>
      </c>
      <c r="J394" s="493">
        <f>F394+210</f>
        <v>1750.5</v>
      </c>
      <c r="K394" s="294">
        <f t="shared" ref="K394" si="810">+J394*$X$1</f>
        <v>1750.5</v>
      </c>
      <c r="L394" s="493">
        <f>F394+170</f>
        <v>1710.5</v>
      </c>
      <c r="M394" s="294">
        <f t="shared" ref="M394" si="811">+L394*$X$1</f>
        <v>1710.5</v>
      </c>
      <c r="N394" s="493">
        <f>F394+130</f>
        <v>1670.5</v>
      </c>
      <c r="O394" s="294">
        <f t="shared" ref="O394" si="812">+N394*$X$1</f>
        <v>1670.5</v>
      </c>
      <c r="P394" s="493">
        <f>F394+100</f>
        <v>1640.5</v>
      </c>
      <c r="Q394" s="294">
        <f t="shared" ref="Q394" si="813">+P394*$X$1</f>
        <v>1640.5</v>
      </c>
      <c r="R394" s="493">
        <f>F394+80</f>
        <v>1620.5</v>
      </c>
      <c r="S394" s="294">
        <f t="shared" ref="S394" si="814">+R394*$X$1</f>
        <v>1620.5</v>
      </c>
      <c r="T394" s="493">
        <f>F394+65</f>
        <v>1605.5</v>
      </c>
      <c r="U394" s="294">
        <f t="shared" ref="U394" si="815">+T394*$X$1</f>
        <v>1605.5</v>
      </c>
      <c r="V394" s="493">
        <f>F394+50</f>
        <v>1590.5</v>
      </c>
      <c r="W394" s="294">
        <f t="shared" ref="W394" si="816">+V394*$X$1</f>
        <v>1590.5</v>
      </c>
      <c r="X394" s="652"/>
      <c r="Y394" s="653"/>
      <c r="Z394" s="653"/>
      <c r="AA394" s="654"/>
      <c r="AB394" s="434">
        <v>2336</v>
      </c>
      <c r="AC394" s="66"/>
    </row>
    <row r="395" spans="1:34" s="4" customFormat="1" ht="12.6" customHeight="1" x14ac:dyDescent="0.2">
      <c r="A395" s="19"/>
      <c r="B395" s="16"/>
      <c r="C395" s="12"/>
      <c r="D395" s="12"/>
      <c r="E395" s="12"/>
      <c r="F395" s="59"/>
      <c r="G395" s="14"/>
      <c r="H395" s="15"/>
      <c r="I395" s="15"/>
      <c r="J395" s="15"/>
      <c r="K395" s="15"/>
      <c r="L395" s="15"/>
      <c r="M395" s="15"/>
      <c r="N395" s="15"/>
      <c r="O395" s="15"/>
      <c r="P395" s="15"/>
      <c r="Q395" s="15"/>
      <c r="R395" s="15"/>
      <c r="S395" s="15"/>
      <c r="T395" s="15"/>
      <c r="U395" s="15"/>
      <c r="V395" s="15"/>
      <c r="W395" s="15"/>
    </row>
    <row r="396" spans="1:34" s="4" customFormat="1" ht="12.6" customHeight="1" x14ac:dyDescent="0.2">
      <c r="A396" s="19"/>
      <c r="B396" s="16"/>
      <c r="C396" s="12"/>
      <c r="D396" s="12"/>
      <c r="E396" s="12"/>
      <c r="F396" s="59"/>
      <c r="G396" s="14"/>
      <c r="H396" s="15"/>
      <c r="I396" s="15"/>
      <c r="J396" s="15"/>
      <c r="K396" s="15"/>
      <c r="L396" s="15"/>
      <c r="M396" s="15"/>
      <c r="N396" s="15"/>
      <c r="O396" s="15"/>
      <c r="P396" s="15"/>
      <c r="Q396" s="15"/>
      <c r="R396" s="15"/>
      <c r="S396" s="15"/>
      <c r="T396" s="15"/>
      <c r="U396" s="15"/>
      <c r="V396" s="15"/>
      <c r="W396" s="15"/>
    </row>
    <row r="397" spans="1:34" s="4" customFormat="1" ht="12.6" customHeight="1" x14ac:dyDescent="0.2">
      <c r="A397" s="19"/>
      <c r="B397" s="16"/>
      <c r="C397" s="12"/>
      <c r="D397" s="12"/>
      <c r="E397" s="12"/>
      <c r="F397" s="59"/>
      <c r="G397" s="14"/>
      <c r="H397" s="15"/>
      <c r="I397" s="15"/>
      <c r="J397" s="15"/>
      <c r="K397" s="15"/>
      <c r="L397" s="15"/>
      <c r="M397" s="15"/>
      <c r="N397" s="15"/>
      <c r="O397" s="15"/>
      <c r="P397" s="15"/>
      <c r="Q397" s="15"/>
      <c r="R397" s="15"/>
      <c r="S397" s="15"/>
      <c r="T397" s="15"/>
      <c r="U397" s="15"/>
      <c r="V397" s="15"/>
      <c r="W397" s="15"/>
    </row>
    <row r="398" spans="1:34" ht="15.75" customHeight="1" x14ac:dyDescent="0.2">
      <c r="A398" s="18"/>
      <c r="B398" s="740" t="s">
        <v>11</v>
      </c>
      <c r="C398" s="706" t="s">
        <v>12</v>
      </c>
      <c r="D398" s="707"/>
      <c r="E398" s="707"/>
      <c r="F398" s="708" t="s">
        <v>13</v>
      </c>
      <c r="G398" s="708" t="s">
        <v>13</v>
      </c>
      <c r="H398" s="781" t="s">
        <v>838</v>
      </c>
      <c r="I398" s="781"/>
      <c r="J398" s="782"/>
      <c r="K398" s="782"/>
      <c r="L398" s="782"/>
      <c r="M398" s="782"/>
      <c r="N398" s="782"/>
      <c r="O398" s="782"/>
      <c r="P398" s="782"/>
      <c r="Q398" s="782"/>
      <c r="R398" s="782"/>
      <c r="S398" s="782"/>
      <c r="T398" s="782"/>
      <c r="U398" s="782"/>
      <c r="V398" s="782"/>
      <c r="W398" s="782"/>
      <c r="X398" s="771" t="s">
        <v>14</v>
      </c>
      <c r="Y398" s="772"/>
      <c r="Z398" s="772"/>
      <c r="AA398" s="773"/>
      <c r="AB398" s="779" t="s">
        <v>15</v>
      </c>
      <c r="AE398" s="65"/>
      <c r="AF398" s="777" t="s">
        <v>3</v>
      </c>
      <c r="AG398" s="778"/>
      <c r="AH398" s="778"/>
    </row>
    <row r="399" spans="1:34" ht="12" customHeight="1" x14ac:dyDescent="0.2">
      <c r="A399" s="18"/>
      <c r="B399" s="740"/>
      <c r="C399" s="707"/>
      <c r="D399" s="707"/>
      <c r="E399" s="707"/>
      <c r="F399" s="709"/>
      <c r="G399" s="709"/>
      <c r="H399" s="518"/>
      <c r="I399" s="510" t="s">
        <v>295</v>
      </c>
      <c r="J399" s="512"/>
      <c r="K399" s="510" t="s">
        <v>17</v>
      </c>
      <c r="L399" s="513"/>
      <c r="M399" s="513" t="s">
        <v>18</v>
      </c>
      <c r="N399" s="513"/>
      <c r="O399" s="510" t="s">
        <v>19</v>
      </c>
      <c r="P399" s="513"/>
      <c r="Q399" s="513" t="s">
        <v>297</v>
      </c>
      <c r="R399" s="513"/>
      <c r="S399" s="513" t="s">
        <v>20</v>
      </c>
      <c r="T399" s="513"/>
      <c r="U399" s="513" t="s">
        <v>21</v>
      </c>
      <c r="V399" s="513"/>
      <c r="W399" s="513" t="s">
        <v>22</v>
      </c>
      <c r="X399" s="774"/>
      <c r="Y399" s="775"/>
      <c r="Z399" s="775"/>
      <c r="AA399" s="776"/>
      <c r="AB399" s="780"/>
    </row>
    <row r="400" spans="1:34" ht="12.6" customHeight="1" x14ac:dyDescent="0.2">
      <c r="A400" s="18"/>
      <c r="B400" s="646" t="s">
        <v>257</v>
      </c>
      <c r="C400" s="647"/>
      <c r="D400" s="647"/>
      <c r="E400" s="648"/>
      <c r="F400" s="393">
        <f>1.4*X2</f>
        <v>1437.8</v>
      </c>
      <c r="G400" s="294">
        <f>+F400*$X$1</f>
        <v>1437.8</v>
      </c>
      <c r="H400" s="101">
        <f>F400+360</f>
        <v>1797.8</v>
      </c>
      <c r="I400" s="294">
        <f>+H400*$X$1</f>
        <v>1797.8</v>
      </c>
      <c r="J400" s="493">
        <f>F400+180</f>
        <v>1617.8</v>
      </c>
      <c r="K400" s="294">
        <f>+J400*$X$1</f>
        <v>1617.8</v>
      </c>
      <c r="L400" s="493">
        <f>F400+120</f>
        <v>1557.8</v>
      </c>
      <c r="M400" s="294">
        <f>+L400*$X$1</f>
        <v>1557.8</v>
      </c>
      <c r="N400" s="493">
        <f>F400+61</f>
        <v>1498.8</v>
      </c>
      <c r="O400" s="294">
        <f>+N400*$X$1</f>
        <v>1498.8</v>
      </c>
      <c r="P400" s="493">
        <f>F400+54</f>
        <v>1491.8</v>
      </c>
      <c r="Q400" s="294">
        <f>+P400*$X$1</f>
        <v>1491.8</v>
      </c>
      <c r="R400" s="493">
        <f>F400+47</f>
        <v>1484.8</v>
      </c>
      <c r="S400" s="294">
        <f>+R400*$X$1</f>
        <v>1484.8</v>
      </c>
      <c r="T400" s="493">
        <f>F400+38</f>
        <v>1475.8</v>
      </c>
      <c r="U400" s="294">
        <f>+T400*$X$1</f>
        <v>1475.8</v>
      </c>
      <c r="V400" s="493">
        <f>F400+33</f>
        <v>1470.8</v>
      </c>
      <c r="W400" s="294">
        <f>+V400*$X$1</f>
        <v>1470.8</v>
      </c>
      <c r="X400" s="652"/>
      <c r="Y400" s="653"/>
      <c r="Z400" s="653"/>
      <c r="AA400" s="654"/>
      <c r="AB400" s="420">
        <v>2337</v>
      </c>
      <c r="AC400" s="66"/>
    </row>
    <row r="401" spans="1:29" ht="12.6" customHeight="1" x14ac:dyDescent="0.2">
      <c r="A401" s="18"/>
      <c r="B401" s="649" t="s">
        <v>258</v>
      </c>
      <c r="C401" s="650"/>
      <c r="D401" s="650"/>
      <c r="E401" s="651"/>
      <c r="F401" s="392">
        <f>1.85*X2</f>
        <v>1899.95</v>
      </c>
      <c r="G401" s="293">
        <f t="shared" ref="G401" si="817">+F401*$X$1</f>
        <v>1899.95</v>
      </c>
      <c r="H401" s="407">
        <f>F401+360</f>
        <v>2259.9499999999998</v>
      </c>
      <c r="I401" s="293">
        <f>+H401*$X$1</f>
        <v>2259.9499999999998</v>
      </c>
      <c r="J401" s="629">
        <f>F401+180</f>
        <v>2079.9499999999998</v>
      </c>
      <c r="K401" s="293">
        <f>+J401*$X$1</f>
        <v>2079.9499999999998</v>
      </c>
      <c r="L401" s="629">
        <f>F401+120</f>
        <v>2019.95</v>
      </c>
      <c r="M401" s="293">
        <f>+L401*$X$1</f>
        <v>2019.95</v>
      </c>
      <c r="N401" s="629">
        <f>F401+61</f>
        <v>1960.95</v>
      </c>
      <c r="O401" s="293">
        <f>+N401*$X$1</f>
        <v>1960.95</v>
      </c>
      <c r="P401" s="629">
        <f>F401+54</f>
        <v>1953.95</v>
      </c>
      <c r="Q401" s="293">
        <f>+P401*$X$1</f>
        <v>1953.95</v>
      </c>
      <c r="R401" s="629">
        <f>F401+47</f>
        <v>1946.95</v>
      </c>
      <c r="S401" s="293">
        <f>+R401*$X$1</f>
        <v>1946.95</v>
      </c>
      <c r="T401" s="629">
        <f>F401+38</f>
        <v>1937.95</v>
      </c>
      <c r="U401" s="293">
        <f>+T401*$X$1</f>
        <v>1937.95</v>
      </c>
      <c r="V401" s="629">
        <f>F401+33</f>
        <v>1932.95</v>
      </c>
      <c r="W401" s="293">
        <f>+V401*$X$1</f>
        <v>1932.95</v>
      </c>
      <c r="X401" s="652"/>
      <c r="Y401" s="653"/>
      <c r="Z401" s="653"/>
      <c r="AA401" s="654"/>
      <c r="AB401" s="420">
        <v>2338</v>
      </c>
      <c r="AC401" s="66"/>
    </row>
    <row r="402" spans="1:29" ht="12.6" customHeight="1" x14ac:dyDescent="0.2">
      <c r="A402" s="18"/>
      <c r="B402" s="646" t="s">
        <v>339</v>
      </c>
      <c r="C402" s="647"/>
      <c r="D402" s="647"/>
      <c r="E402" s="648"/>
      <c r="F402" s="398">
        <f>1.4*X2</f>
        <v>1437.8</v>
      </c>
      <c r="G402" s="294">
        <f>+F402*$X$1</f>
        <v>1437.8</v>
      </c>
      <c r="H402" s="101">
        <f>F402+360</f>
        <v>1797.8</v>
      </c>
      <c r="I402" s="294">
        <f>+H402*$X$1</f>
        <v>1797.8</v>
      </c>
      <c r="J402" s="493">
        <f>F402+180</f>
        <v>1617.8</v>
      </c>
      <c r="K402" s="294">
        <f>+J402*$X$1</f>
        <v>1617.8</v>
      </c>
      <c r="L402" s="493">
        <f>F402+120</f>
        <v>1557.8</v>
      </c>
      <c r="M402" s="294">
        <f>+L402*$X$1</f>
        <v>1557.8</v>
      </c>
      <c r="N402" s="493">
        <f>F402+61</f>
        <v>1498.8</v>
      </c>
      <c r="O402" s="294">
        <f>+N402*$X$1</f>
        <v>1498.8</v>
      </c>
      <c r="P402" s="493">
        <f>F402+54</f>
        <v>1491.8</v>
      </c>
      <c r="Q402" s="294">
        <f>+P402*$X$1</f>
        <v>1491.8</v>
      </c>
      <c r="R402" s="493">
        <f>F402+47</f>
        <v>1484.8</v>
      </c>
      <c r="S402" s="294">
        <f>+R402*$X$1</f>
        <v>1484.8</v>
      </c>
      <c r="T402" s="493">
        <f>F402+38</f>
        <v>1475.8</v>
      </c>
      <c r="U402" s="294">
        <f>+T402*$X$1</f>
        <v>1475.8</v>
      </c>
      <c r="V402" s="493">
        <f>F402+33</f>
        <v>1470.8</v>
      </c>
      <c r="W402" s="294">
        <f>+V402*$X$1</f>
        <v>1470.8</v>
      </c>
      <c r="X402" s="178"/>
      <c r="Y402" s="181"/>
      <c r="Z402" s="181"/>
      <c r="AA402" s="180"/>
      <c r="AB402" s="420">
        <v>2340</v>
      </c>
      <c r="AC402" s="66"/>
    </row>
    <row r="403" spans="1:29" ht="12.6" customHeight="1" x14ac:dyDescent="0.2">
      <c r="A403" s="18"/>
      <c r="B403" s="649" t="s">
        <v>728</v>
      </c>
      <c r="C403" s="650"/>
      <c r="D403" s="650"/>
      <c r="E403" s="651"/>
      <c r="F403" s="392">
        <f>12.48*X2</f>
        <v>12816.960000000001</v>
      </c>
      <c r="G403" s="293">
        <f t="shared" ref="G403" si="818">+F403*$X$1</f>
        <v>12816.960000000001</v>
      </c>
      <c r="H403" s="407">
        <f>F403+360</f>
        <v>13176.960000000001</v>
      </c>
      <c r="I403" s="293">
        <f>+H403*$X$1</f>
        <v>13176.960000000001</v>
      </c>
      <c r="J403" s="629">
        <f>F403+180</f>
        <v>12996.960000000001</v>
      </c>
      <c r="K403" s="293">
        <f>+J403*$X$1</f>
        <v>12996.960000000001</v>
      </c>
      <c r="L403" s="629">
        <f>F403+120</f>
        <v>12936.960000000001</v>
      </c>
      <c r="M403" s="293">
        <f>+L403*$X$1</f>
        <v>12936.960000000001</v>
      </c>
      <c r="N403" s="629">
        <f>F403+61</f>
        <v>12877.960000000001</v>
      </c>
      <c r="O403" s="293">
        <f>+N403*$X$1</f>
        <v>12877.960000000001</v>
      </c>
      <c r="P403" s="629">
        <f>F403+54</f>
        <v>12870.960000000001</v>
      </c>
      <c r="Q403" s="293">
        <f>+P403*$X$1</f>
        <v>12870.960000000001</v>
      </c>
      <c r="R403" s="629">
        <f>F403+47</f>
        <v>12863.960000000001</v>
      </c>
      <c r="S403" s="293">
        <f>+R403*$X$1</f>
        <v>12863.960000000001</v>
      </c>
      <c r="T403" s="629">
        <f>F403+38</f>
        <v>12854.960000000001</v>
      </c>
      <c r="U403" s="293">
        <f>+T403*$X$1</f>
        <v>12854.960000000001</v>
      </c>
      <c r="V403" s="629">
        <f>F403+33</f>
        <v>12849.960000000001</v>
      </c>
      <c r="W403" s="293">
        <f>+V403*$X$1</f>
        <v>12849.960000000001</v>
      </c>
      <c r="X403" s="469"/>
      <c r="Y403" s="470"/>
      <c r="Z403" s="470"/>
      <c r="AA403" s="471"/>
      <c r="AB403" s="420">
        <v>2342</v>
      </c>
      <c r="AC403" s="66"/>
    </row>
    <row r="404" spans="1:29" ht="12.6" customHeight="1" x14ac:dyDescent="0.2">
      <c r="A404" s="18"/>
      <c r="B404" s="646" t="s">
        <v>727</v>
      </c>
      <c r="C404" s="647"/>
      <c r="D404" s="647"/>
      <c r="E404" s="648"/>
      <c r="F404" s="393">
        <f>15.6*X2</f>
        <v>16021.199999999999</v>
      </c>
      <c r="G404" s="294">
        <f t="shared" ref="G404" si="819">+F404*$X$1</f>
        <v>16021.199999999999</v>
      </c>
      <c r="H404" s="101">
        <f>F404+360</f>
        <v>16381.199999999999</v>
      </c>
      <c r="I404" s="294">
        <f>+H404*$X$1</f>
        <v>16381.199999999999</v>
      </c>
      <c r="J404" s="493">
        <f>F404+180</f>
        <v>16201.199999999999</v>
      </c>
      <c r="K404" s="294">
        <f>+J404*$X$1</f>
        <v>16201.199999999999</v>
      </c>
      <c r="L404" s="493">
        <f>F404+120</f>
        <v>16141.199999999999</v>
      </c>
      <c r="M404" s="294">
        <f>+L404*$X$1</f>
        <v>16141.199999999999</v>
      </c>
      <c r="N404" s="493">
        <f>F404+61</f>
        <v>16082.199999999999</v>
      </c>
      <c r="O404" s="294">
        <f>+N404*$X$1</f>
        <v>16082.199999999999</v>
      </c>
      <c r="P404" s="493">
        <f>F404+54</f>
        <v>16075.199999999999</v>
      </c>
      <c r="Q404" s="294">
        <f>+P404*$X$1</f>
        <v>16075.199999999999</v>
      </c>
      <c r="R404" s="493">
        <f>F404+47</f>
        <v>16068.199999999999</v>
      </c>
      <c r="S404" s="294">
        <f>+R404*$X$1</f>
        <v>16068.199999999999</v>
      </c>
      <c r="T404" s="493">
        <f t="shared" ref="T404:T409" si="820">F404+38</f>
        <v>16059.199999999999</v>
      </c>
      <c r="U404" s="294">
        <f>+T404*$X$1</f>
        <v>16059.199999999999</v>
      </c>
      <c r="V404" s="493">
        <f t="shared" ref="V404:V409" si="821">F404+33</f>
        <v>16054.199999999999</v>
      </c>
      <c r="W404" s="294">
        <f>+V404*$X$1</f>
        <v>16054.199999999999</v>
      </c>
      <c r="X404" s="469"/>
      <c r="Y404" s="470"/>
      <c r="Z404" s="470"/>
      <c r="AA404" s="471"/>
      <c r="AB404" s="420">
        <v>2343</v>
      </c>
      <c r="AC404" s="66"/>
    </row>
    <row r="405" spans="1:29" ht="12.6" customHeight="1" x14ac:dyDescent="0.2">
      <c r="A405" s="18"/>
      <c r="B405" s="716" t="s">
        <v>881</v>
      </c>
      <c r="C405" s="717"/>
      <c r="D405" s="717"/>
      <c r="E405" s="718"/>
      <c r="F405" s="392">
        <f>9.5*X2</f>
        <v>9756.5</v>
      </c>
      <c r="G405" s="293">
        <f>+F405*$X$1</f>
        <v>9756.5</v>
      </c>
      <c r="H405" s="629">
        <f>F405+360</f>
        <v>10116.5</v>
      </c>
      <c r="I405" s="293">
        <f>+H405*$X$1</f>
        <v>10116.5</v>
      </c>
      <c r="J405" s="629">
        <f>F405+180</f>
        <v>9936.5</v>
      </c>
      <c r="K405" s="293">
        <f>+J405*$X$1</f>
        <v>9936.5</v>
      </c>
      <c r="L405" s="629">
        <f>F405+120</f>
        <v>9876.5</v>
      </c>
      <c r="M405" s="293">
        <f>+L405*$X$1</f>
        <v>9876.5</v>
      </c>
      <c r="N405" s="629">
        <f>F405+61</f>
        <v>9817.5</v>
      </c>
      <c r="O405" s="293">
        <f>+N405*$X$1</f>
        <v>9817.5</v>
      </c>
      <c r="P405" s="629">
        <f>F405+54</f>
        <v>9810.5</v>
      </c>
      <c r="Q405" s="293">
        <f>+P405*$X$1</f>
        <v>9810.5</v>
      </c>
      <c r="R405" s="629">
        <f>F405+47</f>
        <v>9803.5</v>
      </c>
      <c r="S405" s="293">
        <f>+R405*$X$1</f>
        <v>9803.5</v>
      </c>
      <c r="T405" s="629">
        <f t="shared" si="820"/>
        <v>9794.5</v>
      </c>
      <c r="U405" s="293">
        <f>+T405*$X$1</f>
        <v>9794.5</v>
      </c>
      <c r="V405" s="629">
        <f t="shared" si="821"/>
        <v>9789.5</v>
      </c>
      <c r="W405" s="293">
        <f>+V405*$X$1</f>
        <v>9789.5</v>
      </c>
      <c r="X405" s="554"/>
      <c r="Y405" s="555"/>
      <c r="Z405" s="555"/>
      <c r="AA405" s="556"/>
      <c r="AB405" s="420" t="s">
        <v>882</v>
      </c>
      <c r="AC405" s="66"/>
    </row>
    <row r="406" spans="1:29" ht="12.6" customHeight="1" x14ac:dyDescent="0.2">
      <c r="A406" s="18"/>
      <c r="B406" s="646" t="s">
        <v>457</v>
      </c>
      <c r="C406" s="647"/>
      <c r="D406" s="647"/>
      <c r="E406" s="648"/>
      <c r="F406" s="393">
        <f>8.48*X2</f>
        <v>8708.9600000000009</v>
      </c>
      <c r="G406" s="294">
        <f t="shared" ref="G406" si="822">+F406*$X$1</f>
        <v>8708.9600000000009</v>
      </c>
      <c r="H406" s="493">
        <f t="shared" ref="H406:H411" si="823">F406+360</f>
        <v>9068.9600000000009</v>
      </c>
      <c r="I406" s="294">
        <f t="shared" ref="I406:I411" si="824">+H406*$X$1</f>
        <v>9068.9600000000009</v>
      </c>
      <c r="J406" s="493">
        <f t="shared" ref="J406:J411" si="825">F406+180</f>
        <v>8888.9600000000009</v>
      </c>
      <c r="K406" s="294">
        <f t="shared" ref="K406:K410" si="826">+J406*$X$1</f>
        <v>8888.9600000000009</v>
      </c>
      <c r="L406" s="493">
        <f t="shared" ref="L406:L411" si="827">F406+120</f>
        <v>8828.9600000000009</v>
      </c>
      <c r="M406" s="294">
        <f t="shared" ref="M406:M410" si="828">+L406*$X$1</f>
        <v>8828.9600000000009</v>
      </c>
      <c r="N406" s="493">
        <f t="shared" ref="N406:N411" si="829">F406+61</f>
        <v>8769.9600000000009</v>
      </c>
      <c r="O406" s="294">
        <f t="shared" ref="O406:O410" si="830">+N406*$X$1</f>
        <v>8769.9600000000009</v>
      </c>
      <c r="P406" s="493">
        <f t="shared" ref="P406:P411" si="831">F406+54</f>
        <v>8762.9600000000009</v>
      </c>
      <c r="Q406" s="294">
        <f t="shared" ref="Q406:Q410" si="832">+P406*$X$1</f>
        <v>8762.9600000000009</v>
      </c>
      <c r="R406" s="493">
        <f t="shared" ref="R406:R411" si="833">F406+47</f>
        <v>8755.9600000000009</v>
      </c>
      <c r="S406" s="294">
        <f t="shared" ref="S406:S410" si="834">+R406*$X$1</f>
        <v>8755.9600000000009</v>
      </c>
      <c r="T406" s="493">
        <f t="shared" si="820"/>
        <v>8746.9600000000009</v>
      </c>
      <c r="U406" s="294">
        <f t="shared" ref="U406:U409" si="835">+T406*$X$1</f>
        <v>8746.9600000000009</v>
      </c>
      <c r="V406" s="493">
        <f t="shared" si="821"/>
        <v>8741.9600000000009</v>
      </c>
      <c r="W406" s="294">
        <f t="shared" ref="W406:W409" si="836">+V406*$X$1</f>
        <v>8741.9600000000009</v>
      </c>
      <c r="X406" s="244"/>
      <c r="Y406" s="242"/>
      <c r="Z406" s="242"/>
      <c r="AA406" s="243"/>
      <c r="AB406" s="420">
        <v>2346</v>
      </c>
      <c r="AC406" s="66"/>
    </row>
    <row r="407" spans="1:29" ht="12.6" customHeight="1" x14ac:dyDescent="0.2">
      <c r="A407" s="18"/>
      <c r="B407" s="649" t="s">
        <v>729</v>
      </c>
      <c r="C407" s="650"/>
      <c r="D407" s="650"/>
      <c r="E407" s="651"/>
      <c r="F407" s="392">
        <f>11.84*X2</f>
        <v>12159.68</v>
      </c>
      <c r="G407" s="293">
        <f t="shared" ref="G407" si="837">+F407*$X$1</f>
        <v>12159.68</v>
      </c>
      <c r="H407" s="629">
        <f t="shared" si="823"/>
        <v>12519.68</v>
      </c>
      <c r="I407" s="293">
        <f t="shared" si="824"/>
        <v>12519.68</v>
      </c>
      <c r="J407" s="629">
        <f t="shared" si="825"/>
        <v>12339.68</v>
      </c>
      <c r="K407" s="293">
        <f t="shared" si="826"/>
        <v>12339.68</v>
      </c>
      <c r="L407" s="629">
        <f t="shared" si="827"/>
        <v>12279.68</v>
      </c>
      <c r="M407" s="293">
        <f t="shared" si="828"/>
        <v>12279.68</v>
      </c>
      <c r="N407" s="629">
        <f t="shared" si="829"/>
        <v>12220.68</v>
      </c>
      <c r="O407" s="293">
        <f t="shared" si="830"/>
        <v>12220.68</v>
      </c>
      <c r="P407" s="629">
        <f t="shared" si="831"/>
        <v>12213.68</v>
      </c>
      <c r="Q407" s="293">
        <f t="shared" si="832"/>
        <v>12213.68</v>
      </c>
      <c r="R407" s="629">
        <f t="shared" si="833"/>
        <v>12206.68</v>
      </c>
      <c r="S407" s="293">
        <f t="shared" si="834"/>
        <v>12206.68</v>
      </c>
      <c r="T407" s="629">
        <f t="shared" si="820"/>
        <v>12197.68</v>
      </c>
      <c r="U407" s="293">
        <f t="shared" si="835"/>
        <v>12197.68</v>
      </c>
      <c r="V407" s="629">
        <f t="shared" si="821"/>
        <v>12192.68</v>
      </c>
      <c r="W407" s="293">
        <f t="shared" si="836"/>
        <v>12192.68</v>
      </c>
      <c r="X407" s="469"/>
      <c r="Y407" s="470"/>
      <c r="Z407" s="470"/>
      <c r="AA407" s="471"/>
      <c r="AB407" s="420" t="s">
        <v>738</v>
      </c>
      <c r="AC407" s="66"/>
    </row>
    <row r="408" spans="1:29" ht="12.6" customHeight="1" x14ac:dyDescent="0.2">
      <c r="A408" s="18"/>
      <c r="B408" s="646" t="s">
        <v>730</v>
      </c>
      <c r="C408" s="647"/>
      <c r="D408" s="647"/>
      <c r="E408" s="648"/>
      <c r="F408" s="393">
        <f>12.63*X2</f>
        <v>12971.01</v>
      </c>
      <c r="G408" s="294">
        <f t="shared" ref="G408" si="838">+F408*$X$1</f>
        <v>12971.01</v>
      </c>
      <c r="H408" s="493">
        <f t="shared" si="823"/>
        <v>13331.01</v>
      </c>
      <c r="I408" s="294">
        <f t="shared" si="824"/>
        <v>13331.01</v>
      </c>
      <c r="J408" s="493">
        <f t="shared" si="825"/>
        <v>13151.01</v>
      </c>
      <c r="K408" s="294">
        <f t="shared" si="826"/>
        <v>13151.01</v>
      </c>
      <c r="L408" s="493">
        <f t="shared" si="827"/>
        <v>13091.01</v>
      </c>
      <c r="M408" s="294">
        <f t="shared" si="828"/>
        <v>13091.01</v>
      </c>
      <c r="N408" s="493">
        <f t="shared" si="829"/>
        <v>13032.01</v>
      </c>
      <c r="O408" s="294">
        <f t="shared" si="830"/>
        <v>13032.01</v>
      </c>
      <c r="P408" s="493">
        <f t="shared" si="831"/>
        <v>13025.01</v>
      </c>
      <c r="Q408" s="294">
        <f t="shared" si="832"/>
        <v>13025.01</v>
      </c>
      <c r="R408" s="493">
        <f t="shared" si="833"/>
        <v>13018.01</v>
      </c>
      <c r="S408" s="294">
        <f t="shared" si="834"/>
        <v>13018.01</v>
      </c>
      <c r="T408" s="493">
        <f t="shared" si="820"/>
        <v>13009.01</v>
      </c>
      <c r="U408" s="294">
        <f t="shared" si="835"/>
        <v>13009.01</v>
      </c>
      <c r="V408" s="493">
        <f t="shared" si="821"/>
        <v>13004.01</v>
      </c>
      <c r="W408" s="294">
        <f t="shared" si="836"/>
        <v>13004.01</v>
      </c>
      <c r="X408" s="469"/>
      <c r="Y408" s="470"/>
      <c r="Z408" s="470"/>
      <c r="AA408" s="471"/>
      <c r="AB408" s="420" t="s">
        <v>789</v>
      </c>
      <c r="AC408" s="66"/>
    </row>
    <row r="409" spans="1:29" ht="12.6" customHeight="1" x14ac:dyDescent="0.2">
      <c r="A409" s="18"/>
      <c r="B409" s="649" t="s">
        <v>611</v>
      </c>
      <c r="C409" s="650"/>
      <c r="D409" s="650"/>
      <c r="E409" s="651"/>
      <c r="F409" s="392">
        <f>2.56*X2</f>
        <v>2629.12</v>
      </c>
      <c r="G409" s="293">
        <f t="shared" ref="G409" si="839">+F409*$X$1</f>
        <v>2629.12</v>
      </c>
      <c r="H409" s="629">
        <f t="shared" si="823"/>
        <v>2989.12</v>
      </c>
      <c r="I409" s="293">
        <f t="shared" si="824"/>
        <v>2989.12</v>
      </c>
      <c r="J409" s="629">
        <f t="shared" si="825"/>
        <v>2809.12</v>
      </c>
      <c r="K409" s="293">
        <f t="shared" si="826"/>
        <v>2809.12</v>
      </c>
      <c r="L409" s="629">
        <f t="shared" si="827"/>
        <v>2749.12</v>
      </c>
      <c r="M409" s="293">
        <f t="shared" si="828"/>
        <v>2749.12</v>
      </c>
      <c r="N409" s="629">
        <f t="shared" si="829"/>
        <v>2690.12</v>
      </c>
      <c r="O409" s="293">
        <f t="shared" si="830"/>
        <v>2690.12</v>
      </c>
      <c r="P409" s="629">
        <f t="shared" si="831"/>
        <v>2683.12</v>
      </c>
      <c r="Q409" s="293">
        <f t="shared" si="832"/>
        <v>2683.12</v>
      </c>
      <c r="R409" s="629">
        <f t="shared" si="833"/>
        <v>2676.12</v>
      </c>
      <c r="S409" s="293">
        <f t="shared" si="834"/>
        <v>2676.12</v>
      </c>
      <c r="T409" s="629">
        <f t="shared" si="820"/>
        <v>2667.12</v>
      </c>
      <c r="U409" s="293">
        <f t="shared" si="835"/>
        <v>2667.12</v>
      </c>
      <c r="V409" s="629">
        <f t="shared" si="821"/>
        <v>2662.12</v>
      </c>
      <c r="W409" s="293">
        <f t="shared" si="836"/>
        <v>2662.12</v>
      </c>
      <c r="X409" s="386"/>
      <c r="Y409" s="387"/>
      <c r="Z409" s="387"/>
      <c r="AA409" s="388"/>
      <c r="AB409" s="420">
        <v>2350</v>
      </c>
      <c r="AC409" s="66"/>
    </row>
    <row r="410" spans="1:29" ht="12.6" customHeight="1" x14ac:dyDescent="0.2">
      <c r="A410" s="18"/>
      <c r="B410" s="646" t="s">
        <v>698</v>
      </c>
      <c r="C410" s="647"/>
      <c r="D410" s="647"/>
      <c r="E410" s="648"/>
      <c r="F410" s="393">
        <f>3.3*X2</f>
        <v>3389.1</v>
      </c>
      <c r="G410" s="294">
        <f t="shared" ref="G410" si="840">+F410*$X$1</f>
        <v>3389.1</v>
      </c>
      <c r="H410" s="493">
        <f t="shared" si="823"/>
        <v>3749.1</v>
      </c>
      <c r="I410" s="294">
        <f t="shared" si="824"/>
        <v>3749.1</v>
      </c>
      <c r="J410" s="493">
        <f t="shared" si="825"/>
        <v>3569.1</v>
      </c>
      <c r="K410" s="294">
        <f t="shared" si="826"/>
        <v>3569.1</v>
      </c>
      <c r="L410" s="493">
        <f t="shared" si="827"/>
        <v>3509.1</v>
      </c>
      <c r="M410" s="294">
        <f t="shared" si="828"/>
        <v>3509.1</v>
      </c>
      <c r="N410" s="493">
        <f t="shared" si="829"/>
        <v>3450.1</v>
      </c>
      <c r="O410" s="294">
        <f t="shared" si="830"/>
        <v>3450.1</v>
      </c>
      <c r="P410" s="493">
        <f t="shared" si="831"/>
        <v>3443.1</v>
      </c>
      <c r="Q410" s="294">
        <f t="shared" si="832"/>
        <v>3443.1</v>
      </c>
      <c r="R410" s="493">
        <f t="shared" si="833"/>
        <v>3436.1</v>
      </c>
      <c r="S410" s="294">
        <f t="shared" si="834"/>
        <v>3436.1</v>
      </c>
      <c r="T410" s="493"/>
      <c r="U410" s="294"/>
      <c r="V410" s="493"/>
      <c r="W410" s="294"/>
      <c r="X410" s="453"/>
      <c r="Y410" s="454"/>
      <c r="Z410" s="454"/>
      <c r="AA410" s="455"/>
      <c r="AB410" s="420">
        <v>2351</v>
      </c>
      <c r="AC410" s="66"/>
    </row>
    <row r="411" spans="1:29" ht="12.6" customHeight="1" x14ac:dyDescent="0.2">
      <c r="A411" s="18"/>
      <c r="B411" s="649" t="s">
        <v>711</v>
      </c>
      <c r="C411" s="650"/>
      <c r="D411" s="650"/>
      <c r="E411" s="651"/>
      <c r="F411" s="392">
        <f>1.59*X2</f>
        <v>1632.93</v>
      </c>
      <c r="G411" s="293">
        <f t="shared" ref="G411" si="841">+F411*$X$1</f>
        <v>1632.93</v>
      </c>
      <c r="H411" s="629">
        <f t="shared" si="823"/>
        <v>1992.93</v>
      </c>
      <c r="I411" s="293">
        <f t="shared" si="824"/>
        <v>1992.93</v>
      </c>
      <c r="J411" s="629">
        <f t="shared" si="825"/>
        <v>1812.93</v>
      </c>
      <c r="K411" s="293">
        <f t="shared" ref="K411" si="842">+J411*$X$1</f>
        <v>1812.93</v>
      </c>
      <c r="L411" s="629">
        <f t="shared" si="827"/>
        <v>1752.93</v>
      </c>
      <c r="M411" s="293">
        <f t="shared" ref="M411" si="843">+L411*$X$1</f>
        <v>1752.93</v>
      </c>
      <c r="N411" s="629">
        <f t="shared" si="829"/>
        <v>1693.93</v>
      </c>
      <c r="O411" s="293">
        <f t="shared" ref="O411" si="844">+N411*$X$1</f>
        <v>1693.93</v>
      </c>
      <c r="P411" s="629">
        <f t="shared" si="831"/>
        <v>1686.93</v>
      </c>
      <c r="Q411" s="293">
        <f t="shared" ref="Q411" si="845">+P411*$X$1</f>
        <v>1686.93</v>
      </c>
      <c r="R411" s="629">
        <f t="shared" si="833"/>
        <v>1679.93</v>
      </c>
      <c r="S411" s="293">
        <f t="shared" ref="S411" si="846">+R411*$X$1</f>
        <v>1679.93</v>
      </c>
      <c r="T411" s="629">
        <f>F411+38</f>
        <v>1670.93</v>
      </c>
      <c r="U411" s="293">
        <f t="shared" ref="U411" si="847">+T411*$X$1</f>
        <v>1670.93</v>
      </c>
      <c r="V411" s="629">
        <f>F411+33</f>
        <v>1665.93</v>
      </c>
      <c r="W411" s="293">
        <f t="shared" ref="W411" si="848">+V411*$X$1</f>
        <v>1665.93</v>
      </c>
      <c r="X411" s="459"/>
      <c r="Y411" s="460"/>
      <c r="Z411" s="460"/>
      <c r="AA411" s="461"/>
      <c r="AB411" s="420">
        <v>2352</v>
      </c>
      <c r="AC411" s="66"/>
    </row>
    <row r="412" spans="1:29" ht="12.6" customHeight="1" x14ac:dyDescent="0.2">
      <c r="A412" s="18"/>
      <c r="B412" s="716" t="s">
        <v>947</v>
      </c>
      <c r="C412" s="717"/>
      <c r="D412" s="717"/>
      <c r="E412" s="718"/>
      <c r="F412" s="393">
        <f>1.48*X2</f>
        <v>1519.96</v>
      </c>
      <c r="G412" s="294">
        <f t="shared" ref="G412" si="849">+F412*$X$1</f>
        <v>1519.96</v>
      </c>
      <c r="H412" s="493">
        <f t="shared" ref="H412" si="850">F412+360</f>
        <v>1879.96</v>
      </c>
      <c r="I412" s="294">
        <f t="shared" ref="I412" si="851">+H412*$X$1</f>
        <v>1879.96</v>
      </c>
      <c r="J412" s="493">
        <f t="shared" ref="J412" si="852">F412+180</f>
        <v>1699.96</v>
      </c>
      <c r="K412" s="294">
        <f t="shared" ref="K412" si="853">+J412*$X$1</f>
        <v>1699.96</v>
      </c>
      <c r="L412" s="493">
        <f t="shared" ref="L412" si="854">F412+120</f>
        <v>1639.96</v>
      </c>
      <c r="M412" s="294">
        <f t="shared" ref="M412" si="855">+L412*$X$1</f>
        <v>1639.96</v>
      </c>
      <c r="N412" s="493">
        <f t="shared" ref="N412" si="856">F412+61</f>
        <v>1580.96</v>
      </c>
      <c r="O412" s="294">
        <f t="shared" ref="O412" si="857">+N412*$X$1</f>
        <v>1580.96</v>
      </c>
      <c r="P412" s="493">
        <f t="shared" ref="P412" si="858">F412+54</f>
        <v>1573.96</v>
      </c>
      <c r="Q412" s="294">
        <f t="shared" ref="Q412" si="859">+P412*$X$1</f>
        <v>1573.96</v>
      </c>
      <c r="R412" s="493">
        <f t="shared" ref="R412" si="860">F412+47</f>
        <v>1566.96</v>
      </c>
      <c r="S412" s="294">
        <f t="shared" ref="S412" si="861">+R412*$X$1</f>
        <v>1566.96</v>
      </c>
      <c r="T412" s="493">
        <f>F412+38</f>
        <v>1557.96</v>
      </c>
      <c r="U412" s="294">
        <f t="shared" ref="U412" si="862">+T412*$X$1</f>
        <v>1557.96</v>
      </c>
      <c r="V412" s="493">
        <f>F412+33</f>
        <v>1552.96</v>
      </c>
      <c r="W412" s="294">
        <f t="shared" ref="W412" si="863">+V412*$X$1</f>
        <v>1552.96</v>
      </c>
      <c r="X412" s="627"/>
      <c r="Y412" s="625"/>
      <c r="Z412" s="625"/>
      <c r="AA412" s="626"/>
      <c r="AB412" s="420">
        <v>2353</v>
      </c>
      <c r="AC412" s="66"/>
    </row>
    <row r="413" spans="1:29" ht="12.6" customHeight="1" x14ac:dyDescent="0.2">
      <c r="A413" s="18"/>
      <c r="B413" s="649" t="s">
        <v>860</v>
      </c>
      <c r="C413" s="650"/>
      <c r="D413" s="650"/>
      <c r="E413" s="651"/>
      <c r="F413" s="293">
        <f>3.463*X2</f>
        <v>3556.5010000000002</v>
      </c>
      <c r="G413" s="293">
        <f>+F413*$X$1</f>
        <v>3556.5010000000002</v>
      </c>
      <c r="H413" s="623">
        <f>F413+450</f>
        <v>4006.5010000000002</v>
      </c>
      <c r="I413" s="293">
        <f t="shared" ref="I413" si="864">+H413*$X$1</f>
        <v>4006.5010000000002</v>
      </c>
      <c r="J413" s="623">
        <f>F413+200</f>
        <v>3756.5010000000002</v>
      </c>
      <c r="K413" s="293">
        <f>+J413*$X$1</f>
        <v>3756.5010000000002</v>
      </c>
      <c r="L413" s="623">
        <f>F413+140</f>
        <v>3696.5010000000002</v>
      </c>
      <c r="M413" s="293">
        <f>+L413*$X$1</f>
        <v>3696.5010000000002</v>
      </c>
      <c r="N413" s="623">
        <f>F413+70</f>
        <v>3626.5010000000002</v>
      </c>
      <c r="O413" s="293">
        <f>+N413*$X$1</f>
        <v>3626.5010000000002</v>
      </c>
      <c r="P413" s="623">
        <f>F413+60</f>
        <v>3616.5010000000002</v>
      </c>
      <c r="Q413" s="293">
        <f>+P413*$X$1</f>
        <v>3616.5010000000002</v>
      </c>
      <c r="R413" s="623">
        <f>F413+50</f>
        <v>3606.5010000000002</v>
      </c>
      <c r="S413" s="293">
        <f>+R413*$X$1</f>
        <v>3606.5010000000002</v>
      </c>
      <c r="T413" s="104">
        <f>F413+44</f>
        <v>3600.5010000000002</v>
      </c>
      <c r="U413" s="260">
        <f>+T413*$X$1</f>
        <v>3600.5010000000002</v>
      </c>
      <c r="V413" s="104">
        <f>F413+38</f>
        <v>3594.5010000000002</v>
      </c>
      <c r="W413" s="260">
        <f>+V413*$X$1</f>
        <v>3594.5010000000002</v>
      </c>
      <c r="X413" s="652"/>
      <c r="Y413" s="658"/>
      <c r="Z413" s="658"/>
      <c r="AA413" s="654"/>
      <c r="AB413" s="420">
        <v>2503</v>
      </c>
    </row>
    <row r="414" spans="1:29" ht="12.6" customHeight="1" x14ac:dyDescent="0.2">
      <c r="A414" s="18"/>
      <c r="B414" s="646" t="s">
        <v>861</v>
      </c>
      <c r="C414" s="647"/>
      <c r="D414" s="647"/>
      <c r="E414" s="648"/>
      <c r="F414" s="294">
        <f>0.76*X2</f>
        <v>780.52</v>
      </c>
      <c r="G414" s="294">
        <f t="shared" ref="G414" si="865">+F414*$X$1</f>
        <v>780.52</v>
      </c>
      <c r="H414" s="493">
        <f>F414+450</f>
        <v>1230.52</v>
      </c>
      <c r="I414" s="294">
        <f t="shared" ref="I414" si="866">+H414*$X$1</f>
        <v>1230.52</v>
      </c>
      <c r="J414" s="493">
        <f>F414+200</f>
        <v>980.52</v>
      </c>
      <c r="K414" s="294">
        <f>+J414*$X$1</f>
        <v>980.52</v>
      </c>
      <c r="L414" s="493">
        <f>F414+140</f>
        <v>920.52</v>
      </c>
      <c r="M414" s="294">
        <f>+L414*$X$1</f>
        <v>920.52</v>
      </c>
      <c r="N414" s="493">
        <f>F414+70</f>
        <v>850.52</v>
      </c>
      <c r="O414" s="294">
        <f>+N414*$X$1</f>
        <v>850.52</v>
      </c>
      <c r="P414" s="493">
        <f>F414+60</f>
        <v>840.52</v>
      </c>
      <c r="Q414" s="294">
        <f>+P414*$X$1</f>
        <v>840.52</v>
      </c>
      <c r="R414" s="493">
        <f>F414+50</f>
        <v>830.52</v>
      </c>
      <c r="S414" s="294">
        <f>+R414*$X$1</f>
        <v>830.52</v>
      </c>
      <c r="T414" s="103">
        <f>F414+44</f>
        <v>824.52</v>
      </c>
      <c r="U414" s="313">
        <f>+T414*$X$1</f>
        <v>824.52</v>
      </c>
      <c r="V414" s="103">
        <f>F414+38</f>
        <v>818.52</v>
      </c>
      <c r="W414" s="313">
        <f>+V414*$X$1</f>
        <v>818.52</v>
      </c>
      <c r="X414" s="652"/>
      <c r="Y414" s="658"/>
      <c r="Z414" s="658"/>
      <c r="AA414" s="654"/>
      <c r="AB414" s="420">
        <v>2504</v>
      </c>
    </row>
    <row r="415" spans="1:29" ht="12.6" customHeight="1" x14ac:dyDescent="0.2">
      <c r="A415" s="18"/>
      <c r="B415" s="649" t="s">
        <v>507</v>
      </c>
      <c r="C415" s="735"/>
      <c r="D415" s="735"/>
      <c r="E415" s="736"/>
      <c r="F415" s="392">
        <f>2.75*X2</f>
        <v>2824.25</v>
      </c>
      <c r="G415" s="293">
        <f t="shared" ref="G415" si="867">+F415*$X$1</f>
        <v>2824.25</v>
      </c>
      <c r="H415" s="623"/>
      <c r="I415" s="293"/>
      <c r="J415" s="623">
        <f>F415+200</f>
        <v>3024.25</v>
      </c>
      <c r="K415" s="293">
        <f>+J415*$X$1</f>
        <v>3024.25</v>
      </c>
      <c r="L415" s="623">
        <f>F415+140</f>
        <v>2964.25</v>
      </c>
      <c r="M415" s="293">
        <f>+L415*$X$1</f>
        <v>2964.25</v>
      </c>
      <c r="N415" s="623">
        <f>F415+70</f>
        <v>2894.25</v>
      </c>
      <c r="O415" s="293">
        <f>+N415*$X$1</f>
        <v>2894.25</v>
      </c>
      <c r="P415" s="623">
        <f>F415+60</f>
        <v>2884.25</v>
      </c>
      <c r="Q415" s="293">
        <f>+P415*$X$1</f>
        <v>2884.25</v>
      </c>
      <c r="R415" s="623">
        <f>F415+50</f>
        <v>2874.25</v>
      </c>
      <c r="S415" s="293">
        <f>+R415*$X$1</f>
        <v>2874.25</v>
      </c>
      <c r="T415" s="104">
        <f>F415+44</f>
        <v>2868.25</v>
      </c>
      <c r="U415" s="260">
        <f>+T415*$X$1</f>
        <v>2868.25</v>
      </c>
      <c r="V415" s="104">
        <f>F415+38</f>
        <v>2862.25</v>
      </c>
      <c r="W415" s="260">
        <f>+V415*$X$1</f>
        <v>2862.25</v>
      </c>
      <c r="X415" s="166"/>
      <c r="Y415" s="136"/>
      <c r="Z415" s="136"/>
      <c r="AA415" s="139"/>
      <c r="AB415" s="432">
        <v>3001</v>
      </c>
    </row>
    <row r="416" spans="1:29" ht="12.6" customHeight="1" x14ac:dyDescent="0.2">
      <c r="A416" s="105"/>
      <c r="B416" s="664" t="s">
        <v>820</v>
      </c>
      <c r="C416" s="665"/>
      <c r="D416" s="665"/>
      <c r="E416" s="665"/>
      <c r="F416" s="294">
        <v>3710</v>
      </c>
      <c r="G416" s="294">
        <f t="shared" ref="G416" si="868">+F416*$X$1</f>
        <v>3710</v>
      </c>
      <c r="H416" s="285"/>
      <c r="I416" s="354"/>
      <c r="J416" s="493"/>
      <c r="K416" s="294"/>
      <c r="L416" s="493">
        <f>F416+1100</f>
        <v>4810</v>
      </c>
      <c r="M416" s="294">
        <f>+L416*$X$1</f>
        <v>4810</v>
      </c>
      <c r="N416" s="493">
        <f>F416+820</f>
        <v>4530</v>
      </c>
      <c r="O416" s="294">
        <f t="shared" ref="O416:O417" si="869">+N416*$X$1</f>
        <v>4530</v>
      </c>
      <c r="P416" s="493">
        <f>F416+790</f>
        <v>4500</v>
      </c>
      <c r="Q416" s="294">
        <f t="shared" ref="Q416:Q417" si="870">+P416*$X$1</f>
        <v>4500</v>
      </c>
      <c r="R416" s="493">
        <f>F416+750</f>
        <v>4460</v>
      </c>
      <c r="S416" s="294">
        <f>+R416*$X$1</f>
        <v>4460</v>
      </c>
      <c r="T416" s="493">
        <f>F416+720</f>
        <v>4430</v>
      </c>
      <c r="U416" s="294">
        <f>+T416*$X$1</f>
        <v>4430</v>
      </c>
      <c r="V416" s="493"/>
      <c r="W416" s="294"/>
      <c r="X416" s="218"/>
      <c r="Y416" s="220"/>
      <c r="Z416" s="220"/>
      <c r="AA416" s="219"/>
      <c r="AB416" s="420">
        <v>5003</v>
      </c>
      <c r="AC416" s="66"/>
    </row>
    <row r="417" spans="1:35" ht="12.6" customHeight="1" x14ac:dyDescent="0.2">
      <c r="A417" s="105"/>
      <c r="B417" s="763" t="s">
        <v>821</v>
      </c>
      <c r="C417" s="764"/>
      <c r="D417" s="764"/>
      <c r="E417" s="764"/>
      <c r="F417" s="293">
        <v>3710</v>
      </c>
      <c r="G417" s="293">
        <f t="shared" ref="G417" si="871">+F417*$X$1</f>
        <v>3710</v>
      </c>
      <c r="H417" s="623">
        <f>F417+600</f>
        <v>4310</v>
      </c>
      <c r="I417" s="293">
        <f>+H417*$X$1</f>
        <v>4310</v>
      </c>
      <c r="J417" s="72">
        <f>F417+300</f>
        <v>4010</v>
      </c>
      <c r="K417" s="293">
        <f t="shared" ref="K417" si="872">+J417*$X$1</f>
        <v>4010</v>
      </c>
      <c r="L417" s="623">
        <f>F417+250</f>
        <v>3960</v>
      </c>
      <c r="M417" s="293">
        <f t="shared" ref="M417" si="873">+L417*$X$1</f>
        <v>3960</v>
      </c>
      <c r="N417" s="623">
        <f>F417+220</f>
        <v>3930</v>
      </c>
      <c r="O417" s="293">
        <f t="shared" si="869"/>
        <v>3930</v>
      </c>
      <c r="P417" s="623">
        <f>F417+180</f>
        <v>3890</v>
      </c>
      <c r="Q417" s="293">
        <f t="shared" si="870"/>
        <v>3890</v>
      </c>
      <c r="R417" s="623">
        <f>F417+150</f>
        <v>3860</v>
      </c>
      <c r="S417" s="293">
        <f t="shared" ref="S417" si="874">+R417*$X$1</f>
        <v>3860</v>
      </c>
      <c r="T417" s="623">
        <f>F417+110</f>
        <v>3820</v>
      </c>
      <c r="U417" s="293">
        <f t="shared" ref="U417" si="875">+T417*$X$1</f>
        <v>3820</v>
      </c>
      <c r="V417" s="623"/>
      <c r="W417" s="293"/>
      <c r="X417" s="458"/>
      <c r="Y417" s="456"/>
      <c r="Z417" s="456"/>
      <c r="AA417" s="457"/>
      <c r="AB417" s="420" t="s">
        <v>723</v>
      </c>
      <c r="AC417" s="66"/>
    </row>
    <row r="418" spans="1:35" ht="12.6" customHeight="1" x14ac:dyDescent="0.2">
      <c r="A418" s="18"/>
      <c r="B418" s="642" t="s">
        <v>549</v>
      </c>
      <c r="C418" s="643"/>
      <c r="D418" s="643"/>
      <c r="E418" s="643"/>
      <c r="F418" s="294">
        <v>4992</v>
      </c>
      <c r="G418" s="294">
        <f t="shared" ref="G418:G427" si="876">+F418*$X$1</f>
        <v>4992</v>
      </c>
      <c r="H418" s="285"/>
      <c r="I418" s="354"/>
      <c r="J418" s="493"/>
      <c r="K418" s="294"/>
      <c r="L418" s="493">
        <f>F418+1300</f>
        <v>6292</v>
      </c>
      <c r="M418" s="294">
        <f t="shared" ref="M418" si="877">+L418*$X$1</f>
        <v>6292</v>
      </c>
      <c r="N418" s="493">
        <f>F418+1000</f>
        <v>5992</v>
      </c>
      <c r="O418" s="294">
        <f t="shared" ref="O418" si="878">+N418*$X$1</f>
        <v>5992</v>
      </c>
      <c r="P418" s="493">
        <f>F418+900</f>
        <v>5892</v>
      </c>
      <c r="Q418" s="294">
        <f t="shared" ref="Q418" si="879">+P418*$X$1</f>
        <v>5892</v>
      </c>
      <c r="R418" s="493">
        <f>F418+860</f>
        <v>5852</v>
      </c>
      <c r="S418" s="294">
        <f>+R418*$X$1</f>
        <v>5852</v>
      </c>
      <c r="T418" s="493">
        <f>F418+830</f>
        <v>5822</v>
      </c>
      <c r="U418" s="294">
        <f>+T418*$X$1</f>
        <v>5822</v>
      </c>
      <c r="V418" s="493"/>
      <c r="W418" s="294"/>
      <c r="X418" s="741"/>
      <c r="Y418" s="742"/>
      <c r="Z418" s="742"/>
      <c r="AA418" s="743"/>
      <c r="AB418" s="197">
        <v>5008</v>
      </c>
      <c r="AC418" s="39"/>
      <c r="AD418" s="39"/>
      <c r="AE418" s="39"/>
      <c r="AF418" s="39"/>
      <c r="AG418" s="39"/>
      <c r="AH418" s="39"/>
      <c r="AI418" s="39"/>
    </row>
    <row r="419" spans="1:35" ht="12.6" customHeight="1" x14ac:dyDescent="0.2">
      <c r="A419" s="18"/>
      <c r="B419" s="649" t="s">
        <v>550</v>
      </c>
      <c r="C419" s="650"/>
      <c r="D419" s="650"/>
      <c r="E419" s="651"/>
      <c r="F419" s="293">
        <v>6786</v>
      </c>
      <c r="G419" s="293">
        <f t="shared" si="876"/>
        <v>6786</v>
      </c>
      <c r="H419" s="286"/>
      <c r="I419" s="353"/>
      <c r="J419" s="623"/>
      <c r="K419" s="293"/>
      <c r="L419" s="623">
        <f>F419+1300</f>
        <v>8086</v>
      </c>
      <c r="M419" s="293">
        <f t="shared" ref="M419:M421" si="880">+L419*$X$1</f>
        <v>8086</v>
      </c>
      <c r="N419" s="623">
        <f>F419+1000</f>
        <v>7786</v>
      </c>
      <c r="O419" s="293">
        <f t="shared" ref="O419:O421" si="881">+N419*$X$1</f>
        <v>7786</v>
      </c>
      <c r="P419" s="623">
        <f>F419+900</f>
        <v>7686</v>
      </c>
      <c r="Q419" s="293">
        <f t="shared" ref="Q419:Q421" si="882">+P419*$X$1</f>
        <v>7686</v>
      </c>
      <c r="R419" s="623">
        <f>F419+860</f>
        <v>7646</v>
      </c>
      <c r="S419" s="293">
        <f>+R419*$X$1</f>
        <v>7646</v>
      </c>
      <c r="T419" s="623">
        <f>F419+830</f>
        <v>7616</v>
      </c>
      <c r="U419" s="293">
        <f>+T419*$X$1</f>
        <v>7616</v>
      </c>
      <c r="V419" s="623"/>
      <c r="W419" s="293"/>
      <c r="X419" s="741"/>
      <c r="Y419" s="742"/>
      <c r="Z419" s="742"/>
      <c r="AA419" s="743"/>
      <c r="AB419" s="432">
        <v>5010</v>
      </c>
      <c r="AC419" s="39"/>
      <c r="AD419" s="39"/>
      <c r="AE419" s="39"/>
      <c r="AF419" s="39"/>
      <c r="AG419" s="39"/>
      <c r="AH419" s="39"/>
      <c r="AI419" s="39"/>
    </row>
    <row r="420" spans="1:35" ht="12.6" customHeight="1" x14ac:dyDescent="0.2">
      <c r="A420" s="18"/>
      <c r="B420" s="646" t="s">
        <v>551</v>
      </c>
      <c r="C420" s="647"/>
      <c r="D420" s="647"/>
      <c r="E420" s="648"/>
      <c r="F420" s="294">
        <v>3783</v>
      </c>
      <c r="G420" s="294">
        <f t="shared" ref="G420" si="883">+F420*$X$1</f>
        <v>3783</v>
      </c>
      <c r="H420" s="285"/>
      <c r="I420" s="354"/>
      <c r="J420" s="493"/>
      <c r="K420" s="294"/>
      <c r="L420" s="493">
        <f>F420+1300</f>
        <v>5083</v>
      </c>
      <c r="M420" s="294">
        <f t="shared" si="880"/>
        <v>5083</v>
      </c>
      <c r="N420" s="493">
        <f>F420+1000</f>
        <v>4783</v>
      </c>
      <c r="O420" s="294">
        <f t="shared" si="881"/>
        <v>4783</v>
      </c>
      <c r="P420" s="493">
        <f>F420+900</f>
        <v>4683</v>
      </c>
      <c r="Q420" s="294">
        <f t="shared" si="882"/>
        <v>4683</v>
      </c>
      <c r="R420" s="493">
        <f>F420+860</f>
        <v>4643</v>
      </c>
      <c r="S420" s="294">
        <f>+R420*$X$1</f>
        <v>4643</v>
      </c>
      <c r="T420" s="493">
        <f>F420+830</f>
        <v>4613</v>
      </c>
      <c r="U420" s="294">
        <f>+T420*$X$1</f>
        <v>4613</v>
      </c>
      <c r="V420" s="493"/>
      <c r="W420" s="294"/>
      <c r="X420" s="741"/>
      <c r="Y420" s="742"/>
      <c r="Z420" s="742"/>
      <c r="AA420" s="743"/>
      <c r="AB420" s="432"/>
      <c r="AC420" s="39"/>
      <c r="AD420" s="39"/>
      <c r="AE420" s="39"/>
      <c r="AF420" s="39"/>
      <c r="AG420" s="39"/>
      <c r="AH420" s="39"/>
      <c r="AI420" s="39"/>
    </row>
    <row r="421" spans="1:35" ht="12.6" customHeight="1" x14ac:dyDescent="0.2">
      <c r="A421" s="18"/>
      <c r="B421" s="649" t="s">
        <v>552</v>
      </c>
      <c r="C421" s="650"/>
      <c r="D421" s="650"/>
      <c r="E421" s="651"/>
      <c r="F421" s="293">
        <v>5616</v>
      </c>
      <c r="G421" s="293">
        <f t="shared" ref="G421:G424" si="884">+F421*$X$1</f>
        <v>5616</v>
      </c>
      <c r="H421" s="286"/>
      <c r="I421" s="353"/>
      <c r="J421" s="623"/>
      <c r="K421" s="293"/>
      <c r="L421" s="623">
        <f>F421+1300</f>
        <v>6916</v>
      </c>
      <c r="M421" s="293">
        <f t="shared" si="880"/>
        <v>6916</v>
      </c>
      <c r="N421" s="623">
        <f>F421+1000</f>
        <v>6616</v>
      </c>
      <c r="O421" s="293">
        <f t="shared" si="881"/>
        <v>6616</v>
      </c>
      <c r="P421" s="623">
        <f>F421+900</f>
        <v>6516</v>
      </c>
      <c r="Q421" s="293">
        <f t="shared" si="882"/>
        <v>6516</v>
      </c>
      <c r="R421" s="623">
        <f>F421+860</f>
        <v>6476</v>
      </c>
      <c r="S421" s="293">
        <f>+R421*$X$1</f>
        <v>6476</v>
      </c>
      <c r="T421" s="623">
        <f>F421+830</f>
        <v>6446</v>
      </c>
      <c r="U421" s="293">
        <f>+T421*$X$1</f>
        <v>6446</v>
      </c>
      <c r="V421" s="623"/>
      <c r="W421" s="293"/>
      <c r="X421" s="741"/>
      <c r="Y421" s="742"/>
      <c r="Z421" s="742"/>
      <c r="AA421" s="743"/>
      <c r="AB421" s="432"/>
      <c r="AC421" s="39"/>
      <c r="AD421" s="39"/>
      <c r="AE421" s="39"/>
      <c r="AF421" s="39"/>
      <c r="AG421" s="39"/>
      <c r="AH421" s="39"/>
      <c r="AI421" s="39"/>
    </row>
    <row r="422" spans="1:35" ht="12.6" customHeight="1" x14ac:dyDescent="0.2">
      <c r="A422" s="18"/>
      <c r="B422" s="642" t="s">
        <v>865</v>
      </c>
      <c r="C422" s="689"/>
      <c r="D422" s="689"/>
      <c r="E422" s="689"/>
      <c r="F422" s="339">
        <v>2100</v>
      </c>
      <c r="G422" s="294">
        <f t="shared" si="884"/>
        <v>2100</v>
      </c>
      <c r="H422" s="285"/>
      <c r="I422" s="354"/>
      <c r="J422" s="493">
        <f>F422+200</f>
        <v>2300</v>
      </c>
      <c r="K422" s="294">
        <f t="shared" ref="K422" si="885">+J422*$X$1</f>
        <v>2300</v>
      </c>
      <c r="L422" s="493">
        <f>F422+130</f>
        <v>2230</v>
      </c>
      <c r="M422" s="294">
        <f t="shared" ref="M422" si="886">+L422*$X$1</f>
        <v>2230</v>
      </c>
      <c r="N422" s="493">
        <f>F422+70</f>
        <v>2170</v>
      </c>
      <c r="O422" s="294">
        <f t="shared" ref="O422" si="887">+N422*$X$1</f>
        <v>2170</v>
      </c>
      <c r="P422" s="493">
        <f>F422+60</f>
        <v>2160</v>
      </c>
      <c r="Q422" s="294">
        <f t="shared" ref="Q422:Q423" si="888">+P422*$X$1</f>
        <v>2160</v>
      </c>
      <c r="R422" s="493">
        <f>F422+52</f>
        <v>2152</v>
      </c>
      <c r="S422" s="294">
        <f t="shared" ref="S422" si="889">+R422*$X$1</f>
        <v>2152</v>
      </c>
      <c r="T422" s="103">
        <f>F422+45</f>
        <v>2145</v>
      </c>
      <c r="U422" s="313">
        <f t="shared" ref="U422" si="890">+T422*$X$1</f>
        <v>2145</v>
      </c>
      <c r="V422" s="103">
        <f>F422+40</f>
        <v>2140</v>
      </c>
      <c r="W422" s="313">
        <f t="shared" ref="W422" si="891">+V422*$X$1</f>
        <v>2140</v>
      </c>
      <c r="X422" s="737"/>
      <c r="Y422" s="738"/>
      <c r="Z422" s="738"/>
      <c r="AA422" s="739"/>
      <c r="AB422" s="432">
        <v>11604</v>
      </c>
    </row>
    <row r="423" spans="1:35" ht="12.6" customHeight="1" x14ac:dyDescent="0.2">
      <c r="A423" s="18"/>
      <c r="B423" s="644" t="s">
        <v>548</v>
      </c>
      <c r="C423" s="680"/>
      <c r="D423" s="680"/>
      <c r="E423" s="680"/>
      <c r="F423" s="340">
        <v>2100</v>
      </c>
      <c r="G423" s="293">
        <f t="shared" si="876"/>
        <v>2100</v>
      </c>
      <c r="H423" s="286"/>
      <c r="I423" s="353"/>
      <c r="J423" s="623">
        <f>F423+300</f>
        <v>2400</v>
      </c>
      <c r="K423" s="293">
        <f t="shared" ref="K423" si="892">+J423*$X$1</f>
        <v>2400</v>
      </c>
      <c r="L423" s="623">
        <f>F423+240</f>
        <v>2340</v>
      </c>
      <c r="M423" s="293">
        <f>+L423*$X$1</f>
        <v>2340</v>
      </c>
      <c r="N423" s="623">
        <f>F423+204</f>
        <v>2304</v>
      </c>
      <c r="O423" s="293">
        <f>+N423*$X$1</f>
        <v>2304</v>
      </c>
      <c r="P423" s="623">
        <f>F423+170</f>
        <v>2270</v>
      </c>
      <c r="Q423" s="293">
        <f t="shared" si="888"/>
        <v>2270</v>
      </c>
      <c r="R423" s="623">
        <f>F423+145</f>
        <v>2245</v>
      </c>
      <c r="S423" s="293">
        <f>+R423*$X$1</f>
        <v>2245</v>
      </c>
      <c r="T423" s="623">
        <f>F423+120</f>
        <v>2220</v>
      </c>
      <c r="U423" s="293">
        <f t="shared" ref="U423" si="893">+T423*$X$1</f>
        <v>2220</v>
      </c>
      <c r="V423" s="623">
        <f>F423+110</f>
        <v>2210</v>
      </c>
      <c r="W423" s="293">
        <f>+V423*$X$1</f>
        <v>2210</v>
      </c>
      <c r="X423" s="737"/>
      <c r="Y423" s="738"/>
      <c r="Z423" s="738"/>
      <c r="AA423" s="739"/>
      <c r="AB423" s="432">
        <v>11605</v>
      </c>
    </row>
    <row r="424" spans="1:35" ht="12.6" customHeight="1" x14ac:dyDescent="0.2">
      <c r="A424" s="18"/>
      <c r="B424" s="895" t="s">
        <v>863</v>
      </c>
      <c r="C424" s="896"/>
      <c r="D424" s="896"/>
      <c r="E424" s="896"/>
      <c r="F424" s="339">
        <v>950</v>
      </c>
      <c r="G424" s="294">
        <f t="shared" si="884"/>
        <v>950</v>
      </c>
      <c r="H424" s="285"/>
      <c r="I424" s="285"/>
      <c r="J424" s="493"/>
      <c r="K424" s="294"/>
      <c r="L424" s="493"/>
      <c r="M424" s="294"/>
      <c r="N424" s="493"/>
      <c r="O424" s="294"/>
      <c r="P424" s="493"/>
      <c r="Q424" s="294"/>
      <c r="R424" s="493"/>
      <c r="S424" s="294"/>
      <c r="T424" s="103"/>
      <c r="U424" s="313"/>
      <c r="V424" s="103"/>
      <c r="W424" s="313"/>
      <c r="X424" s="737"/>
      <c r="Y424" s="738"/>
      <c r="Z424" s="738"/>
      <c r="AA424" s="739"/>
      <c r="AB424" s="435"/>
    </row>
    <row r="425" spans="1:35" ht="12.6" customHeight="1" x14ac:dyDescent="0.2">
      <c r="A425" s="18"/>
      <c r="B425" s="644" t="s">
        <v>259</v>
      </c>
      <c r="C425" s="680"/>
      <c r="D425" s="680"/>
      <c r="E425" s="680"/>
      <c r="F425" s="293">
        <v>1090</v>
      </c>
      <c r="G425" s="293">
        <f t="shared" si="876"/>
        <v>1090</v>
      </c>
      <c r="H425" s="286"/>
      <c r="I425" s="286"/>
      <c r="J425" s="623">
        <f>F425+200</f>
        <v>1290</v>
      </c>
      <c r="K425" s="293">
        <f t="shared" ref="K425" si="894">+J425*$X$1</f>
        <v>1290</v>
      </c>
      <c r="L425" s="623">
        <f>F425+130</f>
        <v>1220</v>
      </c>
      <c r="M425" s="293">
        <f t="shared" ref="M425" si="895">+L425*$X$1</f>
        <v>1220</v>
      </c>
      <c r="N425" s="623">
        <f>F425+70</f>
        <v>1160</v>
      </c>
      <c r="O425" s="293">
        <f t="shared" ref="O425" si="896">+N425*$X$1</f>
        <v>1160</v>
      </c>
      <c r="P425" s="623">
        <f>F425+60</f>
        <v>1150</v>
      </c>
      <c r="Q425" s="293">
        <f t="shared" ref="Q425" si="897">+P425*$X$1</f>
        <v>1150</v>
      </c>
      <c r="R425" s="623">
        <f>F425+52</f>
        <v>1142</v>
      </c>
      <c r="S425" s="293">
        <f t="shared" ref="S425" si="898">+R425*$X$1</f>
        <v>1142</v>
      </c>
      <c r="T425" s="104">
        <f>F425+45</f>
        <v>1135</v>
      </c>
      <c r="U425" s="260">
        <f t="shared" ref="U425" si="899">+T425*$X$1</f>
        <v>1135</v>
      </c>
      <c r="V425" s="104">
        <f>F425+40</f>
        <v>1130</v>
      </c>
      <c r="W425" s="260">
        <f t="shared" ref="W425" si="900">+V425*$X$1</f>
        <v>1130</v>
      </c>
      <c r="X425" s="155"/>
      <c r="Y425" s="132"/>
      <c r="Z425" s="132"/>
      <c r="AA425" s="132"/>
      <c r="AB425" s="436"/>
    </row>
    <row r="426" spans="1:35" ht="12.6" customHeight="1" x14ac:dyDescent="0.2">
      <c r="A426" s="105"/>
      <c r="B426" s="699" t="s">
        <v>260</v>
      </c>
      <c r="C426" s="877"/>
      <c r="D426" s="877"/>
      <c r="E426" s="877"/>
      <c r="F426" s="602">
        <v>60</v>
      </c>
      <c r="G426" s="602">
        <f t="shared" si="876"/>
        <v>60</v>
      </c>
      <c r="H426" s="604"/>
      <c r="I426" s="604"/>
      <c r="J426" s="604"/>
      <c r="K426" s="604"/>
      <c r="L426" s="604"/>
      <c r="M426" s="604"/>
      <c r="N426" s="604"/>
      <c r="O426" s="602"/>
      <c r="P426" s="604"/>
      <c r="Q426" s="602"/>
      <c r="R426" s="604"/>
      <c r="S426" s="602"/>
      <c r="T426" s="604"/>
      <c r="U426" s="602"/>
      <c r="V426" s="604"/>
      <c r="W426" s="602"/>
      <c r="X426" s="155"/>
      <c r="Y426" s="132"/>
      <c r="Z426" s="132"/>
      <c r="AA426" s="132"/>
      <c r="AB426" s="197">
        <v>11612</v>
      </c>
    </row>
    <row r="427" spans="1:35" ht="12.6" customHeight="1" x14ac:dyDescent="0.2">
      <c r="A427" s="18"/>
      <c r="B427" s="646" t="s">
        <v>857</v>
      </c>
      <c r="C427" s="647"/>
      <c r="D427" s="647"/>
      <c r="E427" s="648"/>
      <c r="F427" s="393">
        <f>1.47*X2</f>
        <v>1509.69</v>
      </c>
      <c r="G427" s="294">
        <f t="shared" si="876"/>
        <v>1509.69</v>
      </c>
      <c r="H427" s="493">
        <f t="shared" ref="H427:H435" si="901">F427+500</f>
        <v>2009.69</v>
      </c>
      <c r="I427" s="294">
        <f t="shared" ref="I427:I428" si="902">+H427*$X$1</f>
        <v>2009.69</v>
      </c>
      <c r="J427" s="493">
        <f t="shared" ref="J427:J435" si="903">F427+200</f>
        <v>1709.69</v>
      </c>
      <c r="K427" s="294">
        <f t="shared" ref="K427:K428" si="904">+J427*$X$1</f>
        <v>1709.69</v>
      </c>
      <c r="L427" s="493">
        <f t="shared" ref="L427:L435" si="905">F427+150</f>
        <v>1659.69</v>
      </c>
      <c r="M427" s="294">
        <f t="shared" ref="M427:M428" si="906">+L427*$X$1</f>
        <v>1659.69</v>
      </c>
      <c r="N427" s="493">
        <f t="shared" ref="N427:N435" si="907">F427+110</f>
        <v>1619.69</v>
      </c>
      <c r="O427" s="294">
        <f t="shared" ref="O427:O428" si="908">+N427*$X$1</f>
        <v>1619.69</v>
      </c>
      <c r="P427" s="493">
        <f t="shared" ref="P427:P435" si="909">F427+85</f>
        <v>1594.69</v>
      </c>
      <c r="Q427" s="294">
        <f t="shared" ref="Q427:Q428" si="910">+P427*$X$1</f>
        <v>1594.69</v>
      </c>
      <c r="R427" s="493">
        <f t="shared" ref="R427:R435" si="911">F427+65</f>
        <v>1574.69</v>
      </c>
      <c r="S427" s="294">
        <f t="shared" ref="S427:S428" si="912">+R427*$X$1</f>
        <v>1574.69</v>
      </c>
      <c r="T427" s="493">
        <f t="shared" ref="T427:T435" si="913">F427+55</f>
        <v>1564.69</v>
      </c>
      <c r="U427" s="294">
        <f t="shared" ref="U427:U428" si="914">+T427*$X$1</f>
        <v>1564.69</v>
      </c>
      <c r="V427" s="493">
        <f t="shared" ref="V427:V435" si="915">F427+43</f>
        <v>1552.69</v>
      </c>
      <c r="W427" s="294">
        <f t="shared" ref="W427:W428" si="916">+V427*$X$1</f>
        <v>1552.69</v>
      </c>
      <c r="X427" s="658"/>
      <c r="Y427" s="653"/>
      <c r="Z427" s="653"/>
      <c r="AA427" s="654"/>
      <c r="AB427" s="197" t="s">
        <v>858</v>
      </c>
    </row>
    <row r="428" spans="1:35" ht="12.6" customHeight="1" x14ac:dyDescent="0.2">
      <c r="A428" s="18"/>
      <c r="B428" s="649" t="s">
        <v>856</v>
      </c>
      <c r="C428" s="650"/>
      <c r="D428" s="650"/>
      <c r="E428" s="651"/>
      <c r="F428" s="392">
        <f>1.35*X2</f>
        <v>1386.45</v>
      </c>
      <c r="G428" s="293">
        <f t="shared" ref="G428" si="917">+F428*$X$1</f>
        <v>1386.45</v>
      </c>
      <c r="H428" s="634">
        <f t="shared" si="901"/>
        <v>1886.45</v>
      </c>
      <c r="I428" s="293">
        <f t="shared" si="902"/>
        <v>1886.45</v>
      </c>
      <c r="J428" s="634">
        <f t="shared" si="903"/>
        <v>1586.45</v>
      </c>
      <c r="K428" s="293">
        <f t="shared" si="904"/>
        <v>1586.45</v>
      </c>
      <c r="L428" s="634">
        <f t="shared" si="905"/>
        <v>1536.45</v>
      </c>
      <c r="M428" s="293">
        <f t="shared" si="906"/>
        <v>1536.45</v>
      </c>
      <c r="N428" s="634">
        <f t="shared" si="907"/>
        <v>1496.45</v>
      </c>
      <c r="O428" s="293">
        <f t="shared" si="908"/>
        <v>1496.45</v>
      </c>
      <c r="P428" s="634">
        <f t="shared" si="909"/>
        <v>1471.45</v>
      </c>
      <c r="Q428" s="293">
        <f t="shared" si="910"/>
        <v>1471.45</v>
      </c>
      <c r="R428" s="634">
        <f t="shared" si="911"/>
        <v>1451.45</v>
      </c>
      <c r="S428" s="293">
        <f t="shared" si="912"/>
        <v>1451.45</v>
      </c>
      <c r="T428" s="634">
        <f t="shared" si="913"/>
        <v>1441.45</v>
      </c>
      <c r="U428" s="293">
        <f t="shared" si="914"/>
        <v>1441.45</v>
      </c>
      <c r="V428" s="634">
        <f t="shared" si="915"/>
        <v>1429.45</v>
      </c>
      <c r="W428" s="293">
        <f t="shared" si="916"/>
        <v>1429.45</v>
      </c>
      <c r="X428" s="658"/>
      <c r="Y428" s="653"/>
      <c r="Z428" s="653"/>
      <c r="AA428" s="654"/>
      <c r="AB428" s="197" t="s">
        <v>534</v>
      </c>
    </row>
    <row r="429" spans="1:35" ht="12.6" customHeight="1" x14ac:dyDescent="0.2">
      <c r="A429" s="105"/>
      <c r="B429" s="763" t="s">
        <v>936</v>
      </c>
      <c r="C429" s="764"/>
      <c r="D429" s="764"/>
      <c r="E429" s="764"/>
      <c r="F429" s="393">
        <f>1.882*X2</f>
        <v>1932.8139999999999</v>
      </c>
      <c r="G429" s="294">
        <f>+F429*$X$1</f>
        <v>1932.8139999999999</v>
      </c>
      <c r="H429" s="493">
        <f t="shared" si="901"/>
        <v>2432.8139999999999</v>
      </c>
      <c r="I429" s="294">
        <f t="shared" ref="I429" si="918">+H429*$X$1</f>
        <v>2432.8139999999999</v>
      </c>
      <c r="J429" s="493">
        <f t="shared" si="903"/>
        <v>2132.8139999999999</v>
      </c>
      <c r="K429" s="294">
        <f t="shared" ref="K429" si="919">+J429*$X$1</f>
        <v>2132.8139999999999</v>
      </c>
      <c r="L429" s="493">
        <f t="shared" si="905"/>
        <v>2082.8139999999999</v>
      </c>
      <c r="M429" s="294">
        <f t="shared" ref="M429" si="920">+L429*$X$1</f>
        <v>2082.8139999999999</v>
      </c>
      <c r="N429" s="493">
        <f t="shared" si="907"/>
        <v>2042.8139999999999</v>
      </c>
      <c r="O429" s="294">
        <f t="shared" ref="O429" si="921">+N429*$X$1</f>
        <v>2042.8139999999999</v>
      </c>
      <c r="P429" s="493">
        <f t="shared" si="909"/>
        <v>2017.8139999999999</v>
      </c>
      <c r="Q429" s="294">
        <f t="shared" ref="Q429" si="922">+P429*$X$1</f>
        <v>2017.8139999999999</v>
      </c>
      <c r="R429" s="493">
        <f t="shared" si="911"/>
        <v>1997.8139999999999</v>
      </c>
      <c r="S429" s="294">
        <f t="shared" ref="S429" si="923">+R429*$X$1</f>
        <v>1997.8139999999999</v>
      </c>
      <c r="T429" s="493">
        <f t="shared" si="913"/>
        <v>1987.8139999999999</v>
      </c>
      <c r="U429" s="294">
        <f t="shared" ref="U429" si="924">+T429*$X$1</f>
        <v>1987.8139999999999</v>
      </c>
      <c r="V429" s="493">
        <f t="shared" si="915"/>
        <v>1975.8139999999999</v>
      </c>
      <c r="W429" s="294">
        <f t="shared" ref="W429" si="925">+V429*$X$1</f>
        <v>1975.8139999999999</v>
      </c>
      <c r="X429" s="658"/>
      <c r="Y429" s="658"/>
      <c r="Z429" s="658"/>
      <c r="AA429" s="658"/>
      <c r="AB429" s="420" t="s">
        <v>937</v>
      </c>
      <c r="AC429" s="66"/>
    </row>
    <row r="430" spans="1:35" ht="12.6" customHeight="1" x14ac:dyDescent="0.2">
      <c r="A430" s="105"/>
      <c r="B430" s="763" t="s">
        <v>935</v>
      </c>
      <c r="C430" s="764"/>
      <c r="D430" s="764"/>
      <c r="E430" s="764"/>
      <c r="F430" s="392">
        <f>4.76*X2</f>
        <v>4888.5199999999995</v>
      </c>
      <c r="G430" s="293">
        <f>+F430*$X$1</f>
        <v>4888.5199999999995</v>
      </c>
      <c r="H430" s="634">
        <f t="shared" si="901"/>
        <v>5388.5199999999995</v>
      </c>
      <c r="I430" s="293">
        <f t="shared" ref="I430:I435" si="926">+H430*$X$1</f>
        <v>5388.5199999999995</v>
      </c>
      <c r="J430" s="634">
        <f t="shared" si="903"/>
        <v>5088.5199999999995</v>
      </c>
      <c r="K430" s="293">
        <f t="shared" ref="K430:K435" si="927">+J430*$X$1</f>
        <v>5088.5199999999995</v>
      </c>
      <c r="L430" s="634">
        <f t="shared" si="905"/>
        <v>5038.5199999999995</v>
      </c>
      <c r="M430" s="293">
        <f t="shared" ref="M430:M435" si="928">+L430*$X$1</f>
        <v>5038.5199999999995</v>
      </c>
      <c r="N430" s="634">
        <f t="shared" si="907"/>
        <v>4998.5199999999995</v>
      </c>
      <c r="O430" s="293">
        <f t="shared" ref="O430:O435" si="929">+N430*$X$1</f>
        <v>4998.5199999999995</v>
      </c>
      <c r="P430" s="634">
        <f t="shared" si="909"/>
        <v>4973.5199999999995</v>
      </c>
      <c r="Q430" s="293">
        <f t="shared" ref="Q430:Q435" si="930">+P430*$X$1</f>
        <v>4973.5199999999995</v>
      </c>
      <c r="R430" s="634">
        <f t="shared" si="911"/>
        <v>4953.5199999999995</v>
      </c>
      <c r="S430" s="293">
        <f t="shared" ref="S430:S435" si="931">+R430*$X$1</f>
        <v>4953.5199999999995</v>
      </c>
      <c r="T430" s="634">
        <f t="shared" si="913"/>
        <v>4943.5199999999995</v>
      </c>
      <c r="U430" s="293">
        <f t="shared" ref="U430:U435" si="932">+T430*$X$1</f>
        <v>4943.5199999999995</v>
      </c>
      <c r="V430" s="634">
        <f t="shared" si="915"/>
        <v>4931.5199999999995</v>
      </c>
      <c r="W430" s="293">
        <f t="shared" ref="W430:W435" si="933">+V430*$X$1</f>
        <v>4931.5199999999995</v>
      </c>
      <c r="X430" s="658"/>
      <c r="Y430" s="658"/>
      <c r="Z430" s="658"/>
      <c r="AA430" s="658"/>
      <c r="AB430" s="420" t="s">
        <v>934</v>
      </c>
      <c r="AC430" s="66"/>
    </row>
    <row r="431" spans="1:35" ht="12.6" customHeight="1" x14ac:dyDescent="0.2">
      <c r="A431" s="105"/>
      <c r="B431" s="664" t="s">
        <v>683</v>
      </c>
      <c r="C431" s="665"/>
      <c r="D431" s="665"/>
      <c r="E431" s="665"/>
      <c r="F431" s="393">
        <f>4.1*X2</f>
        <v>4210.7</v>
      </c>
      <c r="G431" s="294">
        <f>+F431*$X$1</f>
        <v>4210.7</v>
      </c>
      <c r="H431" s="493">
        <f t="shared" si="901"/>
        <v>4710.7</v>
      </c>
      <c r="I431" s="294">
        <f t="shared" si="926"/>
        <v>4710.7</v>
      </c>
      <c r="J431" s="493">
        <f t="shared" si="903"/>
        <v>4410.7</v>
      </c>
      <c r="K431" s="294">
        <f t="shared" si="927"/>
        <v>4410.7</v>
      </c>
      <c r="L431" s="493">
        <f t="shared" si="905"/>
        <v>4360.7</v>
      </c>
      <c r="M431" s="294">
        <f t="shared" si="928"/>
        <v>4360.7</v>
      </c>
      <c r="N431" s="493">
        <f t="shared" si="907"/>
        <v>4320.7</v>
      </c>
      <c r="O431" s="294">
        <f t="shared" si="929"/>
        <v>4320.7</v>
      </c>
      <c r="P431" s="493">
        <f t="shared" si="909"/>
        <v>4295.7</v>
      </c>
      <c r="Q431" s="294">
        <f t="shared" si="930"/>
        <v>4295.7</v>
      </c>
      <c r="R431" s="493">
        <f t="shared" si="911"/>
        <v>4275.7</v>
      </c>
      <c r="S431" s="294">
        <f t="shared" si="931"/>
        <v>4275.7</v>
      </c>
      <c r="T431" s="493">
        <f t="shared" si="913"/>
        <v>4265.7</v>
      </c>
      <c r="U431" s="294">
        <f t="shared" si="932"/>
        <v>4265.7</v>
      </c>
      <c r="V431" s="493">
        <f t="shared" si="915"/>
        <v>4253.7</v>
      </c>
      <c r="W431" s="294">
        <f t="shared" si="933"/>
        <v>4253.7</v>
      </c>
      <c r="X431" s="658"/>
      <c r="Y431" s="658"/>
      <c r="Z431" s="658"/>
      <c r="AA431" s="658"/>
      <c r="AB431" s="420" t="s">
        <v>682</v>
      </c>
      <c r="AC431" s="66"/>
    </row>
    <row r="432" spans="1:35" ht="12.6" customHeight="1" x14ac:dyDescent="0.2">
      <c r="A432" s="105"/>
      <c r="B432" s="662" t="s">
        <v>673</v>
      </c>
      <c r="C432" s="678"/>
      <c r="D432" s="678"/>
      <c r="E432" s="678"/>
      <c r="F432" s="392">
        <f>4.836*X2</f>
        <v>4966.5720000000001</v>
      </c>
      <c r="G432" s="293">
        <f t="shared" ref="G432:G434" si="934">+F432*$X$1</f>
        <v>4966.5720000000001</v>
      </c>
      <c r="H432" s="634">
        <f t="shared" si="901"/>
        <v>5466.5720000000001</v>
      </c>
      <c r="I432" s="293">
        <f t="shared" si="926"/>
        <v>5466.5720000000001</v>
      </c>
      <c r="J432" s="634">
        <f t="shared" si="903"/>
        <v>5166.5720000000001</v>
      </c>
      <c r="K432" s="293">
        <f t="shared" si="927"/>
        <v>5166.5720000000001</v>
      </c>
      <c r="L432" s="634">
        <f t="shared" si="905"/>
        <v>5116.5720000000001</v>
      </c>
      <c r="M432" s="293">
        <f t="shared" si="928"/>
        <v>5116.5720000000001</v>
      </c>
      <c r="N432" s="634">
        <f t="shared" si="907"/>
        <v>5076.5720000000001</v>
      </c>
      <c r="O432" s="293">
        <f t="shared" si="929"/>
        <v>5076.5720000000001</v>
      </c>
      <c r="P432" s="634">
        <f t="shared" si="909"/>
        <v>5051.5720000000001</v>
      </c>
      <c r="Q432" s="293">
        <f t="shared" si="930"/>
        <v>5051.5720000000001</v>
      </c>
      <c r="R432" s="634">
        <f t="shared" si="911"/>
        <v>5031.5720000000001</v>
      </c>
      <c r="S432" s="293">
        <f t="shared" si="931"/>
        <v>5031.5720000000001</v>
      </c>
      <c r="T432" s="634">
        <f t="shared" si="913"/>
        <v>5021.5720000000001</v>
      </c>
      <c r="U432" s="293">
        <f t="shared" si="932"/>
        <v>5021.5720000000001</v>
      </c>
      <c r="V432" s="634">
        <f t="shared" si="915"/>
        <v>5009.5720000000001</v>
      </c>
      <c r="W432" s="293">
        <f t="shared" si="933"/>
        <v>5009.5720000000001</v>
      </c>
      <c r="X432" s="658"/>
      <c r="Y432" s="658"/>
      <c r="Z432" s="658"/>
      <c r="AA432" s="658"/>
      <c r="AB432" s="420" t="s">
        <v>672</v>
      </c>
      <c r="AC432" s="66"/>
    </row>
    <row r="433" spans="1:33" ht="12.6" customHeight="1" x14ac:dyDescent="0.2">
      <c r="A433" s="105"/>
      <c r="B433" s="664" t="s">
        <v>676</v>
      </c>
      <c r="C433" s="665"/>
      <c r="D433" s="665"/>
      <c r="E433" s="665"/>
      <c r="F433" s="393">
        <f>4.056*X2</f>
        <v>4165.5119999999997</v>
      </c>
      <c r="G433" s="294">
        <f t="shared" si="934"/>
        <v>4165.5119999999997</v>
      </c>
      <c r="H433" s="493">
        <f t="shared" si="901"/>
        <v>4665.5119999999997</v>
      </c>
      <c r="I433" s="294">
        <f t="shared" si="926"/>
        <v>4665.5119999999997</v>
      </c>
      <c r="J433" s="493">
        <f t="shared" si="903"/>
        <v>4365.5119999999997</v>
      </c>
      <c r="K433" s="294">
        <f t="shared" si="927"/>
        <v>4365.5119999999997</v>
      </c>
      <c r="L433" s="493">
        <f t="shared" si="905"/>
        <v>4315.5119999999997</v>
      </c>
      <c r="M433" s="294">
        <f t="shared" si="928"/>
        <v>4315.5119999999997</v>
      </c>
      <c r="N433" s="493">
        <f t="shared" si="907"/>
        <v>4275.5119999999997</v>
      </c>
      <c r="O433" s="294">
        <f t="shared" si="929"/>
        <v>4275.5119999999997</v>
      </c>
      <c r="P433" s="493">
        <f t="shared" si="909"/>
        <v>4250.5119999999997</v>
      </c>
      <c r="Q433" s="294">
        <f t="shared" si="930"/>
        <v>4250.5119999999997</v>
      </c>
      <c r="R433" s="493">
        <f t="shared" si="911"/>
        <v>4230.5119999999997</v>
      </c>
      <c r="S433" s="294">
        <f t="shared" si="931"/>
        <v>4230.5119999999997</v>
      </c>
      <c r="T433" s="493">
        <f t="shared" si="913"/>
        <v>4220.5119999999997</v>
      </c>
      <c r="U433" s="294">
        <f t="shared" si="932"/>
        <v>4220.5119999999997</v>
      </c>
      <c r="V433" s="493">
        <f t="shared" si="915"/>
        <v>4208.5119999999997</v>
      </c>
      <c r="W433" s="294">
        <f t="shared" si="933"/>
        <v>4208.5119999999997</v>
      </c>
      <c r="X433" s="658"/>
      <c r="Y433" s="658"/>
      <c r="Z433" s="658"/>
      <c r="AA433" s="658"/>
      <c r="AB433" s="420" t="s">
        <v>674</v>
      </c>
      <c r="AC433" s="66"/>
    </row>
    <row r="434" spans="1:33" ht="12.6" customHeight="1" x14ac:dyDescent="0.2">
      <c r="A434" s="105"/>
      <c r="B434" s="662" t="s">
        <v>677</v>
      </c>
      <c r="C434" s="678"/>
      <c r="D434" s="678"/>
      <c r="E434" s="678"/>
      <c r="F434" s="392">
        <f>4.056*X2</f>
        <v>4165.5119999999997</v>
      </c>
      <c r="G434" s="293">
        <f t="shared" si="934"/>
        <v>4165.5119999999997</v>
      </c>
      <c r="H434" s="623">
        <f t="shared" si="901"/>
        <v>4665.5119999999997</v>
      </c>
      <c r="I434" s="293">
        <f t="shared" si="926"/>
        <v>4665.5119999999997</v>
      </c>
      <c r="J434" s="623">
        <f t="shared" si="903"/>
        <v>4365.5119999999997</v>
      </c>
      <c r="K434" s="293">
        <f t="shared" si="927"/>
        <v>4365.5119999999997</v>
      </c>
      <c r="L434" s="623">
        <f t="shared" si="905"/>
        <v>4315.5119999999997</v>
      </c>
      <c r="M434" s="293">
        <f t="shared" si="928"/>
        <v>4315.5119999999997</v>
      </c>
      <c r="N434" s="623">
        <f t="shared" si="907"/>
        <v>4275.5119999999997</v>
      </c>
      <c r="O434" s="293">
        <f t="shared" si="929"/>
        <v>4275.5119999999997</v>
      </c>
      <c r="P434" s="623">
        <f t="shared" si="909"/>
        <v>4250.5119999999997</v>
      </c>
      <c r="Q434" s="293">
        <f t="shared" si="930"/>
        <v>4250.5119999999997</v>
      </c>
      <c r="R434" s="623">
        <f t="shared" si="911"/>
        <v>4230.5119999999997</v>
      </c>
      <c r="S434" s="293">
        <f t="shared" si="931"/>
        <v>4230.5119999999997</v>
      </c>
      <c r="T434" s="623">
        <f t="shared" si="913"/>
        <v>4220.5119999999997</v>
      </c>
      <c r="U434" s="293">
        <f t="shared" si="932"/>
        <v>4220.5119999999997</v>
      </c>
      <c r="V434" s="623">
        <f t="shared" si="915"/>
        <v>4208.5119999999997</v>
      </c>
      <c r="W434" s="293">
        <f t="shared" si="933"/>
        <v>4208.5119999999997</v>
      </c>
      <c r="X434" s="658"/>
      <c r="Y434" s="658"/>
      <c r="Z434" s="658"/>
      <c r="AA434" s="658"/>
      <c r="AB434" s="420" t="s">
        <v>675</v>
      </c>
      <c r="AC434" s="66"/>
    </row>
    <row r="435" spans="1:33" ht="12.6" customHeight="1" x14ac:dyDescent="0.2">
      <c r="A435" s="105"/>
      <c r="B435" s="664" t="s">
        <v>678</v>
      </c>
      <c r="C435" s="665"/>
      <c r="D435" s="665"/>
      <c r="E435" s="665"/>
      <c r="F435" s="393">
        <f>4.036*X2</f>
        <v>4144.9719999999998</v>
      </c>
      <c r="G435" s="294">
        <f t="shared" ref="G435" si="935">+F435*$X$1</f>
        <v>4144.9719999999998</v>
      </c>
      <c r="H435" s="493">
        <f t="shared" si="901"/>
        <v>4644.9719999999998</v>
      </c>
      <c r="I435" s="294">
        <f t="shared" si="926"/>
        <v>4644.9719999999998</v>
      </c>
      <c r="J435" s="493">
        <f t="shared" si="903"/>
        <v>4344.9719999999998</v>
      </c>
      <c r="K435" s="294">
        <f t="shared" si="927"/>
        <v>4344.9719999999998</v>
      </c>
      <c r="L435" s="493">
        <f t="shared" si="905"/>
        <v>4294.9719999999998</v>
      </c>
      <c r="M435" s="294">
        <f t="shared" si="928"/>
        <v>4294.9719999999998</v>
      </c>
      <c r="N435" s="493">
        <f t="shared" si="907"/>
        <v>4254.9719999999998</v>
      </c>
      <c r="O435" s="294">
        <f t="shared" si="929"/>
        <v>4254.9719999999998</v>
      </c>
      <c r="P435" s="493">
        <f t="shared" si="909"/>
        <v>4229.9719999999998</v>
      </c>
      <c r="Q435" s="294">
        <f t="shared" si="930"/>
        <v>4229.9719999999998</v>
      </c>
      <c r="R435" s="493">
        <f t="shared" si="911"/>
        <v>4209.9719999999998</v>
      </c>
      <c r="S435" s="294">
        <f t="shared" si="931"/>
        <v>4209.9719999999998</v>
      </c>
      <c r="T435" s="493">
        <f t="shared" si="913"/>
        <v>4199.9719999999998</v>
      </c>
      <c r="U435" s="294">
        <f t="shared" si="932"/>
        <v>4199.9719999999998</v>
      </c>
      <c r="V435" s="493">
        <f t="shared" si="915"/>
        <v>4187.9719999999998</v>
      </c>
      <c r="W435" s="294">
        <f t="shared" si="933"/>
        <v>4187.9719999999998</v>
      </c>
      <c r="X435" s="658"/>
      <c r="Y435" s="658"/>
      <c r="Z435" s="658"/>
      <c r="AA435" s="658"/>
      <c r="AB435" s="420" t="s">
        <v>679</v>
      </c>
      <c r="AC435" s="66"/>
    </row>
    <row r="436" spans="1:33" ht="12.6" customHeight="1" x14ac:dyDescent="0.2">
      <c r="A436" s="105"/>
      <c r="B436" s="763" t="s">
        <v>932</v>
      </c>
      <c r="C436" s="764"/>
      <c r="D436" s="764"/>
      <c r="E436" s="764"/>
      <c r="F436" s="392">
        <f>3.77*X2</f>
        <v>3871.79</v>
      </c>
      <c r="G436" s="293">
        <f t="shared" ref="G436" si="936">+F436*$X$1</f>
        <v>3871.79</v>
      </c>
      <c r="H436" s="623"/>
      <c r="I436" s="293"/>
      <c r="J436" s="623">
        <f>F436+300</f>
        <v>4171.79</v>
      </c>
      <c r="K436" s="293">
        <f t="shared" ref="K436" si="937">+J436*$X$1</f>
        <v>4171.79</v>
      </c>
      <c r="L436" s="623">
        <f>F436+240</f>
        <v>4111.79</v>
      </c>
      <c r="M436" s="293">
        <f t="shared" ref="M436" si="938">+L436*$X$1</f>
        <v>4111.79</v>
      </c>
      <c r="N436" s="623">
        <f>F436+200</f>
        <v>4071.79</v>
      </c>
      <c r="O436" s="293">
        <f t="shared" ref="O436" si="939">+N436*$X$1</f>
        <v>4071.79</v>
      </c>
      <c r="P436" s="623">
        <f>F436+160</f>
        <v>4031.79</v>
      </c>
      <c r="Q436" s="293">
        <f t="shared" ref="Q436" si="940">+P436*$X$1</f>
        <v>4031.79</v>
      </c>
      <c r="R436" s="623">
        <f>F436+140</f>
        <v>4011.79</v>
      </c>
      <c r="S436" s="293">
        <f t="shared" ref="S436" si="941">+R436*$X$1</f>
        <v>4011.79</v>
      </c>
      <c r="T436" s="623">
        <f>F436+110</f>
        <v>3981.79</v>
      </c>
      <c r="U436" s="293">
        <f t="shared" ref="U436" si="942">+T436*$X$1</f>
        <v>3981.79</v>
      </c>
      <c r="V436" s="623">
        <f>F436+90</f>
        <v>3961.79</v>
      </c>
      <c r="W436" s="293">
        <f t="shared" ref="W436" si="943">+V436*$X$1</f>
        <v>3961.79</v>
      </c>
      <c r="X436" s="658"/>
      <c r="Y436" s="658"/>
      <c r="Z436" s="658"/>
      <c r="AA436" s="658"/>
      <c r="AB436" s="420" t="s">
        <v>933</v>
      </c>
      <c r="AC436" s="66"/>
    </row>
    <row r="437" spans="1:33" ht="12.6" customHeight="1" x14ac:dyDescent="0.2">
      <c r="A437" s="18"/>
      <c r="B437" s="646" t="s">
        <v>355</v>
      </c>
      <c r="C437" s="647"/>
      <c r="D437" s="647"/>
      <c r="E437" s="648"/>
      <c r="F437" s="339">
        <v>1225</v>
      </c>
      <c r="G437" s="294">
        <f t="shared" ref="G437:G447" si="944">+F437*$X$1</f>
        <v>1225</v>
      </c>
      <c r="H437" s="265"/>
      <c r="I437" s="719" t="s">
        <v>520</v>
      </c>
      <c r="J437" s="720"/>
      <c r="K437" s="720"/>
      <c r="L437" s="720"/>
      <c r="M437" s="721"/>
      <c r="N437" s="493">
        <v>1750</v>
      </c>
      <c r="O437" s="294">
        <f>+N437*$X$1</f>
        <v>1750</v>
      </c>
      <c r="P437" s="106">
        <v>1745</v>
      </c>
      <c r="Q437" s="294">
        <f t="shared" ref="Q437" si="945">+P437*$X$1</f>
        <v>1745</v>
      </c>
      <c r="R437" s="493">
        <v>1571</v>
      </c>
      <c r="S437" s="294">
        <f>+R437*$X$1</f>
        <v>1571</v>
      </c>
      <c r="T437" s="493">
        <v>1462</v>
      </c>
      <c r="U437" s="294">
        <f>+T437*$X$1</f>
        <v>1462</v>
      </c>
      <c r="V437" s="493">
        <v>1419</v>
      </c>
      <c r="W437" s="294">
        <f t="shared" ref="W437" si="946">+V437*$X$1</f>
        <v>1419</v>
      </c>
      <c r="X437" s="136"/>
      <c r="Y437" s="136"/>
      <c r="Z437" s="136"/>
      <c r="AA437" s="139"/>
      <c r="AB437" s="29"/>
    </row>
    <row r="438" spans="1:33" ht="12.6" customHeight="1" x14ac:dyDescent="0.2">
      <c r="A438" s="18"/>
      <c r="B438" s="649" t="s">
        <v>356</v>
      </c>
      <c r="C438" s="650"/>
      <c r="D438" s="650"/>
      <c r="E438" s="651"/>
      <c r="F438" s="340">
        <v>1225</v>
      </c>
      <c r="G438" s="293">
        <f t="shared" si="944"/>
        <v>1225</v>
      </c>
      <c r="H438" s="265"/>
      <c r="I438" s="722"/>
      <c r="J438" s="723"/>
      <c r="K438" s="723"/>
      <c r="L438" s="723"/>
      <c r="M438" s="724"/>
      <c r="N438" s="595">
        <v>1750</v>
      </c>
      <c r="O438" s="293">
        <f>+N438*$X$1</f>
        <v>1750</v>
      </c>
      <c r="P438" s="102">
        <v>1745</v>
      </c>
      <c r="Q438" s="293">
        <f t="shared" ref="Q438:Q439" si="947">+P438*$X$1</f>
        <v>1745</v>
      </c>
      <c r="R438" s="595">
        <v>1571</v>
      </c>
      <c r="S438" s="293">
        <f>+R438*$X$1</f>
        <v>1571</v>
      </c>
      <c r="T438" s="595">
        <v>1462</v>
      </c>
      <c r="U438" s="293">
        <f>+T438*$X$1</f>
        <v>1462</v>
      </c>
      <c r="V438" s="595">
        <v>1419</v>
      </c>
      <c r="W438" s="293">
        <f t="shared" ref="W438:W439" si="948">+V438*$X$1</f>
        <v>1419</v>
      </c>
      <c r="X438" s="136"/>
      <c r="Y438" s="136"/>
      <c r="Z438" s="136"/>
      <c r="AA438" s="139"/>
      <c r="AB438" s="197"/>
    </row>
    <row r="439" spans="1:33" ht="12.6" customHeight="1" x14ac:dyDescent="0.2">
      <c r="A439" s="18"/>
      <c r="B439" s="646" t="s">
        <v>357</v>
      </c>
      <c r="C439" s="647"/>
      <c r="D439" s="647"/>
      <c r="E439" s="648"/>
      <c r="F439" s="339">
        <v>1225</v>
      </c>
      <c r="G439" s="294">
        <f t="shared" si="944"/>
        <v>1225</v>
      </c>
      <c r="H439" s="17"/>
      <c r="I439" s="725"/>
      <c r="J439" s="726"/>
      <c r="K439" s="726"/>
      <c r="L439" s="726"/>
      <c r="M439" s="727"/>
      <c r="N439" s="493">
        <v>1750</v>
      </c>
      <c r="O439" s="294">
        <f>+N439*$X$1</f>
        <v>1750</v>
      </c>
      <c r="P439" s="106">
        <v>1745</v>
      </c>
      <c r="Q439" s="294">
        <f t="shared" si="947"/>
        <v>1745</v>
      </c>
      <c r="R439" s="493">
        <v>1571</v>
      </c>
      <c r="S439" s="294">
        <f>+R439*$X$1</f>
        <v>1571</v>
      </c>
      <c r="T439" s="493">
        <v>1462</v>
      </c>
      <c r="U439" s="294">
        <f>+T439*$X$1</f>
        <v>1462</v>
      </c>
      <c r="V439" s="493">
        <v>1419</v>
      </c>
      <c r="W439" s="294">
        <f t="shared" si="948"/>
        <v>1419</v>
      </c>
      <c r="X439" s="136"/>
      <c r="Y439" s="136"/>
      <c r="Z439" s="136"/>
      <c r="AA439" s="139"/>
      <c r="AB439" s="197"/>
      <c r="AG439" s="233"/>
    </row>
    <row r="440" spans="1:33" ht="12.6" customHeight="1" x14ac:dyDescent="0.2">
      <c r="A440" s="18"/>
      <c r="B440" s="761" t="s">
        <v>261</v>
      </c>
      <c r="C440" s="762"/>
      <c r="D440" s="762"/>
      <c r="E440" s="762"/>
      <c r="F440" s="392">
        <f>3.11*X2</f>
        <v>3193.97</v>
      </c>
      <c r="G440" s="293">
        <f t="shared" si="944"/>
        <v>3193.97</v>
      </c>
      <c r="H440" s="286"/>
      <c r="I440" s="286"/>
      <c r="J440" s="598">
        <f>F440+200</f>
        <v>3393.97</v>
      </c>
      <c r="K440" s="293">
        <f>+J440*$X$1</f>
        <v>3393.97</v>
      </c>
      <c r="L440" s="598">
        <f>F440+140</f>
        <v>3333.97</v>
      </c>
      <c r="M440" s="293">
        <f>+L440*$X$1</f>
        <v>3333.97</v>
      </c>
      <c r="N440" s="598">
        <f>F440+70</f>
        <v>3263.97</v>
      </c>
      <c r="O440" s="293">
        <f>+N440*$X$1</f>
        <v>3263.97</v>
      </c>
      <c r="P440" s="598">
        <f>F440+60</f>
        <v>3253.97</v>
      </c>
      <c r="Q440" s="293">
        <f>+P440*$X$1</f>
        <v>3253.97</v>
      </c>
      <c r="R440" s="598">
        <f>F440+50</f>
        <v>3243.97</v>
      </c>
      <c r="S440" s="293">
        <f>+R440*$X$1</f>
        <v>3243.97</v>
      </c>
      <c r="T440" s="104">
        <f>F440+44</f>
        <v>3237.97</v>
      </c>
      <c r="U440" s="260">
        <f>+T440*$X$1</f>
        <v>3237.97</v>
      </c>
      <c r="V440" s="104">
        <f>F440+38</f>
        <v>3231.97</v>
      </c>
      <c r="W440" s="260">
        <f>+V440*$X$1</f>
        <v>3231.97</v>
      </c>
      <c r="X440" s="640"/>
      <c r="Y440" s="640"/>
      <c r="Z440" s="640"/>
      <c r="AA440" s="641"/>
      <c r="AB440" s="197" t="s">
        <v>262</v>
      </c>
    </row>
    <row r="441" spans="1:33" ht="12.6" customHeight="1" x14ac:dyDescent="0.2">
      <c r="A441" s="18"/>
      <c r="B441" s="642" t="s">
        <v>413</v>
      </c>
      <c r="C441" s="643"/>
      <c r="D441" s="643"/>
      <c r="E441" s="643"/>
      <c r="F441" s="393">
        <f>1.1*X2</f>
        <v>1129.7</v>
      </c>
      <c r="G441" s="294">
        <f t="shared" si="944"/>
        <v>1129.7</v>
      </c>
      <c r="H441" s="285"/>
      <c r="I441" s="285"/>
      <c r="J441" s="493">
        <f>F441+200</f>
        <v>1329.7</v>
      </c>
      <c r="K441" s="294">
        <f>+J441*$X$1</f>
        <v>1329.7</v>
      </c>
      <c r="L441" s="493">
        <f>F441+140</f>
        <v>1269.7</v>
      </c>
      <c r="M441" s="294">
        <f>+L441*$X$1</f>
        <v>1269.7</v>
      </c>
      <c r="N441" s="493">
        <f>F441+70</f>
        <v>1199.7</v>
      </c>
      <c r="O441" s="294">
        <f>+N441*$X$1</f>
        <v>1199.7</v>
      </c>
      <c r="P441" s="493">
        <f>F441+60</f>
        <v>1189.7</v>
      </c>
      <c r="Q441" s="294">
        <f>+P441*$X$1</f>
        <v>1189.7</v>
      </c>
      <c r="R441" s="493">
        <f>F441+50</f>
        <v>1179.7</v>
      </c>
      <c r="S441" s="294">
        <f>+R441*$X$1</f>
        <v>1179.7</v>
      </c>
      <c r="T441" s="103">
        <f>F441+44</f>
        <v>1173.7</v>
      </c>
      <c r="U441" s="313">
        <f>+T441*$X$1</f>
        <v>1173.7</v>
      </c>
      <c r="V441" s="103">
        <f>F441+38</f>
        <v>1167.7</v>
      </c>
      <c r="W441" s="313">
        <f>+V441*$X$1</f>
        <v>1167.7</v>
      </c>
      <c r="X441" s="640"/>
      <c r="Y441" s="640"/>
      <c r="Z441" s="640"/>
      <c r="AA441" s="641"/>
      <c r="AB441" s="197" t="s">
        <v>450</v>
      </c>
    </row>
    <row r="442" spans="1:33" s="66" customFormat="1" ht="12.6" customHeight="1" x14ac:dyDescent="0.25">
      <c r="A442" s="98"/>
      <c r="B442" s="692" t="s">
        <v>353</v>
      </c>
      <c r="C442" s="728"/>
      <c r="D442" s="728"/>
      <c r="E442" s="728"/>
      <c r="F442" s="340">
        <v>635</v>
      </c>
      <c r="G442" s="293">
        <f t="shared" si="944"/>
        <v>635</v>
      </c>
      <c r="H442" s="284"/>
      <c r="I442" s="719" t="s">
        <v>516</v>
      </c>
      <c r="J442" s="749"/>
      <c r="K442" s="749"/>
      <c r="L442" s="750"/>
      <c r="M442" s="751"/>
      <c r="N442" s="595">
        <v>1243</v>
      </c>
      <c r="O442" s="293">
        <f t="shared" ref="O442:O451" si="949">+N442*$X$1</f>
        <v>1243</v>
      </c>
      <c r="P442" s="304">
        <v>1238</v>
      </c>
      <c r="Q442" s="293">
        <f t="shared" ref="Q442:Q451" si="950">+P442*$X$1</f>
        <v>1238</v>
      </c>
      <c r="R442" s="595">
        <v>1143</v>
      </c>
      <c r="S442" s="293">
        <f t="shared" ref="S442:S451" si="951">+R442*$X$1</f>
        <v>1143</v>
      </c>
      <c r="T442" s="595">
        <v>1039</v>
      </c>
      <c r="U442" s="293">
        <f t="shared" ref="U442:U451" si="952">+T442*$X$1</f>
        <v>1039</v>
      </c>
      <c r="V442" s="595">
        <v>989</v>
      </c>
      <c r="W442" s="293">
        <f t="shared" ref="W442:W451" si="953">+V442*$X$1</f>
        <v>989</v>
      </c>
      <c r="X442" s="153"/>
      <c r="Y442" s="153"/>
      <c r="Z442" s="153"/>
      <c r="AA442" s="154"/>
      <c r="AB442" s="437" t="s">
        <v>263</v>
      </c>
    </row>
    <row r="443" spans="1:33" s="66" customFormat="1" ht="12.6" customHeight="1" x14ac:dyDescent="0.25">
      <c r="A443" s="98"/>
      <c r="B443" s="642" t="s">
        <v>354</v>
      </c>
      <c r="C443" s="643"/>
      <c r="D443" s="643"/>
      <c r="E443" s="643"/>
      <c r="F443" s="339">
        <v>635</v>
      </c>
      <c r="G443" s="294">
        <f t="shared" si="944"/>
        <v>635</v>
      </c>
      <c r="H443" s="290"/>
      <c r="I443" s="752"/>
      <c r="J443" s="753"/>
      <c r="K443" s="753"/>
      <c r="L443" s="754"/>
      <c r="M443" s="755"/>
      <c r="N443" s="493">
        <v>1562</v>
      </c>
      <c r="O443" s="294">
        <f t="shared" si="949"/>
        <v>1562</v>
      </c>
      <c r="P443" s="303">
        <v>1557</v>
      </c>
      <c r="Q443" s="294">
        <f t="shared" si="950"/>
        <v>1557</v>
      </c>
      <c r="R443" s="493">
        <v>1471</v>
      </c>
      <c r="S443" s="294">
        <f t="shared" si="951"/>
        <v>1471</v>
      </c>
      <c r="T443" s="493">
        <v>1416</v>
      </c>
      <c r="U443" s="294">
        <f t="shared" si="952"/>
        <v>1416</v>
      </c>
      <c r="V443" s="493">
        <v>1347</v>
      </c>
      <c r="W443" s="294">
        <f t="shared" si="953"/>
        <v>1347</v>
      </c>
      <c r="X443" s="175"/>
      <c r="Y443" s="136"/>
      <c r="Z443" s="136"/>
      <c r="AA443" s="139"/>
      <c r="AB443" s="438"/>
    </row>
    <row r="444" spans="1:33" s="66" customFormat="1" ht="12.6" customHeight="1" x14ac:dyDescent="0.25">
      <c r="A444" s="98"/>
      <c r="B444" s="644" t="s">
        <v>369</v>
      </c>
      <c r="C444" s="645"/>
      <c r="D444" s="645"/>
      <c r="E444" s="645"/>
      <c r="F444" s="340">
        <v>635</v>
      </c>
      <c r="G444" s="293">
        <f t="shared" si="944"/>
        <v>635</v>
      </c>
      <c r="H444" s="282"/>
      <c r="I444" s="752"/>
      <c r="J444" s="753"/>
      <c r="K444" s="753"/>
      <c r="L444" s="754"/>
      <c r="M444" s="755"/>
      <c r="N444" s="595">
        <v>1243</v>
      </c>
      <c r="O444" s="293">
        <f t="shared" ref="O444:O445" si="954">+N444*$X$1</f>
        <v>1243</v>
      </c>
      <c r="P444" s="304">
        <v>1238</v>
      </c>
      <c r="Q444" s="293">
        <f t="shared" ref="Q444:Q445" si="955">+P444*$X$1</f>
        <v>1238</v>
      </c>
      <c r="R444" s="595">
        <v>1143</v>
      </c>
      <c r="S444" s="293">
        <f t="shared" ref="S444:S445" si="956">+R444*$X$1</f>
        <v>1143</v>
      </c>
      <c r="T444" s="595">
        <v>1039</v>
      </c>
      <c r="U444" s="293">
        <f t="shared" ref="U444:U445" si="957">+T444*$X$1</f>
        <v>1039</v>
      </c>
      <c r="V444" s="595">
        <v>989</v>
      </c>
      <c r="W444" s="293">
        <f t="shared" ref="W444:W445" si="958">+V444*$X$1</f>
        <v>989</v>
      </c>
      <c r="X444" s="136"/>
      <c r="Y444" s="136"/>
      <c r="Z444" s="136"/>
      <c r="AA444" s="139"/>
      <c r="AB444" s="437" t="s">
        <v>264</v>
      </c>
    </row>
    <row r="445" spans="1:33" s="66" customFormat="1" ht="12" customHeight="1" x14ac:dyDescent="0.25">
      <c r="A445" s="98"/>
      <c r="B445" s="642" t="s">
        <v>370</v>
      </c>
      <c r="C445" s="643"/>
      <c r="D445" s="643"/>
      <c r="E445" s="643"/>
      <c r="F445" s="339">
        <v>635</v>
      </c>
      <c r="G445" s="294">
        <f t="shared" si="944"/>
        <v>635</v>
      </c>
      <c r="H445" s="290"/>
      <c r="I445" s="752"/>
      <c r="J445" s="753"/>
      <c r="K445" s="753"/>
      <c r="L445" s="754"/>
      <c r="M445" s="755"/>
      <c r="N445" s="493">
        <v>1562</v>
      </c>
      <c r="O445" s="294">
        <f t="shared" si="954"/>
        <v>1562</v>
      </c>
      <c r="P445" s="303">
        <v>1557</v>
      </c>
      <c r="Q445" s="294">
        <f t="shared" si="955"/>
        <v>1557</v>
      </c>
      <c r="R445" s="493">
        <v>1471</v>
      </c>
      <c r="S445" s="294">
        <f t="shared" si="956"/>
        <v>1471</v>
      </c>
      <c r="T445" s="493">
        <v>1416</v>
      </c>
      <c r="U445" s="294">
        <f t="shared" si="957"/>
        <v>1416</v>
      </c>
      <c r="V445" s="493">
        <v>1347</v>
      </c>
      <c r="W445" s="294">
        <f t="shared" si="958"/>
        <v>1347</v>
      </c>
      <c r="X445" s="153"/>
      <c r="Y445" s="153"/>
      <c r="Z445" s="136"/>
      <c r="AA445" s="139"/>
      <c r="AB445" s="438"/>
    </row>
    <row r="446" spans="1:33" s="66" customFormat="1" ht="12.6" customHeight="1" x14ac:dyDescent="0.25">
      <c r="A446" s="98"/>
      <c r="B446" s="644" t="s">
        <v>265</v>
      </c>
      <c r="C446" s="645"/>
      <c r="D446" s="645"/>
      <c r="E446" s="645"/>
      <c r="F446" s="340">
        <v>635</v>
      </c>
      <c r="G446" s="293">
        <f t="shared" si="944"/>
        <v>635</v>
      </c>
      <c r="H446" s="282"/>
      <c r="I446" s="756"/>
      <c r="J446" s="757"/>
      <c r="K446" s="757"/>
      <c r="L446" s="754"/>
      <c r="M446" s="755"/>
      <c r="N446" s="595">
        <v>1407</v>
      </c>
      <c r="O446" s="293">
        <f t="shared" ref="O446" si="959">+N446*$X$1</f>
        <v>1407</v>
      </c>
      <c r="P446" s="304">
        <v>1403</v>
      </c>
      <c r="Q446" s="293">
        <f t="shared" ref="Q446" si="960">+P446*$X$1</f>
        <v>1403</v>
      </c>
      <c r="R446" s="595">
        <v>1254</v>
      </c>
      <c r="S446" s="293">
        <f t="shared" ref="S446" si="961">+R446*$X$1</f>
        <v>1254</v>
      </c>
      <c r="T446" s="595">
        <v>1159</v>
      </c>
      <c r="U446" s="293">
        <f t="shared" ref="U446" si="962">+T446*$X$1</f>
        <v>1159</v>
      </c>
      <c r="V446" s="595">
        <v>1095</v>
      </c>
      <c r="W446" s="293">
        <f t="shared" ref="W446" si="963">+V446*$X$1</f>
        <v>1095</v>
      </c>
      <c r="X446" s="136"/>
      <c r="Y446" s="136"/>
      <c r="Z446" s="136"/>
      <c r="AA446" s="139"/>
      <c r="AB446" s="437" t="s">
        <v>266</v>
      </c>
      <c r="AE446" s="245"/>
    </row>
    <row r="447" spans="1:33" s="66" customFormat="1" ht="12.6" customHeight="1" x14ac:dyDescent="0.25">
      <c r="A447" s="98"/>
      <c r="B447" s="642" t="s">
        <v>267</v>
      </c>
      <c r="C447" s="643"/>
      <c r="D447" s="643"/>
      <c r="E447" s="643"/>
      <c r="F447" s="339">
        <v>635</v>
      </c>
      <c r="G447" s="294">
        <f t="shared" si="944"/>
        <v>635</v>
      </c>
      <c r="H447" s="290"/>
      <c r="I447" s="758"/>
      <c r="J447" s="759"/>
      <c r="K447" s="759"/>
      <c r="L447" s="759"/>
      <c r="M447" s="760"/>
      <c r="N447" s="493">
        <v>1710</v>
      </c>
      <c r="O447" s="294">
        <f t="shared" si="949"/>
        <v>1710</v>
      </c>
      <c r="P447" s="303">
        <v>1706</v>
      </c>
      <c r="Q447" s="294">
        <f t="shared" si="950"/>
        <v>1706</v>
      </c>
      <c r="R447" s="493">
        <v>1616</v>
      </c>
      <c r="S447" s="294">
        <f t="shared" si="951"/>
        <v>1616</v>
      </c>
      <c r="T447" s="493">
        <v>1568</v>
      </c>
      <c r="U447" s="294">
        <f t="shared" si="952"/>
        <v>1568</v>
      </c>
      <c r="V447" s="493">
        <v>1501</v>
      </c>
      <c r="W447" s="294">
        <f t="shared" si="953"/>
        <v>1501</v>
      </c>
      <c r="X447" s="136"/>
      <c r="Y447" s="136"/>
      <c r="Z447" s="136"/>
      <c r="AA447" s="139"/>
      <c r="AB447" s="437" t="s">
        <v>268</v>
      </c>
    </row>
    <row r="448" spans="1:33" ht="12.6" customHeight="1" x14ac:dyDescent="0.2">
      <c r="A448" s="18"/>
      <c r="B448" s="649" t="s">
        <v>269</v>
      </c>
      <c r="C448" s="650"/>
      <c r="D448" s="650"/>
      <c r="E448" s="651"/>
      <c r="F448" s="392">
        <f>2.97*X2</f>
        <v>3050.19</v>
      </c>
      <c r="G448" s="293">
        <f t="shared" ref="G448:G449" si="964">+F448*$X$1</f>
        <v>3050.19</v>
      </c>
      <c r="H448" s="623">
        <f t="shared" ref="H448:H453" si="965">F448+500</f>
        <v>3550.19</v>
      </c>
      <c r="I448" s="293">
        <f t="shared" ref="I448:I451" si="966">+H448*$X$1</f>
        <v>3550.19</v>
      </c>
      <c r="J448" s="623">
        <f t="shared" ref="J448:J453" si="967">F448+200</f>
        <v>3250.19</v>
      </c>
      <c r="K448" s="293">
        <f t="shared" ref="K448:K451" si="968">+J448*$X$1</f>
        <v>3250.19</v>
      </c>
      <c r="L448" s="623">
        <f>F448+150</f>
        <v>3200.19</v>
      </c>
      <c r="M448" s="293">
        <f t="shared" ref="M448:M451" si="969">+L448*$X$1</f>
        <v>3200.19</v>
      </c>
      <c r="N448" s="623">
        <f>F448+110</f>
        <v>3160.19</v>
      </c>
      <c r="O448" s="293">
        <f t="shared" si="949"/>
        <v>3160.19</v>
      </c>
      <c r="P448" s="623">
        <f>F448+85</f>
        <v>3135.19</v>
      </c>
      <c r="Q448" s="293">
        <f t="shared" si="950"/>
        <v>3135.19</v>
      </c>
      <c r="R448" s="623">
        <f>F448+65</f>
        <v>3115.19</v>
      </c>
      <c r="S448" s="293">
        <f t="shared" si="951"/>
        <v>3115.19</v>
      </c>
      <c r="T448" s="623">
        <f>F448+55</f>
        <v>3105.19</v>
      </c>
      <c r="U448" s="293">
        <f t="shared" si="952"/>
        <v>3105.19</v>
      </c>
      <c r="V448" s="623">
        <f>F448+43</f>
        <v>3093.19</v>
      </c>
      <c r="W448" s="293">
        <f t="shared" si="953"/>
        <v>3093.19</v>
      </c>
      <c r="X448" s="658"/>
      <c r="Y448" s="658"/>
      <c r="Z448" s="658"/>
      <c r="AA448" s="654"/>
      <c r="AB448" s="197" t="s">
        <v>270</v>
      </c>
    </row>
    <row r="449" spans="1:28" ht="12.6" customHeight="1" x14ac:dyDescent="0.2">
      <c r="A449" s="18"/>
      <c r="B449" s="646" t="s">
        <v>271</v>
      </c>
      <c r="C449" s="647"/>
      <c r="D449" s="647"/>
      <c r="E449" s="648"/>
      <c r="F449" s="393">
        <f>2.25*X2</f>
        <v>2310.75</v>
      </c>
      <c r="G449" s="294">
        <f t="shared" si="964"/>
        <v>2310.75</v>
      </c>
      <c r="H449" s="493">
        <f t="shared" si="965"/>
        <v>2810.75</v>
      </c>
      <c r="I449" s="294">
        <f t="shared" si="966"/>
        <v>2810.75</v>
      </c>
      <c r="J449" s="493">
        <f t="shared" si="967"/>
        <v>2510.75</v>
      </c>
      <c r="K449" s="294">
        <f t="shared" si="968"/>
        <v>2510.75</v>
      </c>
      <c r="L449" s="493">
        <f>F449+150</f>
        <v>2460.75</v>
      </c>
      <c r="M449" s="294">
        <f t="shared" si="969"/>
        <v>2460.75</v>
      </c>
      <c r="N449" s="493"/>
      <c r="O449" s="294"/>
      <c r="P449" s="493"/>
      <c r="Q449" s="294"/>
      <c r="R449" s="493"/>
      <c r="S449" s="294"/>
      <c r="T449" s="493"/>
      <c r="U449" s="294"/>
      <c r="V449" s="493"/>
      <c r="W449" s="294"/>
      <c r="X449" s="658"/>
      <c r="Y449" s="658"/>
      <c r="Z449" s="658"/>
      <c r="AA449" s="654"/>
      <c r="AB449" s="197" t="s">
        <v>443</v>
      </c>
    </row>
    <row r="450" spans="1:28" ht="12.6" customHeight="1" x14ac:dyDescent="0.2">
      <c r="A450" s="18"/>
      <c r="B450" s="649" t="s">
        <v>807</v>
      </c>
      <c r="C450" s="650"/>
      <c r="D450" s="650"/>
      <c r="E450" s="651"/>
      <c r="F450" s="340">
        <v>3338</v>
      </c>
      <c r="G450" s="293">
        <f t="shared" ref="G450" si="970">+F450*$X$1</f>
        <v>3338</v>
      </c>
      <c r="H450" s="623">
        <f t="shared" si="965"/>
        <v>3838</v>
      </c>
      <c r="I450" s="293">
        <f t="shared" si="966"/>
        <v>3838</v>
      </c>
      <c r="J450" s="623">
        <f t="shared" si="967"/>
        <v>3538</v>
      </c>
      <c r="K450" s="293">
        <f t="shared" si="968"/>
        <v>3538</v>
      </c>
      <c r="L450" s="623">
        <f>F450+150</f>
        <v>3488</v>
      </c>
      <c r="M450" s="293">
        <f t="shared" si="969"/>
        <v>3488</v>
      </c>
      <c r="N450" s="623">
        <f>F450+110</f>
        <v>3448</v>
      </c>
      <c r="O450" s="293">
        <f t="shared" si="949"/>
        <v>3448</v>
      </c>
      <c r="P450" s="623">
        <f>F450+85</f>
        <v>3423</v>
      </c>
      <c r="Q450" s="293">
        <f t="shared" si="950"/>
        <v>3423</v>
      </c>
      <c r="R450" s="623">
        <f>F450+65</f>
        <v>3403</v>
      </c>
      <c r="S450" s="293">
        <f t="shared" si="951"/>
        <v>3403</v>
      </c>
      <c r="T450" s="623">
        <f>F450+55</f>
        <v>3393</v>
      </c>
      <c r="U450" s="293">
        <f t="shared" si="952"/>
        <v>3393</v>
      </c>
      <c r="V450" s="623">
        <f>F450+43</f>
        <v>3381</v>
      </c>
      <c r="W450" s="293">
        <f t="shared" si="953"/>
        <v>3381</v>
      </c>
      <c r="X450" s="658"/>
      <c r="Y450" s="658"/>
      <c r="Z450" s="658"/>
      <c r="AA450" s="654"/>
      <c r="AB450" s="197" t="s">
        <v>806</v>
      </c>
    </row>
    <row r="451" spans="1:28" ht="12.6" customHeight="1" x14ac:dyDescent="0.2">
      <c r="A451" s="18"/>
      <c r="B451" s="646" t="s">
        <v>397</v>
      </c>
      <c r="C451" s="647"/>
      <c r="D451" s="647"/>
      <c r="E451" s="648"/>
      <c r="F451" s="393">
        <f>1.2*X2</f>
        <v>1232.3999999999999</v>
      </c>
      <c r="G451" s="294">
        <f t="shared" ref="G451:G453" si="971">+F451*$X$1</f>
        <v>1232.3999999999999</v>
      </c>
      <c r="H451" s="493">
        <f t="shared" si="965"/>
        <v>1732.3999999999999</v>
      </c>
      <c r="I451" s="294">
        <f t="shared" si="966"/>
        <v>1732.3999999999999</v>
      </c>
      <c r="J451" s="493">
        <f t="shared" si="967"/>
        <v>1432.3999999999999</v>
      </c>
      <c r="K451" s="294">
        <f t="shared" si="968"/>
        <v>1432.3999999999999</v>
      </c>
      <c r="L451" s="493">
        <f>F451+150</f>
        <v>1382.3999999999999</v>
      </c>
      <c r="M451" s="294">
        <f t="shared" si="969"/>
        <v>1382.3999999999999</v>
      </c>
      <c r="N451" s="493">
        <f>F451+110</f>
        <v>1342.3999999999999</v>
      </c>
      <c r="O451" s="294">
        <f t="shared" si="949"/>
        <v>1342.3999999999999</v>
      </c>
      <c r="P451" s="493">
        <f>F451+85</f>
        <v>1317.3999999999999</v>
      </c>
      <c r="Q451" s="294">
        <f t="shared" si="950"/>
        <v>1317.3999999999999</v>
      </c>
      <c r="R451" s="493">
        <f>F451+65</f>
        <v>1297.3999999999999</v>
      </c>
      <c r="S451" s="294">
        <f t="shared" si="951"/>
        <v>1297.3999999999999</v>
      </c>
      <c r="T451" s="493">
        <f>F451+55</f>
        <v>1287.3999999999999</v>
      </c>
      <c r="U451" s="294">
        <f t="shared" si="952"/>
        <v>1287.3999999999999</v>
      </c>
      <c r="V451" s="493">
        <f>F451+43</f>
        <v>1275.3999999999999</v>
      </c>
      <c r="W451" s="294">
        <f t="shared" si="953"/>
        <v>1275.3999999999999</v>
      </c>
      <c r="X451" s="658"/>
      <c r="Y451" s="653"/>
      <c r="Z451" s="653"/>
      <c r="AA451" s="654"/>
      <c r="AB451" s="197" t="s">
        <v>444</v>
      </c>
    </row>
    <row r="452" spans="1:28" ht="12.6" customHeight="1" x14ac:dyDescent="0.2">
      <c r="A452" s="105"/>
      <c r="B452" s="893" t="s">
        <v>272</v>
      </c>
      <c r="C452" s="894"/>
      <c r="D452" s="894"/>
      <c r="E452" s="894"/>
      <c r="F452" s="601">
        <v>750</v>
      </c>
      <c r="G452" s="602">
        <f t="shared" si="971"/>
        <v>750</v>
      </c>
      <c r="H452" s="628">
        <f t="shared" si="965"/>
        <v>1250</v>
      </c>
      <c r="I452" s="602">
        <f t="shared" ref="I452" si="972">+H452*$X$1</f>
        <v>1250</v>
      </c>
      <c r="J452" s="628">
        <f t="shared" si="967"/>
        <v>950</v>
      </c>
      <c r="K452" s="602">
        <f t="shared" ref="K452" si="973">+J452*$X$1</f>
        <v>950</v>
      </c>
      <c r="L452" s="628"/>
      <c r="M452" s="602"/>
      <c r="N452" s="628"/>
      <c r="O452" s="602"/>
      <c r="P452" s="628"/>
      <c r="Q452" s="602"/>
      <c r="R452" s="628"/>
      <c r="S452" s="602"/>
      <c r="T452" s="628"/>
      <c r="U452" s="602"/>
      <c r="V452" s="628"/>
      <c r="W452" s="602"/>
      <c r="X452" s="658"/>
      <c r="Y452" s="658"/>
      <c r="Z452" s="658"/>
      <c r="AA452" s="658"/>
      <c r="AB452" s="421" t="s">
        <v>273</v>
      </c>
    </row>
    <row r="453" spans="1:28" ht="12.6" customHeight="1" x14ac:dyDescent="0.2">
      <c r="A453" s="18"/>
      <c r="B453" s="646" t="s">
        <v>931</v>
      </c>
      <c r="C453" s="647"/>
      <c r="D453" s="647"/>
      <c r="E453" s="648"/>
      <c r="F453" s="393">
        <f>4.19*X2</f>
        <v>4303.13</v>
      </c>
      <c r="G453" s="294">
        <f t="shared" si="971"/>
        <v>4303.13</v>
      </c>
      <c r="H453" s="493">
        <f t="shared" si="965"/>
        <v>4803.13</v>
      </c>
      <c r="I453" s="294">
        <f t="shared" ref="I453" si="974">+H453*$X$1</f>
        <v>4803.13</v>
      </c>
      <c r="J453" s="493">
        <f t="shared" si="967"/>
        <v>4503.13</v>
      </c>
      <c r="K453" s="294">
        <f t="shared" ref="K453" si="975">+J453*$X$1</f>
        <v>4503.13</v>
      </c>
      <c r="L453" s="493">
        <f>F453+150</f>
        <v>4453.13</v>
      </c>
      <c r="M453" s="294">
        <f t="shared" ref="M453" si="976">+L453*$X$1</f>
        <v>4453.13</v>
      </c>
      <c r="N453" s="493">
        <f>F453+110</f>
        <v>4413.13</v>
      </c>
      <c r="O453" s="294">
        <f t="shared" ref="O453" si="977">+N453*$X$1</f>
        <v>4413.13</v>
      </c>
      <c r="P453" s="493">
        <f>F453+85</f>
        <v>4388.13</v>
      </c>
      <c r="Q453" s="294">
        <f t="shared" ref="Q453" si="978">+P453*$X$1</f>
        <v>4388.13</v>
      </c>
      <c r="R453" s="493">
        <f>F453+65</f>
        <v>4368.13</v>
      </c>
      <c r="S453" s="294">
        <f t="shared" ref="S453" si="979">+R453*$X$1</f>
        <v>4368.13</v>
      </c>
      <c r="T453" s="493">
        <f>F453+55</f>
        <v>4358.13</v>
      </c>
      <c r="U453" s="294">
        <f t="shared" ref="U453" si="980">+T453*$X$1</f>
        <v>4358.13</v>
      </c>
      <c r="V453" s="493">
        <f>F453+43</f>
        <v>4346.13</v>
      </c>
      <c r="W453" s="294">
        <f t="shared" ref="W453" si="981">+V453*$X$1</f>
        <v>4346.13</v>
      </c>
      <c r="X453" s="658"/>
      <c r="Y453" s="658"/>
      <c r="Z453" s="658"/>
      <c r="AA453" s="654"/>
      <c r="AB453" s="197" t="s">
        <v>840</v>
      </c>
    </row>
    <row r="454" spans="1:28" ht="12.6" customHeight="1" x14ac:dyDescent="0.2">
      <c r="A454" s="18"/>
      <c r="B454" s="692" t="s">
        <v>274</v>
      </c>
      <c r="C454" s="789"/>
      <c r="D454" s="789"/>
      <c r="E454" s="789"/>
      <c r="F454" s="314">
        <v>3637</v>
      </c>
      <c r="G454" s="293">
        <f t="shared" ref="G454:G461" si="982">+F454*$X$1</f>
        <v>3637</v>
      </c>
      <c r="H454" s="286"/>
      <c r="I454" s="353"/>
      <c r="J454" s="623">
        <f>F454+66</f>
        <v>3703</v>
      </c>
      <c r="K454" s="293"/>
      <c r="L454" s="623">
        <f t="shared" ref="L454:L460" si="983">F454+340</f>
        <v>3977</v>
      </c>
      <c r="M454" s="293">
        <f t="shared" ref="M454:M461" si="984">+L454*$X$1</f>
        <v>3977</v>
      </c>
      <c r="N454" s="623">
        <f t="shared" ref="N454:N460" si="985">F454+310</f>
        <v>3947</v>
      </c>
      <c r="O454" s="293">
        <f t="shared" ref="O454" si="986">+N454*$X$1</f>
        <v>3947</v>
      </c>
      <c r="P454" s="623">
        <f t="shared" ref="P454:P460" si="987">F454+280</f>
        <v>3917</v>
      </c>
      <c r="Q454" s="293">
        <f t="shared" ref="Q454" si="988">+P454*$X$1</f>
        <v>3917</v>
      </c>
      <c r="R454" s="623">
        <f t="shared" ref="R454:R460" si="989">F454+250</f>
        <v>3887</v>
      </c>
      <c r="S454" s="293">
        <f t="shared" ref="S454" si="990">+R454*$X$1</f>
        <v>3887</v>
      </c>
      <c r="T454" s="623">
        <f t="shared" ref="T454:T460" si="991">F454+220</f>
        <v>3857</v>
      </c>
      <c r="U454" s="293">
        <f t="shared" ref="U454" si="992">+T454*$X$1</f>
        <v>3857</v>
      </c>
      <c r="V454" s="623">
        <f t="shared" ref="V454:V460" si="993">F454+200</f>
        <v>3837</v>
      </c>
      <c r="W454" s="293">
        <f t="shared" ref="W454" si="994">+V454*$X$1</f>
        <v>3837</v>
      </c>
      <c r="X454" s="150"/>
      <c r="Y454" s="132"/>
      <c r="Z454" s="132"/>
      <c r="AA454" s="132"/>
      <c r="AB454" s="197" t="s">
        <v>275</v>
      </c>
    </row>
    <row r="455" spans="1:28" ht="12.6" customHeight="1" x14ac:dyDescent="0.2">
      <c r="A455" s="18"/>
      <c r="B455" s="642" t="s">
        <v>276</v>
      </c>
      <c r="C455" s="643"/>
      <c r="D455" s="643"/>
      <c r="E455" s="643"/>
      <c r="F455" s="294">
        <v>5071</v>
      </c>
      <c r="G455" s="294">
        <f t="shared" si="982"/>
        <v>5071</v>
      </c>
      <c r="H455" s="285"/>
      <c r="I455" s="354"/>
      <c r="J455" s="493">
        <f>F455+66</f>
        <v>5137</v>
      </c>
      <c r="K455" s="294"/>
      <c r="L455" s="493">
        <f t="shared" si="983"/>
        <v>5411</v>
      </c>
      <c r="M455" s="294">
        <f t="shared" ref="M455:M460" si="995">+L455*$X$1</f>
        <v>5411</v>
      </c>
      <c r="N455" s="493">
        <f t="shared" si="985"/>
        <v>5381</v>
      </c>
      <c r="O455" s="294">
        <f t="shared" ref="O455:O460" si="996">+N455*$X$1</f>
        <v>5381</v>
      </c>
      <c r="P455" s="493">
        <f t="shared" si="987"/>
        <v>5351</v>
      </c>
      <c r="Q455" s="294">
        <f t="shared" ref="Q455:Q460" si="997">+P455*$X$1</f>
        <v>5351</v>
      </c>
      <c r="R455" s="493">
        <f t="shared" si="989"/>
        <v>5321</v>
      </c>
      <c r="S455" s="294">
        <f t="shared" ref="S455:S460" si="998">+R455*$X$1</f>
        <v>5321</v>
      </c>
      <c r="T455" s="493">
        <f t="shared" si="991"/>
        <v>5291</v>
      </c>
      <c r="U455" s="294">
        <f t="shared" ref="U455:U460" si="999">+T455*$X$1</f>
        <v>5291</v>
      </c>
      <c r="V455" s="493">
        <f t="shared" si="993"/>
        <v>5271</v>
      </c>
      <c r="W455" s="294">
        <f t="shared" ref="W455:W460" si="1000">+V455*$X$1</f>
        <v>5271</v>
      </c>
      <c r="X455" s="150"/>
      <c r="Y455" s="132"/>
      <c r="Z455" s="132"/>
      <c r="AA455" s="132"/>
      <c r="AB455" s="436"/>
    </row>
    <row r="456" spans="1:28" ht="12.6" customHeight="1" x14ac:dyDescent="0.2">
      <c r="A456" s="18"/>
      <c r="B456" s="644" t="s">
        <v>277</v>
      </c>
      <c r="C456" s="645"/>
      <c r="D456" s="645"/>
      <c r="E456" s="645"/>
      <c r="F456" s="293">
        <v>3956</v>
      </c>
      <c r="G456" s="293">
        <f t="shared" si="982"/>
        <v>3956</v>
      </c>
      <c r="H456" s="286"/>
      <c r="I456" s="353"/>
      <c r="J456" s="623">
        <f>F456+80</f>
        <v>4036</v>
      </c>
      <c r="K456" s="293"/>
      <c r="L456" s="623">
        <f t="shared" si="983"/>
        <v>4296</v>
      </c>
      <c r="M456" s="293">
        <f t="shared" si="995"/>
        <v>4296</v>
      </c>
      <c r="N456" s="623">
        <f t="shared" si="985"/>
        <v>4266</v>
      </c>
      <c r="O456" s="293">
        <f t="shared" si="996"/>
        <v>4266</v>
      </c>
      <c r="P456" s="623">
        <f t="shared" si="987"/>
        <v>4236</v>
      </c>
      <c r="Q456" s="293">
        <f t="shared" si="997"/>
        <v>4236</v>
      </c>
      <c r="R456" s="623">
        <f t="shared" si="989"/>
        <v>4206</v>
      </c>
      <c r="S456" s="293">
        <f t="shared" si="998"/>
        <v>4206</v>
      </c>
      <c r="T456" s="623">
        <f t="shared" si="991"/>
        <v>4176</v>
      </c>
      <c r="U456" s="293">
        <f t="shared" si="999"/>
        <v>4176</v>
      </c>
      <c r="V456" s="623">
        <f t="shared" si="993"/>
        <v>4156</v>
      </c>
      <c r="W456" s="293">
        <f t="shared" si="1000"/>
        <v>4156</v>
      </c>
      <c r="X456" s="150"/>
      <c r="Y456" s="132"/>
      <c r="Z456" s="132"/>
      <c r="AA456" s="132"/>
      <c r="AB456" s="197" t="s">
        <v>278</v>
      </c>
    </row>
    <row r="457" spans="1:28" ht="12.6" customHeight="1" x14ac:dyDescent="0.2">
      <c r="A457" s="18"/>
      <c r="B457" s="642" t="s">
        <v>279</v>
      </c>
      <c r="C457" s="643"/>
      <c r="D457" s="643"/>
      <c r="E457" s="643"/>
      <c r="F457" s="294">
        <v>5580</v>
      </c>
      <c r="G457" s="294">
        <f t="shared" si="982"/>
        <v>5580</v>
      </c>
      <c r="H457" s="285"/>
      <c r="I457" s="354"/>
      <c r="J457" s="493">
        <f>F457+80</f>
        <v>5660</v>
      </c>
      <c r="K457" s="294"/>
      <c r="L457" s="493">
        <f t="shared" si="983"/>
        <v>5920</v>
      </c>
      <c r="M457" s="294">
        <f t="shared" si="995"/>
        <v>5920</v>
      </c>
      <c r="N457" s="493">
        <f t="shared" si="985"/>
        <v>5890</v>
      </c>
      <c r="O457" s="294">
        <f t="shared" si="996"/>
        <v>5890</v>
      </c>
      <c r="P457" s="493">
        <f t="shared" si="987"/>
        <v>5860</v>
      </c>
      <c r="Q457" s="294">
        <f t="shared" si="997"/>
        <v>5860</v>
      </c>
      <c r="R457" s="493">
        <f t="shared" si="989"/>
        <v>5830</v>
      </c>
      <c r="S457" s="294">
        <f t="shared" si="998"/>
        <v>5830</v>
      </c>
      <c r="T457" s="493">
        <f t="shared" si="991"/>
        <v>5800</v>
      </c>
      <c r="U457" s="294">
        <f t="shared" si="999"/>
        <v>5800</v>
      </c>
      <c r="V457" s="493">
        <f t="shared" si="993"/>
        <v>5780</v>
      </c>
      <c r="W457" s="294">
        <f t="shared" si="1000"/>
        <v>5780</v>
      </c>
      <c r="X457" s="150"/>
      <c r="Y457" s="132"/>
      <c r="Z457" s="132"/>
      <c r="AA457" s="132"/>
      <c r="AB457" s="436"/>
    </row>
    <row r="458" spans="1:28" ht="12.6" customHeight="1" x14ac:dyDescent="0.2">
      <c r="A458" s="18"/>
      <c r="B458" s="637" t="s">
        <v>939</v>
      </c>
      <c r="C458" s="638"/>
      <c r="D458" s="638"/>
      <c r="E458" s="638"/>
      <c r="F458" s="293">
        <v>9820</v>
      </c>
      <c r="G458" s="293">
        <f t="shared" ref="G458" si="1001">+F458*$X$1</f>
        <v>9820</v>
      </c>
      <c r="H458" s="286"/>
      <c r="I458" s="353"/>
      <c r="J458" s="623">
        <f>F458+390</f>
        <v>10210</v>
      </c>
      <c r="K458" s="293">
        <f t="shared" ref="K458" si="1002">+J458*$X$1</f>
        <v>10210</v>
      </c>
      <c r="L458" s="623">
        <f t="shared" si="983"/>
        <v>10160</v>
      </c>
      <c r="M458" s="293">
        <f t="shared" ref="M458" si="1003">+L458*$X$1</f>
        <v>10160</v>
      </c>
      <c r="N458" s="623">
        <f t="shared" si="985"/>
        <v>10130</v>
      </c>
      <c r="O458" s="293">
        <f t="shared" ref="O458" si="1004">+N458*$X$1</f>
        <v>10130</v>
      </c>
      <c r="P458" s="623">
        <f t="shared" si="987"/>
        <v>10100</v>
      </c>
      <c r="Q458" s="293">
        <f t="shared" ref="Q458" si="1005">+P458*$X$1</f>
        <v>10100</v>
      </c>
      <c r="R458" s="623">
        <f t="shared" si="989"/>
        <v>10070</v>
      </c>
      <c r="S458" s="293">
        <f t="shared" ref="S458" si="1006">+R458*$X$1</f>
        <v>10070</v>
      </c>
      <c r="T458" s="623">
        <f t="shared" si="991"/>
        <v>10040</v>
      </c>
      <c r="U458" s="293">
        <f t="shared" ref="U458" si="1007">+T458*$X$1</f>
        <v>10040</v>
      </c>
      <c r="V458" s="623">
        <f t="shared" si="993"/>
        <v>10020</v>
      </c>
      <c r="W458" s="293">
        <f t="shared" ref="W458" si="1008">+V458*$X$1</f>
        <v>10020</v>
      </c>
      <c r="X458" s="150"/>
      <c r="Y458" s="132"/>
      <c r="Z458" s="132"/>
      <c r="AA458" s="132"/>
      <c r="AB458" s="197" t="s">
        <v>940</v>
      </c>
    </row>
    <row r="459" spans="1:28" ht="12.6" customHeight="1" x14ac:dyDescent="0.2">
      <c r="A459" s="18"/>
      <c r="B459" s="642" t="s">
        <v>659</v>
      </c>
      <c r="C459" s="643"/>
      <c r="D459" s="643"/>
      <c r="E459" s="643"/>
      <c r="F459" s="294">
        <v>5170</v>
      </c>
      <c r="G459" s="294">
        <f t="shared" si="982"/>
        <v>5170</v>
      </c>
      <c r="H459" s="285"/>
      <c r="I459" s="354"/>
      <c r="J459" s="493">
        <f>F459+66</f>
        <v>5236</v>
      </c>
      <c r="K459" s="294"/>
      <c r="L459" s="493">
        <f t="shared" si="983"/>
        <v>5510</v>
      </c>
      <c r="M459" s="294">
        <f t="shared" si="995"/>
        <v>5510</v>
      </c>
      <c r="N459" s="493">
        <f t="shared" si="985"/>
        <v>5480</v>
      </c>
      <c r="O459" s="294">
        <f t="shared" si="996"/>
        <v>5480</v>
      </c>
      <c r="P459" s="493">
        <f t="shared" si="987"/>
        <v>5450</v>
      </c>
      <c r="Q459" s="294">
        <f t="shared" si="997"/>
        <v>5450</v>
      </c>
      <c r="R459" s="493">
        <f t="shared" si="989"/>
        <v>5420</v>
      </c>
      <c r="S459" s="294">
        <f t="shared" si="998"/>
        <v>5420</v>
      </c>
      <c r="T459" s="493">
        <f t="shared" si="991"/>
        <v>5390</v>
      </c>
      <c r="U459" s="294">
        <f t="shared" si="999"/>
        <v>5390</v>
      </c>
      <c r="V459" s="493">
        <f t="shared" si="993"/>
        <v>5370</v>
      </c>
      <c r="W459" s="294">
        <f t="shared" si="1000"/>
        <v>5370</v>
      </c>
      <c r="X459" s="150"/>
      <c r="Y459" s="132"/>
      <c r="Z459" s="132"/>
      <c r="AA459" s="132"/>
      <c r="AB459" s="197" t="s">
        <v>280</v>
      </c>
    </row>
    <row r="460" spans="1:28" ht="12.6" customHeight="1" x14ac:dyDescent="0.2">
      <c r="A460" s="18"/>
      <c r="B460" s="644" t="s">
        <v>660</v>
      </c>
      <c r="C460" s="645"/>
      <c r="D460" s="645"/>
      <c r="E460" s="645"/>
      <c r="F460" s="293">
        <v>5696</v>
      </c>
      <c r="G460" s="293">
        <f t="shared" si="982"/>
        <v>5696</v>
      </c>
      <c r="H460" s="286"/>
      <c r="I460" s="353"/>
      <c r="J460" s="623">
        <f>F460+80</f>
        <v>5776</v>
      </c>
      <c r="K460" s="293"/>
      <c r="L460" s="623">
        <f t="shared" si="983"/>
        <v>6036</v>
      </c>
      <c r="M460" s="293">
        <f t="shared" si="995"/>
        <v>6036</v>
      </c>
      <c r="N460" s="623">
        <f t="shared" si="985"/>
        <v>6006</v>
      </c>
      <c r="O460" s="293">
        <f t="shared" si="996"/>
        <v>6006</v>
      </c>
      <c r="P460" s="623">
        <f t="shared" si="987"/>
        <v>5976</v>
      </c>
      <c r="Q460" s="293">
        <f t="shared" si="997"/>
        <v>5976</v>
      </c>
      <c r="R460" s="623">
        <f t="shared" si="989"/>
        <v>5946</v>
      </c>
      <c r="S460" s="293">
        <f t="shared" si="998"/>
        <v>5946</v>
      </c>
      <c r="T460" s="623">
        <f t="shared" si="991"/>
        <v>5916</v>
      </c>
      <c r="U460" s="293">
        <f t="shared" si="999"/>
        <v>5916</v>
      </c>
      <c r="V460" s="623">
        <f t="shared" si="993"/>
        <v>5896</v>
      </c>
      <c r="W460" s="293">
        <f t="shared" si="1000"/>
        <v>5896</v>
      </c>
      <c r="X460" s="150"/>
      <c r="Y460" s="132"/>
      <c r="Z460" s="132"/>
      <c r="AA460" s="132"/>
      <c r="AB460" s="197" t="s">
        <v>281</v>
      </c>
    </row>
    <row r="461" spans="1:28" ht="12.6" customHeight="1" x14ac:dyDescent="0.25">
      <c r="A461" s="18"/>
      <c r="B461" s="642" t="s">
        <v>341</v>
      </c>
      <c r="C461" s="643"/>
      <c r="D461" s="643"/>
      <c r="E461" s="643"/>
      <c r="F461" s="339">
        <v>6990</v>
      </c>
      <c r="G461" s="294">
        <f t="shared" si="982"/>
        <v>6990</v>
      </c>
      <c r="H461" s="493">
        <f t="shared" ref="H461:H466" si="1009">F461+500</f>
        <v>7490</v>
      </c>
      <c r="I461" s="294">
        <f t="shared" ref="I461:I468" si="1010">+H461*$X$1</f>
        <v>7490</v>
      </c>
      <c r="J461" s="493">
        <f t="shared" ref="J461:J466" si="1011">F461+360</f>
        <v>7350</v>
      </c>
      <c r="K461" s="294">
        <f t="shared" ref="K461:K468" si="1012">+J461*$X$1</f>
        <v>7350</v>
      </c>
      <c r="L461" s="493">
        <f t="shared" ref="L461:L466" si="1013">F461+310</f>
        <v>7300</v>
      </c>
      <c r="M461" s="294">
        <f t="shared" si="984"/>
        <v>7300</v>
      </c>
      <c r="N461" s="493">
        <f t="shared" ref="N461:N466" si="1014">F461+280</f>
        <v>7270</v>
      </c>
      <c r="O461" s="294">
        <f t="shared" ref="O461" si="1015">+N461*$X$1</f>
        <v>7270</v>
      </c>
      <c r="P461" s="493">
        <f t="shared" ref="P461:P466" si="1016">F461+250</f>
        <v>7240</v>
      </c>
      <c r="Q461" s="294">
        <f t="shared" ref="Q461" si="1017">+P461*$X$1</f>
        <v>7240</v>
      </c>
      <c r="R461" s="493">
        <f t="shared" ref="R461:R466" si="1018">F461+230</f>
        <v>7220</v>
      </c>
      <c r="S461" s="294">
        <f t="shared" ref="S461" si="1019">+R461*$X$1</f>
        <v>7220</v>
      </c>
      <c r="T461" s="493">
        <f t="shared" ref="T461:T466" si="1020">F461+210</f>
        <v>7200</v>
      </c>
      <c r="U461" s="294">
        <f t="shared" ref="U461" si="1021">+T461*$X$1</f>
        <v>7200</v>
      </c>
      <c r="V461" s="493">
        <f t="shared" ref="V461:V466" si="1022">F461+190</f>
        <v>7180</v>
      </c>
      <c r="W461" s="294">
        <f t="shared" ref="W461" si="1023">+V461*$X$1</f>
        <v>7180</v>
      </c>
      <c r="X461" s="747"/>
      <c r="Y461" s="748"/>
      <c r="Z461" s="748"/>
      <c r="AA461" s="748"/>
      <c r="AB461" s="197" t="s">
        <v>282</v>
      </c>
    </row>
    <row r="462" spans="1:28" ht="12.6" customHeight="1" x14ac:dyDescent="0.25">
      <c r="A462" s="18"/>
      <c r="B462" s="657" t="s">
        <v>524</v>
      </c>
      <c r="C462" s="650"/>
      <c r="D462" s="650"/>
      <c r="E462" s="651"/>
      <c r="F462" s="340">
        <v>3300</v>
      </c>
      <c r="G462" s="293">
        <f t="shared" ref="G462" si="1024">+F462*$X$1</f>
        <v>3300</v>
      </c>
      <c r="H462" s="623">
        <f t="shared" si="1009"/>
        <v>3800</v>
      </c>
      <c r="I462" s="293">
        <f t="shared" ref="I462:I466" si="1025">+H462*$X$1</f>
        <v>3800</v>
      </c>
      <c r="J462" s="623">
        <f t="shared" si="1011"/>
        <v>3660</v>
      </c>
      <c r="K462" s="293">
        <f t="shared" ref="K462:K466" si="1026">+J462*$X$1</f>
        <v>3660</v>
      </c>
      <c r="L462" s="623">
        <f t="shared" si="1013"/>
        <v>3610</v>
      </c>
      <c r="M462" s="293">
        <f t="shared" ref="M462:M468" si="1027">+L462*$X$1</f>
        <v>3610</v>
      </c>
      <c r="N462" s="623">
        <f t="shared" si="1014"/>
        <v>3580</v>
      </c>
      <c r="O462" s="293">
        <f t="shared" ref="O462:O468" si="1028">+N462*$X$1</f>
        <v>3580</v>
      </c>
      <c r="P462" s="623">
        <f t="shared" si="1016"/>
        <v>3550</v>
      </c>
      <c r="Q462" s="293">
        <f t="shared" ref="Q462:Q468" si="1029">+P462*$X$1</f>
        <v>3550</v>
      </c>
      <c r="R462" s="623">
        <f t="shared" si="1018"/>
        <v>3530</v>
      </c>
      <c r="S462" s="293">
        <f t="shared" ref="S462:S468" si="1030">+R462*$X$1</f>
        <v>3530</v>
      </c>
      <c r="T462" s="623">
        <f t="shared" si="1020"/>
        <v>3510</v>
      </c>
      <c r="U462" s="293">
        <f t="shared" ref="U462:U468" si="1031">+T462*$X$1</f>
        <v>3510</v>
      </c>
      <c r="V462" s="623">
        <f t="shared" si="1022"/>
        <v>3490</v>
      </c>
      <c r="W462" s="293">
        <f t="shared" ref="W462:W468" si="1032">+V462*$X$1</f>
        <v>3490</v>
      </c>
      <c r="X462" s="747"/>
      <c r="Y462" s="748"/>
      <c r="Z462" s="748"/>
      <c r="AA462" s="748"/>
      <c r="AB462" s="197" t="s">
        <v>458</v>
      </c>
    </row>
    <row r="463" spans="1:28" ht="12.6" customHeight="1" x14ac:dyDescent="0.2">
      <c r="A463" s="18"/>
      <c r="B463" s="642" t="s">
        <v>394</v>
      </c>
      <c r="C463" s="643"/>
      <c r="D463" s="643"/>
      <c r="E463" s="643"/>
      <c r="F463" s="339">
        <v>4124</v>
      </c>
      <c r="G463" s="294">
        <f>+F463*$X$1</f>
        <v>4124</v>
      </c>
      <c r="H463" s="493">
        <f t="shared" si="1009"/>
        <v>4624</v>
      </c>
      <c r="I463" s="294">
        <f t="shared" si="1025"/>
        <v>4624</v>
      </c>
      <c r="J463" s="493">
        <f t="shared" si="1011"/>
        <v>4484</v>
      </c>
      <c r="K463" s="294">
        <f t="shared" si="1026"/>
        <v>4484</v>
      </c>
      <c r="L463" s="493">
        <f t="shared" si="1013"/>
        <v>4434</v>
      </c>
      <c r="M463" s="294">
        <f t="shared" si="1027"/>
        <v>4434</v>
      </c>
      <c r="N463" s="493">
        <f t="shared" si="1014"/>
        <v>4404</v>
      </c>
      <c r="O463" s="294">
        <f t="shared" si="1028"/>
        <v>4404</v>
      </c>
      <c r="P463" s="493">
        <f t="shared" si="1016"/>
        <v>4374</v>
      </c>
      <c r="Q463" s="294">
        <f t="shared" si="1029"/>
        <v>4374</v>
      </c>
      <c r="R463" s="493">
        <f t="shared" si="1018"/>
        <v>4354</v>
      </c>
      <c r="S463" s="294">
        <f t="shared" si="1030"/>
        <v>4354</v>
      </c>
      <c r="T463" s="493">
        <f t="shared" si="1020"/>
        <v>4334</v>
      </c>
      <c r="U463" s="294">
        <f t="shared" si="1031"/>
        <v>4334</v>
      </c>
      <c r="V463" s="493">
        <f t="shared" si="1022"/>
        <v>4314</v>
      </c>
      <c r="W463" s="294">
        <f t="shared" si="1032"/>
        <v>4314</v>
      </c>
      <c r="X463" s="768"/>
      <c r="Y463" s="769"/>
      <c r="Z463" s="769"/>
      <c r="AA463" s="770"/>
      <c r="AB463" s="197" t="s">
        <v>283</v>
      </c>
    </row>
    <row r="464" spans="1:28" ht="12.6" customHeight="1" x14ac:dyDescent="0.25">
      <c r="A464" s="18"/>
      <c r="B464" s="745" t="s">
        <v>862</v>
      </c>
      <c r="C464" s="746"/>
      <c r="D464" s="746"/>
      <c r="E464" s="746"/>
      <c r="F464" s="340">
        <v>4124</v>
      </c>
      <c r="G464" s="293">
        <f t="shared" ref="G464:G466" si="1033">+F464*$X$1</f>
        <v>4124</v>
      </c>
      <c r="H464" s="623">
        <f t="shared" si="1009"/>
        <v>4624</v>
      </c>
      <c r="I464" s="293">
        <f t="shared" si="1025"/>
        <v>4624</v>
      </c>
      <c r="J464" s="623">
        <f t="shared" si="1011"/>
        <v>4484</v>
      </c>
      <c r="K464" s="293">
        <f t="shared" si="1026"/>
        <v>4484</v>
      </c>
      <c r="L464" s="623">
        <f t="shared" si="1013"/>
        <v>4434</v>
      </c>
      <c r="M464" s="293">
        <f t="shared" si="1027"/>
        <v>4434</v>
      </c>
      <c r="N464" s="623">
        <f t="shared" si="1014"/>
        <v>4404</v>
      </c>
      <c r="O464" s="293">
        <f t="shared" si="1028"/>
        <v>4404</v>
      </c>
      <c r="P464" s="623">
        <f t="shared" si="1016"/>
        <v>4374</v>
      </c>
      <c r="Q464" s="293">
        <f t="shared" si="1029"/>
        <v>4374</v>
      </c>
      <c r="R464" s="623">
        <f t="shared" si="1018"/>
        <v>4354</v>
      </c>
      <c r="S464" s="293">
        <f t="shared" si="1030"/>
        <v>4354</v>
      </c>
      <c r="T464" s="623">
        <f t="shared" si="1020"/>
        <v>4334</v>
      </c>
      <c r="U464" s="293">
        <f t="shared" si="1031"/>
        <v>4334</v>
      </c>
      <c r="V464" s="623">
        <f t="shared" si="1022"/>
        <v>4314</v>
      </c>
      <c r="W464" s="293">
        <f t="shared" si="1032"/>
        <v>4314</v>
      </c>
      <c r="X464" s="747"/>
      <c r="Y464" s="748"/>
      <c r="Z464" s="748"/>
      <c r="AA464" s="748"/>
      <c r="AB464" s="197" t="s">
        <v>284</v>
      </c>
    </row>
    <row r="465" spans="1:34" ht="12.6" customHeight="1" x14ac:dyDescent="0.25">
      <c r="A465" s="18"/>
      <c r="B465" s="891" t="s">
        <v>557</v>
      </c>
      <c r="C465" s="647"/>
      <c r="D465" s="647"/>
      <c r="E465" s="648"/>
      <c r="F465" s="630">
        <v>3300</v>
      </c>
      <c r="G465" s="294">
        <f>+F465*$X$1</f>
        <v>3300</v>
      </c>
      <c r="H465" s="493">
        <f t="shared" si="1009"/>
        <v>3800</v>
      </c>
      <c r="I465" s="294">
        <f t="shared" si="1025"/>
        <v>3800</v>
      </c>
      <c r="J465" s="493">
        <f t="shared" si="1011"/>
        <v>3660</v>
      </c>
      <c r="K465" s="294">
        <f t="shared" si="1026"/>
        <v>3660</v>
      </c>
      <c r="L465" s="493">
        <f t="shared" si="1013"/>
        <v>3610</v>
      </c>
      <c r="M465" s="294">
        <f t="shared" si="1027"/>
        <v>3610</v>
      </c>
      <c r="N465" s="493">
        <f t="shared" si="1014"/>
        <v>3580</v>
      </c>
      <c r="O465" s="294">
        <f t="shared" si="1028"/>
        <v>3580</v>
      </c>
      <c r="P465" s="493">
        <f t="shared" si="1016"/>
        <v>3550</v>
      </c>
      <c r="Q465" s="294">
        <f t="shared" si="1029"/>
        <v>3550</v>
      </c>
      <c r="R465" s="493">
        <f t="shared" si="1018"/>
        <v>3530</v>
      </c>
      <c r="S465" s="294">
        <f t="shared" si="1030"/>
        <v>3530</v>
      </c>
      <c r="T465" s="493">
        <f t="shared" si="1020"/>
        <v>3510</v>
      </c>
      <c r="U465" s="294">
        <f t="shared" si="1031"/>
        <v>3510</v>
      </c>
      <c r="V465" s="493">
        <f t="shared" si="1022"/>
        <v>3490</v>
      </c>
      <c r="W465" s="294">
        <f t="shared" si="1032"/>
        <v>3490</v>
      </c>
      <c r="X465" s="747"/>
      <c r="Y465" s="748"/>
      <c r="Z465" s="748"/>
      <c r="AA465" s="748"/>
      <c r="AB465" s="29"/>
    </row>
    <row r="466" spans="1:34" ht="12.6" customHeight="1" x14ac:dyDescent="0.25">
      <c r="A466" s="18"/>
      <c r="B466" s="644" t="s">
        <v>340</v>
      </c>
      <c r="C466" s="645"/>
      <c r="D466" s="645"/>
      <c r="E466" s="645"/>
      <c r="F466" s="340">
        <v>6552</v>
      </c>
      <c r="G466" s="293">
        <f t="shared" si="1033"/>
        <v>6552</v>
      </c>
      <c r="H466" s="623">
        <f t="shared" si="1009"/>
        <v>7052</v>
      </c>
      <c r="I466" s="293">
        <f t="shared" si="1025"/>
        <v>7052</v>
      </c>
      <c r="J466" s="623">
        <f t="shared" si="1011"/>
        <v>6912</v>
      </c>
      <c r="K466" s="293">
        <f t="shared" si="1026"/>
        <v>6912</v>
      </c>
      <c r="L466" s="623">
        <f t="shared" si="1013"/>
        <v>6862</v>
      </c>
      <c r="M466" s="293">
        <f t="shared" si="1027"/>
        <v>6862</v>
      </c>
      <c r="N466" s="623">
        <f t="shared" si="1014"/>
        <v>6832</v>
      </c>
      <c r="O466" s="293">
        <f t="shared" si="1028"/>
        <v>6832</v>
      </c>
      <c r="P466" s="623">
        <f t="shared" si="1016"/>
        <v>6802</v>
      </c>
      <c r="Q466" s="293">
        <f t="shared" si="1029"/>
        <v>6802</v>
      </c>
      <c r="R466" s="623">
        <f t="shared" si="1018"/>
        <v>6782</v>
      </c>
      <c r="S466" s="293">
        <f t="shared" si="1030"/>
        <v>6782</v>
      </c>
      <c r="T466" s="623">
        <f t="shared" si="1020"/>
        <v>6762</v>
      </c>
      <c r="U466" s="293">
        <f t="shared" si="1031"/>
        <v>6762</v>
      </c>
      <c r="V466" s="623">
        <f t="shared" si="1022"/>
        <v>6742</v>
      </c>
      <c r="W466" s="293">
        <f t="shared" si="1032"/>
        <v>6742</v>
      </c>
      <c r="X466" s="747"/>
      <c r="Y466" s="748"/>
      <c r="Z466" s="748"/>
      <c r="AA466" s="748"/>
      <c r="AB466" s="197" t="s">
        <v>285</v>
      </c>
    </row>
    <row r="467" spans="1:34" ht="12.6" customHeight="1" x14ac:dyDescent="0.2">
      <c r="A467" s="18"/>
      <c r="B467" s="642" t="s">
        <v>787</v>
      </c>
      <c r="C467" s="989"/>
      <c r="D467" s="989"/>
      <c r="E467" s="989"/>
      <c r="F467" s="294">
        <v>11450</v>
      </c>
      <c r="G467" s="294">
        <f>+F467*$X$1</f>
        <v>11450</v>
      </c>
      <c r="H467" s="493">
        <f>F467+550</f>
        <v>12000</v>
      </c>
      <c r="I467" s="294">
        <f t="shared" si="1010"/>
        <v>12000</v>
      </c>
      <c r="J467" s="493">
        <f>F467+390</f>
        <v>11840</v>
      </c>
      <c r="K467" s="294">
        <f t="shared" si="1012"/>
        <v>11840</v>
      </c>
      <c r="L467" s="493">
        <f>F467+340</f>
        <v>11790</v>
      </c>
      <c r="M467" s="294">
        <f t="shared" si="1027"/>
        <v>11790</v>
      </c>
      <c r="N467" s="493">
        <f>F467+310</f>
        <v>11760</v>
      </c>
      <c r="O467" s="294">
        <f t="shared" si="1028"/>
        <v>11760</v>
      </c>
      <c r="P467" s="493">
        <f>F467+280</f>
        <v>11730</v>
      </c>
      <c r="Q467" s="294">
        <f t="shared" si="1029"/>
        <v>11730</v>
      </c>
      <c r="R467" s="493">
        <f>F467+250</f>
        <v>11700</v>
      </c>
      <c r="S467" s="294">
        <f t="shared" si="1030"/>
        <v>11700</v>
      </c>
      <c r="T467" s="493">
        <f>F467+220</f>
        <v>11670</v>
      </c>
      <c r="U467" s="294">
        <f t="shared" si="1031"/>
        <v>11670</v>
      </c>
      <c r="V467" s="493">
        <f>F467+200</f>
        <v>11650</v>
      </c>
      <c r="W467" s="294">
        <f t="shared" si="1032"/>
        <v>11650</v>
      </c>
      <c r="X467" s="151"/>
      <c r="Y467" s="136"/>
      <c r="Z467" s="136"/>
      <c r="AA467" s="139"/>
      <c r="AB467" s="197" t="s">
        <v>286</v>
      </c>
    </row>
    <row r="468" spans="1:34" ht="12.6" customHeight="1" x14ac:dyDescent="0.2">
      <c r="A468" s="18"/>
      <c r="B468" s="644" t="s">
        <v>788</v>
      </c>
      <c r="C468" s="892"/>
      <c r="D468" s="892"/>
      <c r="E468" s="892"/>
      <c r="F468" s="293">
        <v>11500</v>
      </c>
      <c r="G468" s="293">
        <f t="shared" ref="G468" si="1034">+F468*$X$1</f>
        <v>11500</v>
      </c>
      <c r="H468" s="623">
        <f>F468+550</f>
        <v>12050</v>
      </c>
      <c r="I468" s="293">
        <f t="shared" si="1010"/>
        <v>12050</v>
      </c>
      <c r="J468" s="623">
        <f>F468+390</f>
        <v>11890</v>
      </c>
      <c r="K468" s="293">
        <f t="shared" si="1012"/>
        <v>11890</v>
      </c>
      <c r="L468" s="623">
        <f>F468+340</f>
        <v>11840</v>
      </c>
      <c r="M468" s="293">
        <f t="shared" si="1027"/>
        <v>11840</v>
      </c>
      <c r="N468" s="623">
        <f>F468+310</f>
        <v>11810</v>
      </c>
      <c r="O468" s="293">
        <f t="shared" si="1028"/>
        <v>11810</v>
      </c>
      <c r="P468" s="623">
        <f>F468+280</f>
        <v>11780</v>
      </c>
      <c r="Q468" s="293">
        <f t="shared" si="1029"/>
        <v>11780</v>
      </c>
      <c r="R468" s="623">
        <f>F468+250</f>
        <v>11750</v>
      </c>
      <c r="S468" s="293">
        <f t="shared" si="1030"/>
        <v>11750</v>
      </c>
      <c r="T468" s="623">
        <f>F468+220</f>
        <v>11720</v>
      </c>
      <c r="U468" s="293">
        <f t="shared" si="1031"/>
        <v>11720</v>
      </c>
      <c r="V468" s="623">
        <f>F468+200</f>
        <v>11700</v>
      </c>
      <c r="W468" s="293">
        <f t="shared" si="1032"/>
        <v>11700</v>
      </c>
      <c r="X468" s="151"/>
      <c r="Y468" s="136"/>
      <c r="Z468" s="136"/>
      <c r="AA468" s="139"/>
      <c r="AB468" s="197" t="s">
        <v>287</v>
      </c>
    </row>
    <row r="469" spans="1:34" ht="12.6" customHeight="1" x14ac:dyDescent="0.2">
      <c r="A469" s="18"/>
      <c r="B469" s="642" t="s">
        <v>288</v>
      </c>
      <c r="C469" s="643"/>
      <c r="D469" s="643"/>
      <c r="E469" s="643"/>
      <c r="F469" s="294">
        <v>7920</v>
      </c>
      <c r="G469" s="294">
        <f>+F469*$X$1</f>
        <v>7920</v>
      </c>
      <c r="H469" s="493">
        <f>F469+550</f>
        <v>8470</v>
      </c>
      <c r="I469" s="294">
        <f t="shared" ref="I469:I470" si="1035">+H469*$X$1</f>
        <v>8470</v>
      </c>
      <c r="J469" s="493">
        <f>F469+390</f>
        <v>8310</v>
      </c>
      <c r="K469" s="294">
        <f t="shared" ref="K469:K470" si="1036">+J469*$X$1</f>
        <v>8310</v>
      </c>
      <c r="L469" s="493">
        <f>F469+340</f>
        <v>8260</v>
      </c>
      <c r="M469" s="294">
        <f t="shared" ref="M469:M470" si="1037">+L469*$X$1</f>
        <v>8260</v>
      </c>
      <c r="N469" s="493">
        <f>F469+310</f>
        <v>8230</v>
      </c>
      <c r="O469" s="294">
        <f t="shared" ref="O469:O470" si="1038">+N469*$X$1</f>
        <v>8230</v>
      </c>
      <c r="P469" s="493">
        <f>F469+280</f>
        <v>8200</v>
      </c>
      <c r="Q469" s="294">
        <f t="shared" ref="Q469:Q470" si="1039">+P469*$X$1</f>
        <v>8200</v>
      </c>
      <c r="R469" s="493">
        <f>F469+250</f>
        <v>8170</v>
      </c>
      <c r="S469" s="294">
        <f t="shared" ref="S469:S470" si="1040">+R469*$X$1</f>
        <v>8170</v>
      </c>
      <c r="T469" s="493">
        <f>F469+220</f>
        <v>8140</v>
      </c>
      <c r="U469" s="294">
        <f t="shared" ref="U469:U470" si="1041">+T469*$X$1</f>
        <v>8140</v>
      </c>
      <c r="V469" s="493">
        <f>F469+200</f>
        <v>8120</v>
      </c>
      <c r="W469" s="294">
        <f t="shared" ref="W469:W470" si="1042">+V469*$X$1</f>
        <v>8120</v>
      </c>
      <c r="X469" s="151"/>
      <c r="Y469" s="136"/>
      <c r="Z469" s="136"/>
      <c r="AA469" s="139"/>
      <c r="AB469" s="197" t="s">
        <v>289</v>
      </c>
    </row>
    <row r="470" spans="1:34" ht="12.6" customHeight="1" x14ac:dyDescent="0.2">
      <c r="A470" s="18"/>
      <c r="B470" s="644" t="s">
        <v>290</v>
      </c>
      <c r="C470" s="645"/>
      <c r="D470" s="645"/>
      <c r="E470" s="645"/>
      <c r="F470" s="293">
        <v>8798</v>
      </c>
      <c r="G470" s="293">
        <f>+F470*$X$1</f>
        <v>8798</v>
      </c>
      <c r="H470" s="629">
        <f>F470+550</f>
        <v>9348</v>
      </c>
      <c r="I470" s="293">
        <f t="shared" si="1035"/>
        <v>9348</v>
      </c>
      <c r="J470" s="629">
        <f>F470+390</f>
        <v>9188</v>
      </c>
      <c r="K470" s="293">
        <f t="shared" si="1036"/>
        <v>9188</v>
      </c>
      <c r="L470" s="629">
        <f>F470+340</f>
        <v>9138</v>
      </c>
      <c r="M470" s="293">
        <f t="shared" si="1037"/>
        <v>9138</v>
      </c>
      <c r="N470" s="629">
        <f>F470+310</f>
        <v>9108</v>
      </c>
      <c r="O470" s="293">
        <f t="shared" si="1038"/>
        <v>9108</v>
      </c>
      <c r="P470" s="629">
        <f>F470+280</f>
        <v>9078</v>
      </c>
      <c r="Q470" s="293">
        <f t="shared" si="1039"/>
        <v>9078</v>
      </c>
      <c r="R470" s="629">
        <f>F470+250</f>
        <v>9048</v>
      </c>
      <c r="S470" s="293">
        <f t="shared" si="1040"/>
        <v>9048</v>
      </c>
      <c r="T470" s="629">
        <f>F470+220</f>
        <v>9018</v>
      </c>
      <c r="U470" s="293">
        <f t="shared" si="1041"/>
        <v>9018</v>
      </c>
      <c r="V470" s="629">
        <f>F470+200</f>
        <v>8998</v>
      </c>
      <c r="W470" s="293">
        <f t="shared" si="1042"/>
        <v>8998</v>
      </c>
      <c r="X470" s="151"/>
      <c r="Y470" s="136"/>
      <c r="Z470" s="136"/>
      <c r="AA470" s="139"/>
      <c r="AB470" s="197" t="s">
        <v>291</v>
      </c>
    </row>
    <row r="471" spans="1:34" ht="12.6" customHeight="1" x14ac:dyDescent="0.2">
      <c r="A471" s="18"/>
      <c r="B471" s="642" t="s">
        <v>586</v>
      </c>
      <c r="C471" s="643"/>
      <c r="D471" s="643"/>
      <c r="E471" s="643"/>
      <c r="F471" s="393">
        <f>3.82*X2</f>
        <v>3923.14</v>
      </c>
      <c r="G471" s="294">
        <f t="shared" ref="G471" si="1043">+F471*$X$1</f>
        <v>3923.14</v>
      </c>
      <c r="H471" s="493">
        <f>F471+500</f>
        <v>4423.1399999999994</v>
      </c>
      <c r="I471" s="294">
        <f t="shared" ref="I471:I474" si="1044">+H471*$X$1</f>
        <v>4423.1399999999994</v>
      </c>
      <c r="J471" s="493">
        <f>F471+300</f>
        <v>4223.1399999999994</v>
      </c>
      <c r="K471" s="294">
        <f t="shared" ref="K471:K474" si="1045">+J471*$X$1</f>
        <v>4223.1399999999994</v>
      </c>
      <c r="L471" s="493">
        <f>F471+210</f>
        <v>4133.1399999999994</v>
      </c>
      <c r="M471" s="294">
        <f t="shared" ref="M471:M474" si="1046">+L471*$X$1</f>
        <v>4133.1399999999994</v>
      </c>
      <c r="N471" s="493">
        <f>F471+180</f>
        <v>4103.1399999999994</v>
      </c>
      <c r="O471" s="294">
        <f>+N471*$X$1</f>
        <v>4103.1399999999994</v>
      </c>
      <c r="P471" s="493">
        <f>F471+160</f>
        <v>4083.14</v>
      </c>
      <c r="Q471" s="294">
        <f t="shared" ref="Q471:Q474" si="1047">+P471*$X$1</f>
        <v>4083.14</v>
      </c>
      <c r="R471" s="493">
        <f>F471+140</f>
        <v>4063.14</v>
      </c>
      <c r="S471" s="294">
        <f t="shared" ref="S471:S474" si="1048">+R471*$X$1</f>
        <v>4063.14</v>
      </c>
      <c r="T471" s="493">
        <f>F471+120</f>
        <v>4043.14</v>
      </c>
      <c r="U471" s="294">
        <f t="shared" ref="U471:U474" si="1049">+T471*$X$1</f>
        <v>4043.14</v>
      </c>
      <c r="V471" s="493">
        <f>F471+90</f>
        <v>4013.14</v>
      </c>
      <c r="W471" s="294">
        <f t="shared" ref="W471:W474" si="1050">+V471*$X$1</f>
        <v>4013.14</v>
      </c>
      <c r="X471" s="768"/>
      <c r="Y471" s="769"/>
      <c r="Z471" s="769"/>
      <c r="AA471" s="770"/>
      <c r="AB471" s="197" t="s">
        <v>292</v>
      </c>
    </row>
    <row r="472" spans="1:34" ht="12.6" customHeight="1" x14ac:dyDescent="0.2">
      <c r="A472" s="18"/>
      <c r="B472" s="644" t="s">
        <v>666</v>
      </c>
      <c r="C472" s="645"/>
      <c r="D472" s="645"/>
      <c r="E472" s="645"/>
      <c r="F472" s="392">
        <f>3.82*X2</f>
        <v>3923.14</v>
      </c>
      <c r="G472" s="293">
        <f t="shared" ref="G472" si="1051">+F472*$X$1</f>
        <v>3923.14</v>
      </c>
      <c r="H472" s="629">
        <f>F472+500</f>
        <v>4423.1399999999994</v>
      </c>
      <c r="I472" s="293">
        <f t="shared" si="1044"/>
        <v>4423.1399999999994</v>
      </c>
      <c r="J472" s="629">
        <f>F472+360</f>
        <v>4283.1399999999994</v>
      </c>
      <c r="K472" s="293">
        <f t="shared" si="1045"/>
        <v>4283.1399999999994</v>
      </c>
      <c r="L472" s="629">
        <f>F472+310</f>
        <v>4233.1399999999994</v>
      </c>
      <c r="M472" s="293">
        <f t="shared" si="1046"/>
        <v>4233.1399999999994</v>
      </c>
      <c r="N472" s="629">
        <f>F472+280</f>
        <v>4203.1399999999994</v>
      </c>
      <c r="O472" s="293">
        <f t="shared" ref="O472:O474" si="1052">+N472*$X$1</f>
        <v>4203.1399999999994</v>
      </c>
      <c r="P472" s="629">
        <f>F472+250</f>
        <v>4173.1399999999994</v>
      </c>
      <c r="Q472" s="293">
        <f t="shared" si="1047"/>
        <v>4173.1399999999994</v>
      </c>
      <c r="R472" s="629">
        <f>F472+230</f>
        <v>4153.1399999999994</v>
      </c>
      <c r="S472" s="293">
        <f t="shared" si="1048"/>
        <v>4153.1399999999994</v>
      </c>
      <c r="T472" s="629">
        <f>F472+210</f>
        <v>4133.1399999999994</v>
      </c>
      <c r="U472" s="293">
        <f t="shared" si="1049"/>
        <v>4133.1399999999994</v>
      </c>
      <c r="V472" s="629">
        <f>F472+190</f>
        <v>4113.1399999999994</v>
      </c>
      <c r="W472" s="293">
        <f t="shared" si="1050"/>
        <v>4113.1399999999994</v>
      </c>
      <c r="X472" s="768"/>
      <c r="Y472" s="769"/>
      <c r="Z472" s="769"/>
      <c r="AA472" s="770"/>
      <c r="AB472" s="197" t="s">
        <v>667</v>
      </c>
    </row>
    <row r="473" spans="1:34" ht="12.6" customHeight="1" x14ac:dyDescent="0.2">
      <c r="A473" s="18"/>
      <c r="B473" s="642" t="s">
        <v>408</v>
      </c>
      <c r="C473" s="698"/>
      <c r="D473" s="698"/>
      <c r="E473" s="698"/>
      <c r="F473" s="393">
        <f>3.116*X2</f>
        <v>3200.1320000000001</v>
      </c>
      <c r="G473" s="294">
        <f t="shared" ref="G473" si="1053">+F473*$X$1</f>
        <v>3200.1320000000001</v>
      </c>
      <c r="H473" s="493">
        <f>F473+500</f>
        <v>3700.1320000000001</v>
      </c>
      <c r="I473" s="294">
        <f t="shared" si="1044"/>
        <v>3700.1320000000001</v>
      </c>
      <c r="J473" s="493">
        <f>F473+360</f>
        <v>3560.1320000000001</v>
      </c>
      <c r="K473" s="294">
        <f t="shared" si="1045"/>
        <v>3560.1320000000001</v>
      </c>
      <c r="L473" s="493">
        <f>F473+310</f>
        <v>3510.1320000000001</v>
      </c>
      <c r="M473" s="294">
        <f t="shared" si="1046"/>
        <v>3510.1320000000001</v>
      </c>
      <c r="N473" s="493">
        <f>F473+280</f>
        <v>3480.1320000000001</v>
      </c>
      <c r="O473" s="294">
        <f t="shared" si="1052"/>
        <v>3480.1320000000001</v>
      </c>
      <c r="P473" s="493">
        <f>F473+250</f>
        <v>3450.1320000000001</v>
      </c>
      <c r="Q473" s="294">
        <f t="shared" si="1047"/>
        <v>3450.1320000000001</v>
      </c>
      <c r="R473" s="493">
        <f>F473+230</f>
        <v>3430.1320000000001</v>
      </c>
      <c r="S473" s="294">
        <f t="shared" si="1048"/>
        <v>3430.1320000000001</v>
      </c>
      <c r="T473" s="493">
        <f>F473+210</f>
        <v>3410.1320000000001</v>
      </c>
      <c r="U473" s="294">
        <f t="shared" si="1049"/>
        <v>3410.1320000000001</v>
      </c>
      <c r="V473" s="493">
        <f>F473+190</f>
        <v>3390.1320000000001</v>
      </c>
      <c r="W473" s="294">
        <f t="shared" si="1050"/>
        <v>3390.1320000000001</v>
      </c>
      <c r="X473" s="768"/>
      <c r="Y473" s="769"/>
      <c r="Z473" s="769"/>
      <c r="AA473" s="770"/>
      <c r="AB473" s="197" t="s">
        <v>483</v>
      </c>
    </row>
    <row r="474" spans="1:34" ht="12.6" customHeight="1" x14ac:dyDescent="0.2">
      <c r="A474" s="18"/>
      <c r="B474" s="644" t="s">
        <v>716</v>
      </c>
      <c r="C474" s="744"/>
      <c r="D474" s="744"/>
      <c r="E474" s="744"/>
      <c r="F474" s="392">
        <f>7.73*X2</f>
        <v>7938.71</v>
      </c>
      <c r="G474" s="293">
        <f t="shared" ref="G474" si="1054">+F474*$X$1</f>
        <v>7938.71</v>
      </c>
      <c r="H474" s="629">
        <f>F474+500</f>
        <v>8438.7099999999991</v>
      </c>
      <c r="I474" s="293">
        <f t="shared" si="1044"/>
        <v>8438.7099999999991</v>
      </c>
      <c r="J474" s="629">
        <f>F474+360</f>
        <v>8298.7099999999991</v>
      </c>
      <c r="K474" s="293">
        <f t="shared" si="1045"/>
        <v>8298.7099999999991</v>
      </c>
      <c r="L474" s="629">
        <f>F474+310</f>
        <v>8248.7099999999991</v>
      </c>
      <c r="M474" s="293">
        <f t="shared" si="1046"/>
        <v>8248.7099999999991</v>
      </c>
      <c r="N474" s="629">
        <f>F474+280</f>
        <v>8218.7099999999991</v>
      </c>
      <c r="O474" s="293">
        <f t="shared" si="1052"/>
        <v>8218.7099999999991</v>
      </c>
      <c r="P474" s="629">
        <f>F474+250</f>
        <v>8188.71</v>
      </c>
      <c r="Q474" s="293">
        <f t="shared" si="1047"/>
        <v>8188.71</v>
      </c>
      <c r="R474" s="629">
        <f>F474+230</f>
        <v>8168.71</v>
      </c>
      <c r="S474" s="293">
        <f t="shared" si="1048"/>
        <v>8168.71</v>
      </c>
      <c r="T474" s="629">
        <f>F474+210</f>
        <v>8148.71</v>
      </c>
      <c r="U474" s="293">
        <f t="shared" si="1049"/>
        <v>8148.71</v>
      </c>
      <c r="V474" s="629">
        <f>F474+190</f>
        <v>8128.71</v>
      </c>
      <c r="W474" s="293">
        <f t="shared" si="1050"/>
        <v>8128.71</v>
      </c>
      <c r="X474" s="768"/>
      <c r="Y474" s="769"/>
      <c r="Z474" s="769"/>
      <c r="AA474" s="770"/>
      <c r="AB474" s="197" t="s">
        <v>717</v>
      </c>
    </row>
    <row r="475" spans="1:34" ht="12.6" customHeight="1" x14ac:dyDescent="0.2">
      <c r="A475" s="105"/>
      <c r="B475" s="234"/>
      <c r="C475" s="63"/>
      <c r="D475" s="63"/>
      <c r="E475" s="63"/>
      <c r="F475" s="130"/>
      <c r="G475" s="118"/>
      <c r="H475" s="118"/>
      <c r="I475" s="118"/>
      <c r="J475" s="118"/>
      <c r="K475" s="118"/>
      <c r="L475" s="118"/>
      <c r="M475" s="118"/>
      <c r="N475" s="118"/>
      <c r="O475" s="118"/>
      <c r="P475" s="118"/>
      <c r="Q475" s="118"/>
      <c r="R475" s="118"/>
      <c r="S475" s="118"/>
      <c r="T475" s="118"/>
      <c r="U475" s="118"/>
      <c r="V475" s="118"/>
      <c r="W475" s="118"/>
      <c r="X475" s="235"/>
      <c r="Y475" s="236"/>
      <c r="Z475" s="236"/>
      <c r="AA475" s="235"/>
      <c r="AB475" s="40"/>
      <c r="AC475" s="66"/>
    </row>
    <row r="476" spans="1:34" ht="12.6" customHeight="1" x14ac:dyDescent="0.2">
      <c r="A476" s="105"/>
      <c r="B476" s="234"/>
      <c r="C476" s="63"/>
      <c r="D476" s="63"/>
      <c r="E476" s="63"/>
      <c r="F476" s="130"/>
      <c r="G476" s="118"/>
      <c r="H476" s="118"/>
      <c r="I476" s="118"/>
      <c r="J476" s="118"/>
      <c r="K476" s="118"/>
      <c r="L476" s="118"/>
      <c r="M476" s="118"/>
      <c r="N476" s="118"/>
      <c r="O476" s="118"/>
      <c r="P476" s="118"/>
      <c r="Q476" s="118"/>
      <c r="R476" s="118"/>
      <c r="S476" s="118"/>
      <c r="T476" s="118"/>
      <c r="U476" s="118"/>
      <c r="V476" s="118"/>
      <c r="W476" s="118"/>
      <c r="X476" s="235"/>
      <c r="Y476" s="236"/>
      <c r="Z476" s="236"/>
      <c r="AA476" s="235"/>
      <c r="AB476" s="40"/>
      <c r="AC476" s="66"/>
    </row>
    <row r="477" spans="1:34" ht="12.6" customHeight="1" x14ac:dyDescent="0.2">
      <c r="A477" s="105"/>
      <c r="B477" s="234"/>
      <c r="C477" s="63"/>
      <c r="D477" s="63"/>
      <c r="E477" s="63"/>
      <c r="F477" s="130"/>
      <c r="G477" s="118"/>
      <c r="H477" s="118"/>
      <c r="I477" s="118"/>
      <c r="J477" s="118"/>
      <c r="K477" s="118"/>
      <c r="L477" s="118"/>
      <c r="M477" s="118"/>
      <c r="N477" s="118"/>
      <c r="O477" s="118"/>
      <c r="P477" s="118"/>
      <c r="Q477" s="118"/>
      <c r="R477" s="118"/>
      <c r="S477" s="118"/>
      <c r="T477" s="118"/>
      <c r="U477" s="118"/>
      <c r="V477" s="118"/>
      <c r="W477" s="118"/>
      <c r="X477" s="235"/>
      <c r="Y477" s="236"/>
      <c r="Z477" s="236"/>
      <c r="AA477" s="235"/>
      <c r="AB477" s="40"/>
      <c r="AC477" s="66"/>
    </row>
    <row r="478" spans="1:34" ht="14.25" customHeight="1" x14ac:dyDescent="0.2">
      <c r="B478" s="803" t="s">
        <v>514</v>
      </c>
      <c r="C478" s="804"/>
      <c r="D478" s="804"/>
      <c r="E478" s="804"/>
      <c r="F478" s="804"/>
      <c r="G478" s="804"/>
      <c r="H478" s="804"/>
      <c r="I478" s="804"/>
      <c r="J478" s="804"/>
      <c r="K478" s="804"/>
      <c r="L478" s="804"/>
      <c r="M478" s="804"/>
      <c r="N478" s="804"/>
      <c r="O478" s="804"/>
      <c r="P478" s="804"/>
      <c r="Q478" s="804"/>
      <c r="R478" s="804"/>
      <c r="S478" s="804"/>
      <c r="T478" s="804"/>
      <c r="U478" s="804"/>
      <c r="V478" s="804"/>
      <c r="W478" s="804"/>
      <c r="AB478" s="4"/>
      <c r="AF478" s="777"/>
      <c r="AG478" s="778"/>
      <c r="AH478" s="778"/>
    </row>
    <row r="479" spans="1:34" ht="13.5" customHeight="1" x14ac:dyDescent="0.2">
      <c r="B479" s="798" t="s">
        <v>11</v>
      </c>
      <c r="C479" s="798" t="s">
        <v>12</v>
      </c>
      <c r="D479" s="799"/>
      <c r="E479" s="799"/>
      <c r="F479" s="708" t="s">
        <v>293</v>
      </c>
      <c r="G479" s="708" t="s">
        <v>13</v>
      </c>
      <c r="H479" s="781" t="s">
        <v>838</v>
      </c>
      <c r="I479" s="781"/>
      <c r="J479" s="782"/>
      <c r="K479" s="782"/>
      <c r="L479" s="782"/>
      <c r="M479" s="782"/>
      <c r="N479" s="782"/>
      <c r="O479" s="782"/>
      <c r="P479" s="782"/>
      <c r="Q479" s="782"/>
      <c r="R479" s="782"/>
      <c r="S479" s="782"/>
      <c r="T479" s="782"/>
      <c r="U479" s="782"/>
      <c r="V479" s="782"/>
      <c r="W479" s="782"/>
      <c r="X479" s="771" t="s">
        <v>14</v>
      </c>
      <c r="Y479" s="772"/>
      <c r="Z479" s="772"/>
      <c r="AA479" s="773"/>
      <c r="AB479" s="779" t="s">
        <v>15</v>
      </c>
      <c r="AF479" s="777" t="s">
        <v>3</v>
      </c>
      <c r="AG479" s="778"/>
      <c r="AH479" s="778"/>
    </row>
    <row r="480" spans="1:34" ht="11.25" customHeight="1" x14ac:dyDescent="0.2">
      <c r="B480" s="799"/>
      <c r="C480" s="799"/>
      <c r="D480" s="799"/>
      <c r="E480" s="799"/>
      <c r="F480" s="709"/>
      <c r="G480" s="709"/>
      <c r="H480" s="511"/>
      <c r="I480" s="510" t="s">
        <v>581</v>
      </c>
      <c r="J480" s="511"/>
      <c r="K480" s="510" t="s">
        <v>294</v>
      </c>
      <c r="L480" s="511"/>
      <c r="M480" s="510" t="s">
        <v>295</v>
      </c>
      <c r="N480" s="511"/>
      <c r="O480" s="510" t="s">
        <v>583</v>
      </c>
      <c r="P480" s="511"/>
      <c r="Q480" s="510" t="s">
        <v>17</v>
      </c>
      <c r="R480" s="511"/>
      <c r="S480" s="510" t="s">
        <v>18</v>
      </c>
      <c r="T480" s="511"/>
      <c r="U480" s="510" t="s">
        <v>19</v>
      </c>
      <c r="V480" s="511"/>
      <c r="W480" s="510" t="s">
        <v>584</v>
      </c>
      <c r="X480" s="774"/>
      <c r="Y480" s="775"/>
      <c r="Z480" s="775"/>
      <c r="AA480" s="776"/>
      <c r="AB480" s="780"/>
    </row>
    <row r="481" spans="1:28" ht="12" customHeight="1" x14ac:dyDescent="0.2">
      <c r="A481" s="4"/>
      <c r="B481" s="766" t="s">
        <v>780</v>
      </c>
      <c r="C481" s="767"/>
      <c r="D481" s="767"/>
      <c r="E481" s="767"/>
      <c r="F481" s="396">
        <f>8.9*X2</f>
        <v>9140.3000000000011</v>
      </c>
      <c r="G481" s="328">
        <f t="shared" ref="G481" si="1055">+F481*$X$1</f>
        <v>9140.3000000000011</v>
      </c>
      <c r="H481" s="103">
        <f>F481+5000</f>
        <v>14140.300000000001</v>
      </c>
      <c r="I481" s="328">
        <f t="shared" ref="I481" si="1056">+H481*$X$1</f>
        <v>14140.300000000001</v>
      </c>
      <c r="J481" s="103">
        <f>F481+1100</f>
        <v>10240.300000000001</v>
      </c>
      <c r="K481" s="328">
        <f t="shared" ref="K481" si="1057">+J481*$X$1</f>
        <v>10240.300000000001</v>
      </c>
      <c r="L481" s="103">
        <f>F481+990</f>
        <v>10130.300000000001</v>
      </c>
      <c r="M481" s="328">
        <f t="shared" ref="M481" si="1058">+L481*$X$1</f>
        <v>10130.300000000001</v>
      </c>
      <c r="N481" s="103">
        <f>F481+920</f>
        <v>10060.300000000001</v>
      </c>
      <c r="O481" s="328">
        <f t="shared" ref="O481" si="1059">+N481*$X$1</f>
        <v>10060.300000000001</v>
      </c>
      <c r="P481" s="103">
        <f>F481+860</f>
        <v>10000.300000000001</v>
      </c>
      <c r="Q481" s="328">
        <f t="shared" ref="Q481" si="1060">+P481*$X$1</f>
        <v>10000.300000000001</v>
      </c>
      <c r="R481" s="103">
        <f>F481+800</f>
        <v>9940.3000000000011</v>
      </c>
      <c r="S481" s="328">
        <f t="shared" ref="S481" si="1061">+R481*$X$1</f>
        <v>9940.3000000000011</v>
      </c>
      <c r="T481" s="103">
        <f>F481+750</f>
        <v>9890.3000000000011</v>
      </c>
      <c r="U481" s="328">
        <f t="shared" ref="U481" si="1062">+T481*$X$1</f>
        <v>9890.3000000000011</v>
      </c>
      <c r="V481" s="103">
        <f>F481+710</f>
        <v>9850.3000000000011</v>
      </c>
      <c r="W481" s="328">
        <f t="shared" ref="W481" si="1063">+V481*$X$1</f>
        <v>9850.3000000000011</v>
      </c>
      <c r="X481" s="141"/>
      <c r="Y481" s="136"/>
      <c r="Z481" s="142"/>
      <c r="AA481" s="143"/>
      <c r="AB481" s="434" t="s">
        <v>784</v>
      </c>
    </row>
    <row r="482" spans="1:28" ht="12" customHeight="1" x14ac:dyDescent="0.2">
      <c r="A482" s="4"/>
      <c r="B482" s="766" t="s">
        <v>779</v>
      </c>
      <c r="C482" s="767"/>
      <c r="D482" s="767"/>
      <c r="E482" s="767"/>
      <c r="F482" s="397">
        <f>8.9*X2</f>
        <v>9140.3000000000011</v>
      </c>
      <c r="G482" s="314">
        <f t="shared" ref="G482" si="1064">+F482*$X$1</f>
        <v>9140.3000000000011</v>
      </c>
      <c r="H482" s="104">
        <f>F482+4000</f>
        <v>13140.300000000001</v>
      </c>
      <c r="I482" s="314">
        <f t="shared" ref="I482" si="1065">+H482*$X$1</f>
        <v>13140.300000000001</v>
      </c>
      <c r="J482" s="104">
        <f>F482+800</f>
        <v>9940.3000000000011</v>
      </c>
      <c r="K482" s="314">
        <f t="shared" ref="K482" si="1066">+J482*$X$1</f>
        <v>9940.3000000000011</v>
      </c>
      <c r="L482" s="104">
        <f>F482+600</f>
        <v>9740.3000000000011</v>
      </c>
      <c r="M482" s="314">
        <f t="shared" ref="M482" si="1067">+L482*$X$1</f>
        <v>9740.3000000000011</v>
      </c>
      <c r="N482" s="104">
        <f>F482+500</f>
        <v>9640.3000000000011</v>
      </c>
      <c r="O482" s="314">
        <f t="shared" ref="O482" si="1068">+N482*$X$1</f>
        <v>9640.3000000000011</v>
      </c>
      <c r="P482" s="104">
        <f>F482+460</f>
        <v>9600.3000000000011</v>
      </c>
      <c r="Q482" s="314">
        <f t="shared" ref="Q482" si="1069">+P482*$X$1</f>
        <v>9600.3000000000011</v>
      </c>
      <c r="R482" s="104">
        <f>F482+440</f>
        <v>9580.3000000000011</v>
      </c>
      <c r="S482" s="314">
        <f t="shared" ref="S482" si="1070">+R482*$X$1</f>
        <v>9580.3000000000011</v>
      </c>
      <c r="T482" s="104">
        <f>F482+400</f>
        <v>9540.3000000000011</v>
      </c>
      <c r="U482" s="314">
        <f t="shared" ref="U482" si="1071">+T482*$X$1</f>
        <v>9540.3000000000011</v>
      </c>
      <c r="V482" s="104">
        <f>F482+370</f>
        <v>9510.3000000000011</v>
      </c>
      <c r="W482" s="314">
        <f t="shared" ref="W482" si="1072">+V482*$X$1</f>
        <v>9510.3000000000011</v>
      </c>
      <c r="X482" s="141"/>
      <c r="Y482" s="136"/>
      <c r="Z482" s="142"/>
      <c r="AA482" s="143"/>
      <c r="AB482" s="420">
        <v>873</v>
      </c>
    </row>
    <row r="483" spans="1:28" ht="12" customHeight="1" x14ac:dyDescent="0.2">
      <c r="A483" s="4"/>
      <c r="B483" s="808" t="s">
        <v>733</v>
      </c>
      <c r="C483" s="695"/>
      <c r="D483" s="695"/>
      <c r="E483" s="695"/>
      <c r="F483" s="396">
        <f>17.6*X2</f>
        <v>18075.2</v>
      </c>
      <c r="G483" s="328">
        <f t="shared" ref="G483" si="1073">+F483*$X$1</f>
        <v>18075.2</v>
      </c>
      <c r="H483" s="103">
        <f>F483+4000</f>
        <v>22075.200000000001</v>
      </c>
      <c r="I483" s="328">
        <f t="shared" ref="I483:I484" si="1074">+H483*$X$1</f>
        <v>22075.200000000001</v>
      </c>
      <c r="J483" s="103">
        <f>F483+800</f>
        <v>18875.2</v>
      </c>
      <c r="K483" s="328">
        <f t="shared" ref="K483" si="1075">+J483*$X$1</f>
        <v>18875.2</v>
      </c>
      <c r="L483" s="103">
        <f>F483+600</f>
        <v>18675.2</v>
      </c>
      <c r="M483" s="328">
        <f t="shared" ref="M483" si="1076">+L483*$X$1</f>
        <v>18675.2</v>
      </c>
      <c r="N483" s="103">
        <f>F483+500</f>
        <v>18575.2</v>
      </c>
      <c r="O483" s="328">
        <f t="shared" ref="O483:O484" si="1077">+N483*$X$1</f>
        <v>18575.2</v>
      </c>
      <c r="P483" s="103">
        <f>F483+460</f>
        <v>18535.2</v>
      </c>
      <c r="Q483" s="328">
        <f t="shared" ref="Q483:Q484" si="1078">+P483*$X$1</f>
        <v>18535.2</v>
      </c>
      <c r="R483" s="103">
        <f>F483+440</f>
        <v>18515.2</v>
      </c>
      <c r="S483" s="328">
        <f t="shared" ref="S483:S484" si="1079">+R483*$X$1</f>
        <v>18515.2</v>
      </c>
      <c r="T483" s="103">
        <f>F483+400</f>
        <v>18475.2</v>
      </c>
      <c r="U483" s="328">
        <f t="shared" ref="U483:U484" si="1080">+T483*$X$1</f>
        <v>18475.2</v>
      </c>
      <c r="V483" s="103">
        <f>F483+370</f>
        <v>18445.2</v>
      </c>
      <c r="W483" s="328">
        <f t="shared" ref="W483:W484" si="1081">+V483*$X$1</f>
        <v>18445.2</v>
      </c>
      <c r="X483" s="141"/>
      <c r="Y483" s="136"/>
      <c r="Z483" s="142"/>
      <c r="AA483" s="143"/>
      <c r="AB483" s="420">
        <v>874</v>
      </c>
    </row>
    <row r="484" spans="1:28" ht="12.6" customHeight="1" x14ac:dyDescent="0.2">
      <c r="A484" s="4"/>
      <c r="B484" s="788" t="s">
        <v>700</v>
      </c>
      <c r="C484" s="789"/>
      <c r="D484" s="789"/>
      <c r="E484" s="789"/>
      <c r="F484" s="397">
        <f>11*X2</f>
        <v>11297</v>
      </c>
      <c r="G484" s="314">
        <f t="shared" ref="G484:G485" si="1082">+F484*$X$1</f>
        <v>11297</v>
      </c>
      <c r="H484" s="104">
        <f>F484+5000</f>
        <v>16297</v>
      </c>
      <c r="I484" s="314">
        <f t="shared" si="1074"/>
        <v>16297</v>
      </c>
      <c r="J484" s="104">
        <f>F484+1100</f>
        <v>12397</v>
      </c>
      <c r="K484" s="314">
        <f t="shared" ref="K484:K486" si="1083">+J484*$X$1</f>
        <v>12397</v>
      </c>
      <c r="L484" s="104">
        <f>F484+990</f>
        <v>12287</v>
      </c>
      <c r="M484" s="314">
        <f t="shared" ref="M484:M486" si="1084">+L484*$X$1</f>
        <v>12287</v>
      </c>
      <c r="N484" s="104">
        <f>F484+920</f>
        <v>12217</v>
      </c>
      <c r="O484" s="314">
        <f t="shared" si="1077"/>
        <v>12217</v>
      </c>
      <c r="P484" s="104">
        <f>F484+860</f>
        <v>12157</v>
      </c>
      <c r="Q484" s="314">
        <f t="shared" si="1078"/>
        <v>12157</v>
      </c>
      <c r="R484" s="104">
        <f>F484+800</f>
        <v>12097</v>
      </c>
      <c r="S484" s="314">
        <f t="shared" si="1079"/>
        <v>12097</v>
      </c>
      <c r="T484" s="104">
        <f>F484+750</f>
        <v>12047</v>
      </c>
      <c r="U484" s="314">
        <f t="shared" si="1080"/>
        <v>12047</v>
      </c>
      <c r="V484" s="104">
        <f>F484+710</f>
        <v>12007</v>
      </c>
      <c r="W484" s="314">
        <f t="shared" si="1081"/>
        <v>12007</v>
      </c>
      <c r="X484" s="141"/>
      <c r="Y484" s="136"/>
      <c r="Z484" s="142"/>
      <c r="AA484" s="143"/>
      <c r="AB484" s="420" t="s">
        <v>710</v>
      </c>
    </row>
    <row r="485" spans="1:28" ht="12" customHeight="1" x14ac:dyDescent="0.2">
      <c r="A485" s="4"/>
      <c r="B485" s="797" t="s">
        <v>701</v>
      </c>
      <c r="C485" s="643"/>
      <c r="D485" s="643"/>
      <c r="E485" s="643"/>
      <c r="F485" s="396">
        <f>11*X2</f>
        <v>11297</v>
      </c>
      <c r="G485" s="328">
        <f t="shared" si="1082"/>
        <v>11297</v>
      </c>
      <c r="H485" s="103">
        <f>F485+4000</f>
        <v>15297</v>
      </c>
      <c r="I485" s="328">
        <f t="shared" ref="I485:I487" si="1085">+H485*$X$1</f>
        <v>15297</v>
      </c>
      <c r="J485" s="103">
        <f>F485+800</f>
        <v>12097</v>
      </c>
      <c r="K485" s="328">
        <f t="shared" si="1083"/>
        <v>12097</v>
      </c>
      <c r="L485" s="103">
        <f>F485+600</f>
        <v>11897</v>
      </c>
      <c r="M485" s="328">
        <f t="shared" si="1084"/>
        <v>11897</v>
      </c>
      <c r="N485" s="103">
        <f>F485+500</f>
        <v>11797</v>
      </c>
      <c r="O485" s="328">
        <f t="shared" ref="O485:O487" si="1086">+N485*$X$1</f>
        <v>11797</v>
      </c>
      <c r="P485" s="103">
        <f>F485+460</f>
        <v>11757</v>
      </c>
      <c r="Q485" s="328">
        <f t="shared" ref="Q485:Q487" si="1087">+P485*$X$1</f>
        <v>11757</v>
      </c>
      <c r="R485" s="103">
        <f>F485+440</f>
        <v>11737</v>
      </c>
      <c r="S485" s="328">
        <f t="shared" ref="S485:S487" si="1088">+R485*$X$1</f>
        <v>11737</v>
      </c>
      <c r="T485" s="103">
        <f>F485+400</f>
        <v>11697</v>
      </c>
      <c r="U485" s="328">
        <f t="shared" ref="U485:U487" si="1089">+T485*$X$1</f>
        <v>11697</v>
      </c>
      <c r="V485" s="103">
        <f>F485+370</f>
        <v>11667</v>
      </c>
      <c r="W485" s="328">
        <f t="shared" ref="W485:W487" si="1090">+V485*$X$1</f>
        <v>11667</v>
      </c>
      <c r="X485" s="141"/>
      <c r="Y485" s="136"/>
      <c r="Z485" s="142"/>
      <c r="AA485" s="143"/>
      <c r="AB485" s="420">
        <v>875</v>
      </c>
    </row>
    <row r="486" spans="1:28" ht="12.6" customHeight="1" x14ac:dyDescent="0.2">
      <c r="A486" s="4"/>
      <c r="B486" s="788" t="s">
        <v>781</v>
      </c>
      <c r="C486" s="789"/>
      <c r="D486" s="789"/>
      <c r="E486" s="789"/>
      <c r="F486" s="397">
        <f>18.1*X2</f>
        <v>18588.7</v>
      </c>
      <c r="G486" s="314">
        <f t="shared" ref="G486" si="1091">+F486*$X$1</f>
        <v>18588.7</v>
      </c>
      <c r="H486" s="104">
        <f>F486+4000</f>
        <v>22588.7</v>
      </c>
      <c r="I486" s="314">
        <f t="shared" si="1085"/>
        <v>22588.7</v>
      </c>
      <c r="J486" s="104">
        <f>F486+800</f>
        <v>19388.7</v>
      </c>
      <c r="K486" s="314">
        <f t="shared" si="1083"/>
        <v>19388.7</v>
      </c>
      <c r="L486" s="104">
        <f>F486+600</f>
        <v>19188.7</v>
      </c>
      <c r="M486" s="314">
        <f t="shared" si="1084"/>
        <v>19188.7</v>
      </c>
      <c r="N486" s="104">
        <f>F486+500</f>
        <v>19088.7</v>
      </c>
      <c r="O486" s="314">
        <f t="shared" si="1086"/>
        <v>19088.7</v>
      </c>
      <c r="P486" s="104">
        <f>F486+460</f>
        <v>19048.7</v>
      </c>
      <c r="Q486" s="314">
        <f t="shared" si="1087"/>
        <v>19048.7</v>
      </c>
      <c r="R486" s="104">
        <f>F486+440</f>
        <v>19028.7</v>
      </c>
      <c r="S486" s="314">
        <f t="shared" si="1088"/>
        <v>19028.7</v>
      </c>
      <c r="T486" s="104">
        <f>F486+400</f>
        <v>18988.7</v>
      </c>
      <c r="U486" s="314">
        <f t="shared" si="1089"/>
        <v>18988.7</v>
      </c>
      <c r="V486" s="104">
        <f>F486+370</f>
        <v>18958.7</v>
      </c>
      <c r="W486" s="314">
        <f t="shared" si="1090"/>
        <v>18958.7</v>
      </c>
      <c r="X486" s="141"/>
      <c r="Y486" s="136"/>
      <c r="Z486" s="142"/>
      <c r="AA486" s="143"/>
      <c r="AB486" s="420">
        <v>876</v>
      </c>
    </row>
    <row r="487" spans="1:28" ht="12.6" customHeight="1" x14ac:dyDescent="0.2">
      <c r="A487" s="4"/>
      <c r="B487" s="766" t="s">
        <v>734</v>
      </c>
      <c r="C487" s="767"/>
      <c r="D487" s="767"/>
      <c r="E487" s="767"/>
      <c r="F487" s="396">
        <f>15.37*X2</f>
        <v>15784.99</v>
      </c>
      <c r="G487" s="328">
        <f t="shared" ref="G487" si="1092">+F487*$X$1</f>
        <v>15784.99</v>
      </c>
      <c r="H487" s="103">
        <f>F487+5000</f>
        <v>20784.989999999998</v>
      </c>
      <c r="I487" s="328">
        <f t="shared" si="1085"/>
        <v>20784.989999999998</v>
      </c>
      <c r="J487" s="103">
        <f>F487+1100</f>
        <v>16884.989999999998</v>
      </c>
      <c r="K487" s="328">
        <f t="shared" ref="K487:K488" si="1093">+J487*$X$1</f>
        <v>16884.989999999998</v>
      </c>
      <c r="L487" s="103">
        <f>F487+990</f>
        <v>16774.989999999998</v>
      </c>
      <c r="M487" s="328">
        <f t="shared" ref="M487:M488" si="1094">+L487*$X$1</f>
        <v>16774.989999999998</v>
      </c>
      <c r="N487" s="103">
        <f>F487+920</f>
        <v>16704.989999999998</v>
      </c>
      <c r="O487" s="328">
        <f t="shared" si="1086"/>
        <v>16704.989999999998</v>
      </c>
      <c r="P487" s="103">
        <f>F487+860</f>
        <v>16644.989999999998</v>
      </c>
      <c r="Q487" s="328">
        <f t="shared" si="1087"/>
        <v>16644.989999999998</v>
      </c>
      <c r="R487" s="103">
        <f>F487+800</f>
        <v>16584.989999999998</v>
      </c>
      <c r="S487" s="328">
        <f t="shared" si="1088"/>
        <v>16584.989999999998</v>
      </c>
      <c r="T487" s="103">
        <f>F487+750</f>
        <v>16534.989999999998</v>
      </c>
      <c r="U487" s="328">
        <f t="shared" si="1089"/>
        <v>16534.989999999998</v>
      </c>
      <c r="V487" s="103">
        <f>F487+710</f>
        <v>16494.989999999998</v>
      </c>
      <c r="W487" s="328">
        <f t="shared" si="1090"/>
        <v>16494.989999999998</v>
      </c>
      <c r="X487" s="141"/>
      <c r="Y487" s="136"/>
      <c r="Z487" s="142"/>
      <c r="AA487" s="143"/>
      <c r="AB487" s="420" t="s">
        <v>653</v>
      </c>
    </row>
    <row r="488" spans="1:28" ht="12.6" customHeight="1" x14ac:dyDescent="0.2">
      <c r="A488" s="4"/>
      <c r="B488" s="766" t="s">
        <v>735</v>
      </c>
      <c r="C488" s="767"/>
      <c r="D488" s="767"/>
      <c r="E488" s="767"/>
      <c r="F488" s="397">
        <f>15.37*X2</f>
        <v>15784.99</v>
      </c>
      <c r="G488" s="314">
        <f t="shared" ref="G488" si="1095">+F488*$X$1</f>
        <v>15784.99</v>
      </c>
      <c r="H488" s="104">
        <f>F488+4000</f>
        <v>19784.989999999998</v>
      </c>
      <c r="I488" s="314">
        <f t="shared" ref="I488:I489" si="1096">+H488*$X$1</f>
        <v>19784.989999999998</v>
      </c>
      <c r="J488" s="104">
        <f>F488+800</f>
        <v>16584.989999999998</v>
      </c>
      <c r="K488" s="314">
        <f t="shared" si="1093"/>
        <v>16584.989999999998</v>
      </c>
      <c r="L488" s="104">
        <f>F488+600</f>
        <v>16384.989999999998</v>
      </c>
      <c r="M488" s="314">
        <f t="shared" si="1094"/>
        <v>16384.989999999998</v>
      </c>
      <c r="N488" s="104">
        <f>F488+500</f>
        <v>16284.99</v>
      </c>
      <c r="O488" s="314">
        <f t="shared" ref="O488:O489" si="1097">+N488*$X$1</f>
        <v>16284.99</v>
      </c>
      <c r="P488" s="104">
        <f>F488+460</f>
        <v>16244.99</v>
      </c>
      <c r="Q488" s="314">
        <f t="shared" ref="Q488:Q489" si="1098">+P488*$X$1</f>
        <v>16244.99</v>
      </c>
      <c r="R488" s="104">
        <f>F488+440</f>
        <v>16224.99</v>
      </c>
      <c r="S488" s="314">
        <f t="shared" ref="S488:S489" si="1099">+R488*$X$1</f>
        <v>16224.99</v>
      </c>
      <c r="T488" s="104">
        <f>F488+400</f>
        <v>16184.99</v>
      </c>
      <c r="U488" s="314">
        <f t="shared" ref="U488:U489" si="1100">+T488*$X$1</f>
        <v>16184.99</v>
      </c>
      <c r="V488" s="104">
        <f>F488+370</f>
        <v>16154.99</v>
      </c>
      <c r="W488" s="314">
        <f t="shared" ref="W488:W489" si="1101">+V488*$X$1</f>
        <v>16154.99</v>
      </c>
      <c r="X488" s="141"/>
      <c r="Y488" s="136"/>
      <c r="Z488" s="142"/>
      <c r="AA488" s="143"/>
      <c r="AB488" s="420">
        <v>878</v>
      </c>
    </row>
    <row r="489" spans="1:28" ht="12.6" customHeight="1" x14ac:dyDescent="0.2">
      <c r="A489" s="4"/>
      <c r="B489" s="808" t="s">
        <v>702</v>
      </c>
      <c r="C489" s="695"/>
      <c r="D489" s="695"/>
      <c r="E489" s="695"/>
      <c r="F489" s="396">
        <f>24*X2</f>
        <v>24648</v>
      </c>
      <c r="G489" s="328">
        <f t="shared" ref="G489" si="1102">+F489*$X$1</f>
        <v>24648</v>
      </c>
      <c r="H489" s="103">
        <f>F489+5000</f>
        <v>29648</v>
      </c>
      <c r="I489" s="328">
        <f t="shared" si="1096"/>
        <v>29648</v>
      </c>
      <c r="J489" s="103">
        <f>F489+1100</f>
        <v>25748</v>
      </c>
      <c r="K489" s="328">
        <f t="shared" ref="K489:K490" si="1103">+J489*$X$1</f>
        <v>25748</v>
      </c>
      <c r="L489" s="103">
        <f>F489+990</f>
        <v>25638</v>
      </c>
      <c r="M489" s="328">
        <f t="shared" ref="M489:M490" si="1104">+L489*$X$1</f>
        <v>25638</v>
      </c>
      <c r="N489" s="103">
        <f>F489+920</f>
        <v>25568</v>
      </c>
      <c r="O489" s="328">
        <f t="shared" si="1097"/>
        <v>25568</v>
      </c>
      <c r="P489" s="103">
        <f>F489+860</f>
        <v>25508</v>
      </c>
      <c r="Q489" s="328">
        <f t="shared" si="1098"/>
        <v>25508</v>
      </c>
      <c r="R489" s="103">
        <f>F489+800</f>
        <v>25448</v>
      </c>
      <c r="S489" s="328">
        <f t="shared" si="1099"/>
        <v>25448</v>
      </c>
      <c r="T489" s="103">
        <f>F489+750</f>
        <v>25398</v>
      </c>
      <c r="U489" s="328">
        <f t="shared" si="1100"/>
        <v>25398</v>
      </c>
      <c r="V489" s="103">
        <f>F489+710</f>
        <v>25358</v>
      </c>
      <c r="W489" s="328">
        <f t="shared" si="1101"/>
        <v>25358</v>
      </c>
      <c r="X489" s="141"/>
      <c r="Y489" s="136"/>
      <c r="Z489" s="142"/>
      <c r="AA489" s="143"/>
      <c r="AB489" s="420" t="s">
        <v>615</v>
      </c>
    </row>
    <row r="490" spans="1:28" ht="12.6" customHeight="1" x14ac:dyDescent="0.2">
      <c r="A490" s="4"/>
      <c r="B490" s="765" t="s">
        <v>703</v>
      </c>
      <c r="C490" s="744"/>
      <c r="D490" s="744"/>
      <c r="E490" s="744"/>
      <c r="F490" s="397">
        <f>24*X2</f>
        <v>24648</v>
      </c>
      <c r="G490" s="314">
        <f t="shared" ref="G490:G491" si="1105">+F490*$X$1</f>
        <v>24648</v>
      </c>
      <c r="H490" s="104">
        <f>F490+4000</f>
        <v>28648</v>
      </c>
      <c r="I490" s="314">
        <f t="shared" ref="I490:I491" si="1106">+H490*$X$1</f>
        <v>28648</v>
      </c>
      <c r="J490" s="104">
        <f>F490+800</f>
        <v>25448</v>
      </c>
      <c r="K490" s="314">
        <f t="shared" si="1103"/>
        <v>25448</v>
      </c>
      <c r="L490" s="104">
        <f>F490+600</f>
        <v>25248</v>
      </c>
      <c r="M490" s="314">
        <f t="shared" si="1104"/>
        <v>25248</v>
      </c>
      <c r="N490" s="104">
        <f>F490+500</f>
        <v>25148</v>
      </c>
      <c r="O490" s="314">
        <f t="shared" ref="O490:O491" si="1107">+N490*$X$1</f>
        <v>25148</v>
      </c>
      <c r="P490" s="104">
        <f>F490+460</f>
        <v>25108</v>
      </c>
      <c r="Q490" s="314">
        <f t="shared" ref="Q490:Q491" si="1108">+P490*$X$1</f>
        <v>25108</v>
      </c>
      <c r="R490" s="104">
        <f>F490+440</f>
        <v>25088</v>
      </c>
      <c r="S490" s="314">
        <f t="shared" ref="S490:S491" si="1109">+R490*$X$1</f>
        <v>25088</v>
      </c>
      <c r="T490" s="104">
        <f>F490+400</f>
        <v>25048</v>
      </c>
      <c r="U490" s="314">
        <f t="shared" ref="U490:U491" si="1110">+T490*$X$1</f>
        <v>25048</v>
      </c>
      <c r="V490" s="104">
        <f>F490+370</f>
        <v>25018</v>
      </c>
      <c r="W490" s="314">
        <f t="shared" ref="W490:W491" si="1111">+V490*$X$1</f>
        <v>25018</v>
      </c>
      <c r="X490" s="141"/>
      <c r="Y490" s="136"/>
      <c r="Z490" s="142"/>
      <c r="AA490" s="143"/>
      <c r="AB490" s="420">
        <v>880</v>
      </c>
    </row>
    <row r="491" spans="1:28" ht="12.6" customHeight="1" x14ac:dyDescent="0.2">
      <c r="A491" s="4"/>
      <c r="B491" s="808" t="s">
        <v>704</v>
      </c>
      <c r="C491" s="695"/>
      <c r="D491" s="695"/>
      <c r="E491" s="695"/>
      <c r="F491" s="396">
        <f>31.386*X2</f>
        <v>32233.421999999999</v>
      </c>
      <c r="G491" s="328">
        <f t="shared" si="1105"/>
        <v>32233.421999999999</v>
      </c>
      <c r="H491" s="103">
        <f>F491+5000</f>
        <v>37233.421999999999</v>
      </c>
      <c r="I491" s="328">
        <f t="shared" si="1106"/>
        <v>37233.421999999999</v>
      </c>
      <c r="J491" s="103">
        <f>F491+1100</f>
        <v>33333.421999999999</v>
      </c>
      <c r="K491" s="328">
        <f t="shared" ref="K491:K492" si="1112">+J491*$X$1</f>
        <v>33333.421999999999</v>
      </c>
      <c r="L491" s="103">
        <f>F491+990</f>
        <v>33223.421999999999</v>
      </c>
      <c r="M491" s="328">
        <f t="shared" ref="M491:M492" si="1113">+L491*$X$1</f>
        <v>33223.421999999999</v>
      </c>
      <c r="N491" s="103">
        <f>F491+920</f>
        <v>33153.421999999999</v>
      </c>
      <c r="O491" s="328">
        <f t="shared" si="1107"/>
        <v>33153.421999999999</v>
      </c>
      <c r="P491" s="103">
        <f>F491+860</f>
        <v>33093.421999999999</v>
      </c>
      <c r="Q491" s="328">
        <f t="shared" si="1108"/>
        <v>33093.421999999999</v>
      </c>
      <c r="R491" s="103">
        <f>F491+800</f>
        <v>33033.421999999999</v>
      </c>
      <c r="S491" s="328">
        <f t="shared" si="1109"/>
        <v>33033.421999999999</v>
      </c>
      <c r="T491" s="103">
        <f>F491+750</f>
        <v>32983.421999999999</v>
      </c>
      <c r="U491" s="328">
        <f t="shared" si="1110"/>
        <v>32983.421999999999</v>
      </c>
      <c r="V491" s="103">
        <f>F491+710</f>
        <v>32943.421999999999</v>
      </c>
      <c r="W491" s="328">
        <f t="shared" si="1111"/>
        <v>32943.421999999999</v>
      </c>
      <c r="X491" s="141"/>
      <c r="Y491" s="136"/>
      <c r="Z491" s="142"/>
      <c r="AA491" s="143"/>
      <c r="AB491" s="420" t="s">
        <v>616</v>
      </c>
    </row>
    <row r="492" spans="1:28" ht="12.6" customHeight="1" x14ac:dyDescent="0.2">
      <c r="A492" s="4"/>
      <c r="B492" s="765" t="s">
        <v>705</v>
      </c>
      <c r="C492" s="645"/>
      <c r="D492" s="645"/>
      <c r="E492" s="645"/>
      <c r="F492" s="397">
        <f>31.386*X2</f>
        <v>32233.421999999999</v>
      </c>
      <c r="G492" s="314">
        <f t="shared" ref="G492:G493" si="1114">+F492*$X$1</f>
        <v>32233.421999999999</v>
      </c>
      <c r="H492" s="104">
        <f>F492+4000</f>
        <v>36233.421999999999</v>
      </c>
      <c r="I492" s="314">
        <f t="shared" ref="I492:I495" si="1115">+H492*$X$1</f>
        <v>36233.421999999999</v>
      </c>
      <c r="J492" s="104">
        <f>F492+800</f>
        <v>33033.421999999999</v>
      </c>
      <c r="K492" s="314">
        <f t="shared" si="1112"/>
        <v>33033.421999999999</v>
      </c>
      <c r="L492" s="104">
        <f>F492+600</f>
        <v>32833.421999999999</v>
      </c>
      <c r="M492" s="314">
        <f t="shared" si="1113"/>
        <v>32833.421999999999</v>
      </c>
      <c r="N492" s="104">
        <f>F492+500</f>
        <v>32733.421999999999</v>
      </c>
      <c r="O492" s="314">
        <f t="shared" ref="O492:O495" si="1116">+N492*$X$1</f>
        <v>32733.421999999999</v>
      </c>
      <c r="P492" s="104">
        <f>F492+460</f>
        <v>32693.421999999999</v>
      </c>
      <c r="Q492" s="314">
        <f t="shared" ref="Q492:Q495" si="1117">+P492*$X$1</f>
        <v>32693.421999999999</v>
      </c>
      <c r="R492" s="104">
        <f>F492+440</f>
        <v>32673.421999999999</v>
      </c>
      <c r="S492" s="314">
        <f t="shared" ref="S492:S495" si="1118">+R492*$X$1</f>
        <v>32673.421999999999</v>
      </c>
      <c r="T492" s="104">
        <f>F492+400</f>
        <v>32633.421999999999</v>
      </c>
      <c r="U492" s="314">
        <f t="shared" ref="U492:U495" si="1119">+T492*$X$1</f>
        <v>32633.421999999999</v>
      </c>
      <c r="V492" s="104">
        <f>F492+370</f>
        <v>32603.421999999999</v>
      </c>
      <c r="W492" s="314">
        <f t="shared" ref="W492:W495" si="1120">+V492*$X$1</f>
        <v>32603.421999999999</v>
      </c>
      <c r="X492" s="141"/>
      <c r="Y492" s="136"/>
      <c r="Z492" s="142"/>
      <c r="AA492" s="143"/>
      <c r="AB492" s="420">
        <v>881</v>
      </c>
    </row>
    <row r="493" spans="1:28" ht="12.6" customHeight="1" x14ac:dyDescent="0.2">
      <c r="A493" s="4"/>
      <c r="B493" s="808" t="s">
        <v>706</v>
      </c>
      <c r="C493" s="695"/>
      <c r="D493" s="695"/>
      <c r="E493" s="695"/>
      <c r="F493" s="396">
        <f>20.3*X2</f>
        <v>20848.100000000002</v>
      </c>
      <c r="G493" s="328">
        <f t="shared" si="1114"/>
        <v>20848.100000000002</v>
      </c>
      <c r="H493" s="103">
        <f>F493+4000</f>
        <v>24848.100000000002</v>
      </c>
      <c r="I493" s="328">
        <f t="shared" si="1115"/>
        <v>24848.100000000002</v>
      </c>
      <c r="J493" s="103">
        <f t="shared" ref="J493:J494" si="1121">F493+800</f>
        <v>21648.100000000002</v>
      </c>
      <c r="K493" s="328">
        <f t="shared" ref="K493:K494" si="1122">+J493*$X$1</f>
        <v>21648.100000000002</v>
      </c>
      <c r="L493" s="103">
        <f t="shared" ref="L493:L494" si="1123">F493+600</f>
        <v>21448.100000000002</v>
      </c>
      <c r="M493" s="328">
        <f t="shared" ref="M493:M494" si="1124">+L493*$X$1</f>
        <v>21448.100000000002</v>
      </c>
      <c r="N493" s="103">
        <f>F493+500</f>
        <v>21348.100000000002</v>
      </c>
      <c r="O493" s="328">
        <f t="shared" si="1116"/>
        <v>21348.100000000002</v>
      </c>
      <c r="P493" s="103">
        <f>F493+460</f>
        <v>21308.100000000002</v>
      </c>
      <c r="Q493" s="328">
        <f t="shared" si="1117"/>
        <v>21308.100000000002</v>
      </c>
      <c r="R493" s="103">
        <f>F493+440</f>
        <v>21288.100000000002</v>
      </c>
      <c r="S493" s="328">
        <f t="shared" si="1118"/>
        <v>21288.100000000002</v>
      </c>
      <c r="T493" s="103">
        <f>F493+400</f>
        <v>21248.100000000002</v>
      </c>
      <c r="U493" s="328">
        <f t="shared" si="1119"/>
        <v>21248.100000000002</v>
      </c>
      <c r="V493" s="103">
        <f>F493+370</f>
        <v>21218.100000000002</v>
      </c>
      <c r="W493" s="328">
        <f t="shared" si="1120"/>
        <v>21218.100000000002</v>
      </c>
      <c r="X493" s="141"/>
      <c r="Y493" s="136"/>
      <c r="Z493" s="142"/>
      <c r="AA493" s="143"/>
      <c r="AB493" s="420">
        <v>882</v>
      </c>
    </row>
    <row r="494" spans="1:28" ht="12.6" customHeight="1" x14ac:dyDescent="0.2">
      <c r="A494" s="4"/>
      <c r="B494" s="788" t="s">
        <v>482</v>
      </c>
      <c r="C494" s="789"/>
      <c r="D494" s="789"/>
      <c r="E494" s="789"/>
      <c r="F494" s="397">
        <f>24*X2</f>
        <v>24648</v>
      </c>
      <c r="G494" s="314">
        <f t="shared" ref="G494:G496" si="1125">+F494*$X$1</f>
        <v>24648</v>
      </c>
      <c r="H494" s="104">
        <f>F494+4000</f>
        <v>28648</v>
      </c>
      <c r="I494" s="314">
        <f t="shared" si="1115"/>
        <v>28648</v>
      </c>
      <c r="J494" s="104">
        <f t="shared" si="1121"/>
        <v>25448</v>
      </c>
      <c r="K494" s="314">
        <f t="shared" si="1122"/>
        <v>25448</v>
      </c>
      <c r="L494" s="104">
        <f t="shared" si="1123"/>
        <v>25248</v>
      </c>
      <c r="M494" s="314">
        <f t="shared" si="1124"/>
        <v>25248</v>
      </c>
      <c r="N494" s="104">
        <f>F494+500</f>
        <v>25148</v>
      </c>
      <c r="O494" s="314">
        <f t="shared" si="1116"/>
        <v>25148</v>
      </c>
      <c r="P494" s="104">
        <f>F494+460</f>
        <v>25108</v>
      </c>
      <c r="Q494" s="314">
        <f t="shared" si="1117"/>
        <v>25108</v>
      </c>
      <c r="R494" s="104">
        <f>F494+440</f>
        <v>25088</v>
      </c>
      <c r="S494" s="314">
        <f t="shared" si="1118"/>
        <v>25088</v>
      </c>
      <c r="T494" s="104">
        <f>F494+400</f>
        <v>25048</v>
      </c>
      <c r="U494" s="314">
        <f t="shared" si="1119"/>
        <v>25048</v>
      </c>
      <c r="V494" s="104">
        <f>F494+370</f>
        <v>25018</v>
      </c>
      <c r="W494" s="314">
        <f t="shared" si="1120"/>
        <v>25018</v>
      </c>
      <c r="X494" s="141"/>
      <c r="Y494" s="136"/>
      <c r="Z494" s="142"/>
      <c r="AA494" s="143"/>
      <c r="AB494" s="420">
        <v>883</v>
      </c>
    </row>
    <row r="495" spans="1:28" ht="12.6" customHeight="1" x14ac:dyDescent="0.2">
      <c r="A495" s="4"/>
      <c r="B495" s="809" t="s">
        <v>791</v>
      </c>
      <c r="C495" s="647"/>
      <c r="D495" s="647"/>
      <c r="E495" s="648"/>
      <c r="F495" s="396">
        <f>16.1*X2</f>
        <v>16534.7</v>
      </c>
      <c r="G495" s="328">
        <f t="shared" si="1125"/>
        <v>16534.7</v>
      </c>
      <c r="H495" s="103">
        <f>F495+5000</f>
        <v>21534.7</v>
      </c>
      <c r="I495" s="328">
        <f t="shared" si="1115"/>
        <v>21534.7</v>
      </c>
      <c r="J495" s="103">
        <f>F495+1100</f>
        <v>17634.7</v>
      </c>
      <c r="K495" s="328">
        <f t="shared" ref="K495:K496" si="1126">+J495*$X$1</f>
        <v>17634.7</v>
      </c>
      <c r="L495" s="103">
        <f>F495+990</f>
        <v>17524.7</v>
      </c>
      <c r="M495" s="328">
        <f t="shared" ref="M495:M496" si="1127">+L495*$X$1</f>
        <v>17524.7</v>
      </c>
      <c r="N495" s="103">
        <f>F495+920</f>
        <v>17454.7</v>
      </c>
      <c r="O495" s="328">
        <f t="shared" si="1116"/>
        <v>17454.7</v>
      </c>
      <c r="P495" s="103">
        <f>F495+860</f>
        <v>17394.7</v>
      </c>
      <c r="Q495" s="328">
        <f t="shared" si="1117"/>
        <v>17394.7</v>
      </c>
      <c r="R495" s="103">
        <f>F495+800</f>
        <v>17334.7</v>
      </c>
      <c r="S495" s="328">
        <f t="shared" si="1118"/>
        <v>17334.7</v>
      </c>
      <c r="T495" s="103">
        <f>F495+750</f>
        <v>17284.7</v>
      </c>
      <c r="U495" s="328">
        <f t="shared" si="1119"/>
        <v>17284.7</v>
      </c>
      <c r="V495" s="103">
        <f>F495+710</f>
        <v>17244.7</v>
      </c>
      <c r="W495" s="328">
        <f t="shared" si="1120"/>
        <v>17244.7</v>
      </c>
      <c r="X495" s="141"/>
      <c r="Y495" s="136"/>
      <c r="Z495" s="142"/>
      <c r="AA495" s="143"/>
      <c r="AB495" s="420" t="s">
        <v>790</v>
      </c>
    </row>
    <row r="496" spans="1:28" ht="12.6" customHeight="1" x14ac:dyDescent="0.2">
      <c r="A496" s="4"/>
      <c r="B496" s="997" t="s">
        <v>792</v>
      </c>
      <c r="C496" s="970"/>
      <c r="D496" s="970"/>
      <c r="E496" s="971"/>
      <c r="F496" s="397">
        <f>16.1*X2</f>
        <v>16534.7</v>
      </c>
      <c r="G496" s="314">
        <f t="shared" si="1125"/>
        <v>16534.7</v>
      </c>
      <c r="H496" s="104">
        <f>F496+4000</f>
        <v>20534.7</v>
      </c>
      <c r="I496" s="314">
        <f t="shared" ref="I496:I497" si="1128">+H496*$X$1</f>
        <v>20534.7</v>
      </c>
      <c r="J496" s="104">
        <f t="shared" ref="J496" si="1129">F496+800</f>
        <v>17334.7</v>
      </c>
      <c r="K496" s="314">
        <f t="shared" si="1126"/>
        <v>17334.7</v>
      </c>
      <c r="L496" s="104">
        <f t="shared" ref="L496" si="1130">F496+600</f>
        <v>17134.7</v>
      </c>
      <c r="M496" s="314">
        <f t="shared" si="1127"/>
        <v>17134.7</v>
      </c>
      <c r="N496" s="104">
        <f>F496+500</f>
        <v>17034.7</v>
      </c>
      <c r="O496" s="314">
        <f t="shared" ref="O496:O497" si="1131">+N496*$X$1</f>
        <v>17034.7</v>
      </c>
      <c r="P496" s="104">
        <f>F496+460</f>
        <v>16994.7</v>
      </c>
      <c r="Q496" s="314">
        <f t="shared" ref="Q496:Q497" si="1132">+P496*$X$1</f>
        <v>16994.7</v>
      </c>
      <c r="R496" s="104">
        <f>F496+440</f>
        <v>16974.7</v>
      </c>
      <c r="S496" s="314">
        <f t="shared" ref="S496:S497" si="1133">+R496*$X$1</f>
        <v>16974.7</v>
      </c>
      <c r="T496" s="104">
        <f>F496+400</f>
        <v>16934.7</v>
      </c>
      <c r="U496" s="314">
        <f t="shared" ref="U496:U497" si="1134">+T496*$X$1</f>
        <v>16934.7</v>
      </c>
      <c r="V496" s="104">
        <f>F496+370</f>
        <v>16904.7</v>
      </c>
      <c r="W496" s="314">
        <f t="shared" ref="W496:W497" si="1135">+V496*$X$1</f>
        <v>16904.7</v>
      </c>
      <c r="X496" s="141"/>
      <c r="Y496" s="136"/>
      <c r="Z496" s="142"/>
      <c r="AA496" s="143"/>
      <c r="AB496" s="420">
        <v>886</v>
      </c>
    </row>
    <row r="497" spans="1:28" ht="12.6" customHeight="1" x14ac:dyDescent="0.2">
      <c r="A497" s="4"/>
      <c r="B497" s="808" t="s">
        <v>737</v>
      </c>
      <c r="C497" s="695"/>
      <c r="D497" s="695"/>
      <c r="E497" s="695"/>
      <c r="F497" s="393">
        <f>23.5*X2</f>
        <v>24134.5</v>
      </c>
      <c r="G497" s="294">
        <f t="shared" ref="G497" si="1136">+F497*$X$1</f>
        <v>24134.5</v>
      </c>
      <c r="H497" s="103">
        <f>F497+5000</f>
        <v>29134.5</v>
      </c>
      <c r="I497" s="328">
        <f t="shared" si="1128"/>
        <v>29134.5</v>
      </c>
      <c r="J497" s="103">
        <f>F497+1100</f>
        <v>25234.5</v>
      </c>
      <c r="K497" s="328">
        <f t="shared" ref="K497:K500" si="1137">+J497*$X$1</f>
        <v>25234.5</v>
      </c>
      <c r="L497" s="103">
        <f>F497+990</f>
        <v>25124.5</v>
      </c>
      <c r="M497" s="328">
        <f t="shared" ref="M497:M500" si="1138">+L497*$X$1</f>
        <v>25124.5</v>
      </c>
      <c r="N497" s="103">
        <f>F497+920</f>
        <v>25054.5</v>
      </c>
      <c r="O497" s="328">
        <f t="shared" si="1131"/>
        <v>25054.5</v>
      </c>
      <c r="P497" s="103">
        <f>F497+860</f>
        <v>24994.5</v>
      </c>
      <c r="Q497" s="328">
        <f t="shared" si="1132"/>
        <v>24994.5</v>
      </c>
      <c r="R497" s="103">
        <f>F497+800</f>
        <v>24934.5</v>
      </c>
      <c r="S497" s="328">
        <f t="shared" si="1133"/>
        <v>24934.5</v>
      </c>
      <c r="T497" s="103">
        <f>F497+750</f>
        <v>24884.5</v>
      </c>
      <c r="U497" s="328">
        <f t="shared" si="1134"/>
        <v>24884.5</v>
      </c>
      <c r="V497" s="103">
        <f>F497+710</f>
        <v>24844.5</v>
      </c>
      <c r="W497" s="328">
        <f t="shared" si="1135"/>
        <v>24844.5</v>
      </c>
      <c r="X497" s="141"/>
      <c r="Y497" s="136"/>
      <c r="Z497" s="142"/>
      <c r="AA497" s="143"/>
      <c r="AB497" s="420" t="s">
        <v>720</v>
      </c>
    </row>
    <row r="498" spans="1:28" ht="12.6" customHeight="1" x14ac:dyDescent="0.2">
      <c r="A498" s="4"/>
      <c r="B498" s="788" t="s">
        <v>736</v>
      </c>
      <c r="C498" s="789"/>
      <c r="D498" s="789"/>
      <c r="E498" s="789"/>
      <c r="F498" s="392">
        <f>23.5*X2</f>
        <v>24134.5</v>
      </c>
      <c r="G498" s="293">
        <f t="shared" ref="G498" si="1139">+F498*$X$1</f>
        <v>24134.5</v>
      </c>
      <c r="H498" s="104">
        <f>F498+4000</f>
        <v>28134.5</v>
      </c>
      <c r="I498" s="314">
        <f t="shared" ref="I498:I501" si="1140">+H498*$X$1</f>
        <v>28134.5</v>
      </c>
      <c r="J498" s="104">
        <f t="shared" ref="J498:J500" si="1141">F498+800</f>
        <v>24934.5</v>
      </c>
      <c r="K498" s="314">
        <f t="shared" si="1137"/>
        <v>24934.5</v>
      </c>
      <c r="L498" s="104">
        <f t="shared" ref="L498:L500" si="1142">F498+600</f>
        <v>24734.5</v>
      </c>
      <c r="M498" s="314">
        <f t="shared" si="1138"/>
        <v>24734.5</v>
      </c>
      <c r="N498" s="104">
        <f>F498+500</f>
        <v>24634.5</v>
      </c>
      <c r="O498" s="314">
        <f t="shared" ref="O498:O501" si="1143">+N498*$X$1</f>
        <v>24634.5</v>
      </c>
      <c r="P498" s="104">
        <f>F498+460</f>
        <v>24594.5</v>
      </c>
      <c r="Q498" s="314">
        <f t="shared" ref="Q498:Q501" si="1144">+P498*$X$1</f>
        <v>24594.5</v>
      </c>
      <c r="R498" s="104">
        <f>F498+440</f>
        <v>24574.5</v>
      </c>
      <c r="S498" s="314">
        <f t="shared" ref="S498:S501" si="1145">+R498*$X$1</f>
        <v>24574.5</v>
      </c>
      <c r="T498" s="104">
        <f>F498+400</f>
        <v>24534.5</v>
      </c>
      <c r="U498" s="314">
        <f t="shared" ref="U498:U501" si="1146">+T498*$X$1</f>
        <v>24534.5</v>
      </c>
      <c r="V498" s="104">
        <f>F498+370</f>
        <v>24504.5</v>
      </c>
      <c r="W498" s="314">
        <f t="shared" ref="W498:W501" si="1147">+V498*$X$1</f>
        <v>24504.5</v>
      </c>
      <c r="X498" s="141"/>
      <c r="Y498" s="136"/>
      <c r="Z498" s="142"/>
      <c r="AA498" s="143"/>
      <c r="AB498" s="420">
        <v>887</v>
      </c>
    </row>
    <row r="499" spans="1:28" ht="12.6" customHeight="1" x14ac:dyDescent="0.2">
      <c r="A499" s="4"/>
      <c r="B499" s="797" t="s">
        <v>652</v>
      </c>
      <c r="C499" s="643"/>
      <c r="D499" s="643"/>
      <c r="E499" s="643"/>
      <c r="F499" s="393">
        <f>14.7*X2</f>
        <v>15096.9</v>
      </c>
      <c r="G499" s="294">
        <f t="shared" ref="G499" si="1148">+F499*$X$1</f>
        <v>15096.9</v>
      </c>
      <c r="H499" s="103">
        <f>F499+4000</f>
        <v>19096.900000000001</v>
      </c>
      <c r="I499" s="328">
        <f t="shared" si="1140"/>
        <v>19096.900000000001</v>
      </c>
      <c r="J499" s="103">
        <f t="shared" si="1141"/>
        <v>15896.9</v>
      </c>
      <c r="K499" s="328">
        <f t="shared" si="1137"/>
        <v>15896.9</v>
      </c>
      <c r="L499" s="103">
        <f t="shared" si="1142"/>
        <v>15696.9</v>
      </c>
      <c r="M499" s="328">
        <f t="shared" si="1138"/>
        <v>15696.9</v>
      </c>
      <c r="N499" s="103">
        <f>F499+500</f>
        <v>15596.9</v>
      </c>
      <c r="O499" s="328">
        <f t="shared" si="1143"/>
        <v>15596.9</v>
      </c>
      <c r="P499" s="103">
        <f>F499+460</f>
        <v>15556.9</v>
      </c>
      <c r="Q499" s="328">
        <f t="shared" si="1144"/>
        <v>15556.9</v>
      </c>
      <c r="R499" s="103">
        <f>F499+440</f>
        <v>15536.9</v>
      </c>
      <c r="S499" s="328">
        <f t="shared" si="1145"/>
        <v>15536.9</v>
      </c>
      <c r="T499" s="103">
        <f>F499+400</f>
        <v>15496.9</v>
      </c>
      <c r="U499" s="328">
        <f t="shared" si="1146"/>
        <v>15496.9</v>
      </c>
      <c r="V499" s="103">
        <f>F499+370</f>
        <v>15466.9</v>
      </c>
      <c r="W499" s="328">
        <f t="shared" si="1147"/>
        <v>15466.9</v>
      </c>
      <c r="X499" s="141"/>
      <c r="Y499" s="136"/>
      <c r="Z499" s="142"/>
      <c r="AA499" s="143"/>
      <c r="AB499" s="420">
        <v>888</v>
      </c>
    </row>
    <row r="500" spans="1:28" ht="12.6" customHeight="1" x14ac:dyDescent="0.2">
      <c r="A500" s="4"/>
      <c r="B500" s="765" t="s">
        <v>442</v>
      </c>
      <c r="C500" s="680"/>
      <c r="D500" s="680"/>
      <c r="E500" s="680"/>
      <c r="F500" s="392">
        <f>16.2*X2</f>
        <v>16637.399999999998</v>
      </c>
      <c r="G500" s="293">
        <f t="shared" ref="G500" si="1149">+F500*$X$1</f>
        <v>16637.399999999998</v>
      </c>
      <c r="H500" s="104">
        <f>F500+4000</f>
        <v>20637.399999999998</v>
      </c>
      <c r="I500" s="314">
        <f t="shared" si="1140"/>
        <v>20637.399999999998</v>
      </c>
      <c r="J500" s="104">
        <f t="shared" si="1141"/>
        <v>17437.399999999998</v>
      </c>
      <c r="K500" s="314">
        <f t="shared" si="1137"/>
        <v>17437.399999999998</v>
      </c>
      <c r="L500" s="104">
        <f t="shared" si="1142"/>
        <v>17237.399999999998</v>
      </c>
      <c r="M500" s="314">
        <f t="shared" si="1138"/>
        <v>17237.399999999998</v>
      </c>
      <c r="N500" s="104">
        <f>F500+500</f>
        <v>17137.399999999998</v>
      </c>
      <c r="O500" s="314">
        <f t="shared" si="1143"/>
        <v>17137.399999999998</v>
      </c>
      <c r="P500" s="104">
        <f>F500+460</f>
        <v>17097.399999999998</v>
      </c>
      <c r="Q500" s="314">
        <f t="shared" si="1144"/>
        <v>17097.399999999998</v>
      </c>
      <c r="R500" s="104">
        <f>F500+440</f>
        <v>17077.399999999998</v>
      </c>
      <c r="S500" s="314">
        <f t="shared" si="1145"/>
        <v>17077.399999999998</v>
      </c>
      <c r="T500" s="104">
        <f>F500+400</f>
        <v>17037.399999999998</v>
      </c>
      <c r="U500" s="314">
        <f t="shared" si="1146"/>
        <v>17037.399999999998</v>
      </c>
      <c r="V500" s="104">
        <f>F500+370</f>
        <v>17007.399999999998</v>
      </c>
      <c r="W500" s="314">
        <f t="shared" si="1147"/>
        <v>17007.399999999998</v>
      </c>
      <c r="X500" s="141"/>
      <c r="Y500" s="136"/>
      <c r="Z500" s="142"/>
      <c r="AA500" s="143"/>
      <c r="AB500" s="420">
        <v>894</v>
      </c>
    </row>
    <row r="501" spans="1:28" ht="12.6" customHeight="1" x14ac:dyDescent="0.2">
      <c r="A501" s="4"/>
      <c r="B501" s="797" t="s">
        <v>697</v>
      </c>
      <c r="C501" s="643"/>
      <c r="D501" s="643"/>
      <c r="E501" s="643"/>
      <c r="F501" s="393">
        <f>15.5*X2</f>
        <v>15918.5</v>
      </c>
      <c r="G501" s="294">
        <f t="shared" ref="G501:G504" si="1150">+F501*$X$1</f>
        <v>15918.5</v>
      </c>
      <c r="H501" s="103">
        <f>F501+5000</f>
        <v>20918.5</v>
      </c>
      <c r="I501" s="328">
        <f t="shared" si="1140"/>
        <v>20918.5</v>
      </c>
      <c r="J501" s="103">
        <f>F501+1100</f>
        <v>17018.5</v>
      </c>
      <c r="K501" s="328">
        <f t="shared" ref="K501:K502" si="1151">+J501*$X$1</f>
        <v>17018.5</v>
      </c>
      <c r="L501" s="103">
        <f>F501+990</f>
        <v>16908.5</v>
      </c>
      <c r="M501" s="328">
        <f t="shared" ref="M501:M502" si="1152">+L501*$X$1</f>
        <v>16908.5</v>
      </c>
      <c r="N501" s="103">
        <f>F501+920</f>
        <v>16838.5</v>
      </c>
      <c r="O501" s="328">
        <f t="shared" si="1143"/>
        <v>16838.5</v>
      </c>
      <c r="P501" s="103">
        <f>F501+860</f>
        <v>16778.5</v>
      </c>
      <c r="Q501" s="328">
        <f t="shared" si="1144"/>
        <v>16778.5</v>
      </c>
      <c r="R501" s="103">
        <f>F501+800</f>
        <v>16718.5</v>
      </c>
      <c r="S501" s="328">
        <f t="shared" si="1145"/>
        <v>16718.5</v>
      </c>
      <c r="T501" s="103">
        <f>F501+750</f>
        <v>16668.5</v>
      </c>
      <c r="U501" s="328">
        <f t="shared" si="1146"/>
        <v>16668.5</v>
      </c>
      <c r="V501" s="103">
        <f>F501+710</f>
        <v>16628.5</v>
      </c>
      <c r="W501" s="328">
        <f t="shared" si="1147"/>
        <v>16628.5</v>
      </c>
      <c r="X501" s="141"/>
      <c r="Y501" s="136"/>
      <c r="Z501" s="142"/>
      <c r="AA501" s="143"/>
      <c r="AB501" s="420">
        <v>896</v>
      </c>
    </row>
    <row r="502" spans="1:28" ht="12.6" customHeight="1" x14ac:dyDescent="0.2">
      <c r="A502" s="4"/>
      <c r="B502" s="765" t="s">
        <v>651</v>
      </c>
      <c r="C502" s="645"/>
      <c r="D502" s="645"/>
      <c r="E502" s="645"/>
      <c r="F502" s="392">
        <f>15.5*X2</f>
        <v>15918.5</v>
      </c>
      <c r="G502" s="293">
        <f t="shared" si="1150"/>
        <v>15918.5</v>
      </c>
      <c r="H502" s="104">
        <f>F502+4000</f>
        <v>19918.5</v>
      </c>
      <c r="I502" s="314">
        <f t="shared" ref="I502:I503" si="1153">+H502*$X$1</f>
        <v>19918.5</v>
      </c>
      <c r="J502" s="104">
        <f t="shared" ref="J502" si="1154">F502+800</f>
        <v>16718.5</v>
      </c>
      <c r="K502" s="314">
        <f t="shared" si="1151"/>
        <v>16718.5</v>
      </c>
      <c r="L502" s="104">
        <f t="shared" ref="L502" si="1155">F502+600</f>
        <v>16518.5</v>
      </c>
      <c r="M502" s="314">
        <f t="shared" si="1152"/>
        <v>16518.5</v>
      </c>
      <c r="N502" s="104">
        <f>F502+500</f>
        <v>16418.5</v>
      </c>
      <c r="O502" s="314">
        <f t="shared" ref="O502:O506" si="1156">+N502*$X$1</f>
        <v>16418.5</v>
      </c>
      <c r="P502" s="104">
        <f>F502+460</f>
        <v>16378.5</v>
      </c>
      <c r="Q502" s="314">
        <f t="shared" ref="Q502:Q505" si="1157">+P502*$X$1</f>
        <v>16378.5</v>
      </c>
      <c r="R502" s="104">
        <f>F502+440</f>
        <v>16358.5</v>
      </c>
      <c r="S502" s="314">
        <f t="shared" ref="S502:S505" si="1158">+R502*$X$1</f>
        <v>16358.5</v>
      </c>
      <c r="T502" s="104">
        <f>F502+400</f>
        <v>16318.5</v>
      </c>
      <c r="U502" s="314">
        <f t="shared" ref="U502:U505" si="1159">+T502*$X$1</f>
        <v>16318.5</v>
      </c>
      <c r="V502" s="104">
        <f>F502+370</f>
        <v>16288.5</v>
      </c>
      <c r="W502" s="314">
        <f t="shared" ref="W502:W505" si="1160">+V502*$X$1</f>
        <v>16288.5</v>
      </c>
      <c r="X502" s="141"/>
      <c r="Y502" s="136"/>
      <c r="Z502" s="142"/>
      <c r="AA502" s="143"/>
      <c r="AB502" s="420">
        <v>896</v>
      </c>
    </row>
    <row r="503" spans="1:28" ht="12.6" customHeight="1" x14ac:dyDescent="0.2">
      <c r="A503" s="4"/>
      <c r="B503" s="797" t="s">
        <v>654</v>
      </c>
      <c r="C503" s="698"/>
      <c r="D503" s="698"/>
      <c r="E503" s="698"/>
      <c r="F503" s="393">
        <f>19*X2</f>
        <v>19513</v>
      </c>
      <c r="G503" s="294">
        <f t="shared" si="1150"/>
        <v>19513</v>
      </c>
      <c r="H503" s="103">
        <f>F503+5000</f>
        <v>24513</v>
      </c>
      <c r="I503" s="328">
        <f t="shared" si="1153"/>
        <v>24513</v>
      </c>
      <c r="J503" s="103">
        <f>F503+1100</f>
        <v>20613</v>
      </c>
      <c r="K503" s="328">
        <f t="shared" ref="K503:K507" si="1161">+J503*$X$1</f>
        <v>20613</v>
      </c>
      <c r="L503" s="103">
        <f>F503+990</f>
        <v>20503</v>
      </c>
      <c r="M503" s="328">
        <f t="shared" ref="M503:M507" si="1162">+L503*$X$1</f>
        <v>20503</v>
      </c>
      <c r="N503" s="103">
        <f>F503+920</f>
        <v>20433</v>
      </c>
      <c r="O503" s="328">
        <f t="shared" si="1156"/>
        <v>20433</v>
      </c>
      <c r="P503" s="103">
        <f>F503+860</f>
        <v>20373</v>
      </c>
      <c r="Q503" s="328">
        <f t="shared" si="1157"/>
        <v>20373</v>
      </c>
      <c r="R503" s="103">
        <f>F503+800</f>
        <v>20313</v>
      </c>
      <c r="S503" s="328">
        <f t="shared" si="1158"/>
        <v>20313</v>
      </c>
      <c r="T503" s="103">
        <f>F503+750</f>
        <v>20263</v>
      </c>
      <c r="U503" s="328">
        <f t="shared" si="1159"/>
        <v>20263</v>
      </c>
      <c r="V503" s="103">
        <f>F503+710</f>
        <v>20223</v>
      </c>
      <c r="W503" s="328">
        <f t="shared" si="1160"/>
        <v>20223</v>
      </c>
      <c r="X503" s="141"/>
      <c r="Y503" s="136"/>
      <c r="Z503" s="142"/>
      <c r="AA503" s="143"/>
      <c r="AB503" s="420">
        <v>899</v>
      </c>
    </row>
    <row r="504" spans="1:28" ht="12.6" customHeight="1" x14ac:dyDescent="0.2">
      <c r="A504" s="4"/>
      <c r="B504" s="765" t="s">
        <v>662</v>
      </c>
      <c r="C504" s="744"/>
      <c r="D504" s="744"/>
      <c r="E504" s="744"/>
      <c r="F504" s="392">
        <f>19*X2</f>
        <v>19513</v>
      </c>
      <c r="G504" s="293">
        <f t="shared" si="1150"/>
        <v>19513</v>
      </c>
      <c r="H504" s="104">
        <f>F504+4000</f>
        <v>23513</v>
      </c>
      <c r="I504" s="314">
        <f t="shared" ref="I504:I506" si="1163">+H504*$X$1</f>
        <v>23513</v>
      </c>
      <c r="J504" s="104">
        <f t="shared" ref="J504" si="1164">F504+800</f>
        <v>20313</v>
      </c>
      <c r="K504" s="314">
        <f t="shared" si="1161"/>
        <v>20313</v>
      </c>
      <c r="L504" s="104">
        <f t="shared" ref="L504" si="1165">F504+600</f>
        <v>20113</v>
      </c>
      <c r="M504" s="314">
        <f t="shared" si="1162"/>
        <v>20113</v>
      </c>
      <c r="N504" s="104">
        <f>F504+500</f>
        <v>20013</v>
      </c>
      <c r="O504" s="314">
        <f t="shared" si="1156"/>
        <v>20013</v>
      </c>
      <c r="P504" s="104">
        <f>F504+460</f>
        <v>19973</v>
      </c>
      <c r="Q504" s="314">
        <f t="shared" si="1157"/>
        <v>19973</v>
      </c>
      <c r="R504" s="104">
        <f>F504+440</f>
        <v>19953</v>
      </c>
      <c r="S504" s="314">
        <f t="shared" si="1158"/>
        <v>19953</v>
      </c>
      <c r="T504" s="104">
        <f>F504+400</f>
        <v>19913</v>
      </c>
      <c r="U504" s="314">
        <f t="shared" si="1159"/>
        <v>19913</v>
      </c>
      <c r="V504" s="104">
        <f>F504+370</f>
        <v>19883</v>
      </c>
      <c r="W504" s="314">
        <f t="shared" si="1160"/>
        <v>19883</v>
      </c>
      <c r="X504" s="141"/>
      <c r="Y504" s="136"/>
      <c r="Z504" s="142"/>
      <c r="AA504" s="143"/>
      <c r="AB504" s="420" t="s">
        <v>663</v>
      </c>
    </row>
    <row r="505" spans="1:28" ht="12.6" customHeight="1" x14ac:dyDescent="0.2">
      <c r="A505" s="4"/>
      <c r="B505" s="797" t="s">
        <v>513</v>
      </c>
      <c r="C505" s="689"/>
      <c r="D505" s="689"/>
      <c r="E505" s="689"/>
      <c r="F505" s="393">
        <f>20*X2</f>
        <v>20540</v>
      </c>
      <c r="G505" s="294">
        <f t="shared" ref="G505" si="1166">+F505*$X$1</f>
        <v>20540</v>
      </c>
      <c r="H505" s="103">
        <f>F505+5000</f>
        <v>25540</v>
      </c>
      <c r="I505" s="328">
        <f t="shared" si="1163"/>
        <v>25540</v>
      </c>
      <c r="J505" s="103">
        <f>F505+1100</f>
        <v>21640</v>
      </c>
      <c r="K505" s="328">
        <f t="shared" si="1161"/>
        <v>21640</v>
      </c>
      <c r="L505" s="103">
        <f>F505+990</f>
        <v>21530</v>
      </c>
      <c r="M505" s="328">
        <f t="shared" si="1162"/>
        <v>21530</v>
      </c>
      <c r="N505" s="103">
        <f>F505+920</f>
        <v>21460</v>
      </c>
      <c r="O505" s="328">
        <f t="shared" si="1156"/>
        <v>21460</v>
      </c>
      <c r="P505" s="103">
        <f>F505+860</f>
        <v>21400</v>
      </c>
      <c r="Q505" s="328">
        <f t="shared" si="1157"/>
        <v>21400</v>
      </c>
      <c r="R505" s="103">
        <f>F505+800</f>
        <v>21340</v>
      </c>
      <c r="S505" s="328">
        <f t="shared" si="1158"/>
        <v>21340</v>
      </c>
      <c r="T505" s="103">
        <f>F505+750</f>
        <v>21290</v>
      </c>
      <c r="U505" s="328">
        <f t="shared" si="1159"/>
        <v>21290</v>
      </c>
      <c r="V505" s="103">
        <f>F505+710</f>
        <v>21250</v>
      </c>
      <c r="W505" s="328">
        <f t="shared" si="1160"/>
        <v>21250</v>
      </c>
      <c r="X505" s="141"/>
      <c r="Y505" s="136"/>
      <c r="Z505" s="142"/>
      <c r="AA505" s="143"/>
      <c r="AB505" s="420">
        <v>900</v>
      </c>
    </row>
    <row r="506" spans="1:28" ht="12.6" customHeight="1" x14ac:dyDescent="0.2">
      <c r="A506" s="4"/>
      <c r="B506" s="805" t="s">
        <v>441</v>
      </c>
      <c r="C506" s="735"/>
      <c r="D506" s="735"/>
      <c r="E506" s="736"/>
      <c r="F506" s="590">
        <v>15372</v>
      </c>
      <c r="G506" s="293">
        <f>+F506*$X$1</f>
        <v>15372</v>
      </c>
      <c r="H506" s="104">
        <f>F506+5000</f>
        <v>20372</v>
      </c>
      <c r="I506" s="314">
        <f t="shared" si="1163"/>
        <v>20372</v>
      </c>
      <c r="J506" s="104">
        <f>F506+1100</f>
        <v>16472</v>
      </c>
      <c r="K506" s="314">
        <f t="shared" si="1161"/>
        <v>16472</v>
      </c>
      <c r="L506" s="104">
        <f>F506+990</f>
        <v>16362</v>
      </c>
      <c r="M506" s="314">
        <f t="shared" si="1162"/>
        <v>16362</v>
      </c>
      <c r="N506" s="104">
        <f>F506+920</f>
        <v>16292</v>
      </c>
      <c r="O506" s="314">
        <f t="shared" si="1156"/>
        <v>16292</v>
      </c>
      <c r="P506" s="104"/>
      <c r="Q506" s="314"/>
      <c r="R506" s="104"/>
      <c r="S506" s="314"/>
      <c r="T506" s="104"/>
      <c r="U506" s="314"/>
      <c r="V506" s="104"/>
      <c r="W506" s="314"/>
      <c r="X506" s="141"/>
      <c r="Y506" s="136"/>
      <c r="Z506" s="142"/>
      <c r="AA506" s="143"/>
      <c r="AB506" s="420">
        <v>902</v>
      </c>
    </row>
    <row r="507" spans="1:28" ht="12.6" customHeight="1" x14ac:dyDescent="0.2">
      <c r="A507" s="4"/>
      <c r="B507" s="797" t="s">
        <v>440</v>
      </c>
      <c r="C507" s="689"/>
      <c r="D507" s="689"/>
      <c r="E507" s="689"/>
      <c r="F507" s="339">
        <v>19970</v>
      </c>
      <c r="G507" s="294">
        <f>+F507*$X$1</f>
        <v>19970</v>
      </c>
      <c r="H507" s="103">
        <f>F507+4000</f>
        <v>23970</v>
      </c>
      <c r="I507" s="328">
        <f t="shared" ref="I507:I508" si="1167">+H507*$X$1</f>
        <v>23970</v>
      </c>
      <c r="J507" s="103">
        <f t="shared" ref="J507" si="1168">F507+800</f>
        <v>20770</v>
      </c>
      <c r="K507" s="328">
        <f t="shared" si="1161"/>
        <v>20770</v>
      </c>
      <c r="L507" s="103">
        <f t="shared" ref="L507" si="1169">F507+600</f>
        <v>20570</v>
      </c>
      <c r="M507" s="328">
        <f t="shared" si="1162"/>
        <v>20570</v>
      </c>
      <c r="N507" s="103">
        <f>F507+500</f>
        <v>20470</v>
      </c>
      <c r="O507" s="328">
        <f t="shared" ref="O507:O508" si="1170">+N507*$X$1</f>
        <v>20470</v>
      </c>
      <c r="P507" s="103">
        <f>F507+460</f>
        <v>20430</v>
      </c>
      <c r="Q507" s="328">
        <f t="shared" ref="Q507:Q508" si="1171">+P507*$X$1</f>
        <v>20430</v>
      </c>
      <c r="R507" s="103">
        <f>F507+440</f>
        <v>20410</v>
      </c>
      <c r="S507" s="328">
        <f t="shared" ref="S507:S508" si="1172">+R507*$X$1</f>
        <v>20410</v>
      </c>
      <c r="T507" s="103">
        <f>F507+400</f>
        <v>20370</v>
      </c>
      <c r="U507" s="328">
        <f t="shared" ref="U507:U508" si="1173">+T507*$X$1</f>
        <v>20370</v>
      </c>
      <c r="V507" s="103">
        <f>F507+370</f>
        <v>20340</v>
      </c>
      <c r="W507" s="328">
        <f t="shared" ref="W507:W508" si="1174">+V507*$X$1</f>
        <v>20340</v>
      </c>
      <c r="X507" s="141"/>
      <c r="Y507" s="136"/>
      <c r="Z507" s="142"/>
      <c r="AA507" s="143"/>
      <c r="AB507" s="420">
        <v>905</v>
      </c>
    </row>
    <row r="508" spans="1:28" ht="12.6" customHeight="1" x14ac:dyDescent="0.2">
      <c r="A508" s="4"/>
      <c r="B508" s="765" t="s">
        <v>708</v>
      </c>
      <c r="C508" s="680"/>
      <c r="D508" s="680"/>
      <c r="E508" s="680"/>
      <c r="F508" s="392">
        <f>21.3*X2</f>
        <v>21875.100000000002</v>
      </c>
      <c r="G508" s="293">
        <f>+F508*$X$1</f>
        <v>21875.100000000002</v>
      </c>
      <c r="H508" s="104">
        <f>F508+5000</f>
        <v>26875.100000000002</v>
      </c>
      <c r="I508" s="314">
        <f t="shared" si="1167"/>
        <v>26875.100000000002</v>
      </c>
      <c r="J508" s="104">
        <f>F508+1100</f>
        <v>22975.100000000002</v>
      </c>
      <c r="K508" s="314">
        <f t="shared" ref="K508:K509" si="1175">+J508*$X$1</f>
        <v>22975.100000000002</v>
      </c>
      <c r="L508" s="104">
        <f>F508+990</f>
        <v>22865.100000000002</v>
      </c>
      <c r="M508" s="314">
        <f t="shared" ref="M508:M509" si="1176">+L508*$X$1</f>
        <v>22865.100000000002</v>
      </c>
      <c r="N508" s="104">
        <f>F508+920</f>
        <v>22795.100000000002</v>
      </c>
      <c r="O508" s="314">
        <f t="shared" si="1170"/>
        <v>22795.100000000002</v>
      </c>
      <c r="P508" s="104">
        <f>F508+860</f>
        <v>22735.100000000002</v>
      </c>
      <c r="Q508" s="314">
        <f t="shared" si="1171"/>
        <v>22735.100000000002</v>
      </c>
      <c r="R508" s="104">
        <f>F508+800</f>
        <v>22675.100000000002</v>
      </c>
      <c r="S508" s="314">
        <f t="shared" si="1172"/>
        <v>22675.100000000002</v>
      </c>
      <c r="T508" s="104">
        <f>F508+750</f>
        <v>22625.100000000002</v>
      </c>
      <c r="U508" s="314">
        <f t="shared" si="1173"/>
        <v>22625.100000000002</v>
      </c>
      <c r="V508" s="104">
        <f>F508+710</f>
        <v>22585.100000000002</v>
      </c>
      <c r="W508" s="314">
        <f t="shared" si="1174"/>
        <v>22585.100000000002</v>
      </c>
      <c r="X508" s="141"/>
      <c r="Y508" s="136"/>
      <c r="Z508" s="142"/>
      <c r="AA508" s="143"/>
      <c r="AB508" s="420">
        <v>906</v>
      </c>
    </row>
    <row r="509" spans="1:28" ht="12.6" customHeight="1" x14ac:dyDescent="0.2">
      <c r="A509" s="4"/>
      <c r="B509" s="797" t="s">
        <v>709</v>
      </c>
      <c r="C509" s="689"/>
      <c r="D509" s="689"/>
      <c r="E509" s="689"/>
      <c r="F509" s="393">
        <f>21.3*X2</f>
        <v>21875.100000000002</v>
      </c>
      <c r="G509" s="294">
        <f>+F509*$X$1</f>
        <v>21875.100000000002</v>
      </c>
      <c r="H509" s="103">
        <f>F509+4000</f>
        <v>25875.100000000002</v>
      </c>
      <c r="I509" s="328">
        <f t="shared" ref="I509:I511" si="1177">+H509*$X$1</f>
        <v>25875.100000000002</v>
      </c>
      <c r="J509" s="103">
        <f t="shared" ref="J509" si="1178">F509+800</f>
        <v>22675.100000000002</v>
      </c>
      <c r="K509" s="328">
        <f t="shared" si="1175"/>
        <v>22675.100000000002</v>
      </c>
      <c r="L509" s="103">
        <f t="shared" ref="L509" si="1179">F509+600</f>
        <v>22475.100000000002</v>
      </c>
      <c r="M509" s="328">
        <f t="shared" si="1176"/>
        <v>22475.100000000002</v>
      </c>
      <c r="N509" s="103">
        <f>F509+500</f>
        <v>22375.100000000002</v>
      </c>
      <c r="O509" s="328">
        <f t="shared" ref="O509:O511" si="1180">+N509*$X$1</f>
        <v>22375.100000000002</v>
      </c>
      <c r="P509" s="103">
        <f>F509+460</f>
        <v>22335.100000000002</v>
      </c>
      <c r="Q509" s="328">
        <f t="shared" ref="Q509:Q510" si="1181">+P509*$X$1</f>
        <v>22335.100000000002</v>
      </c>
      <c r="R509" s="103">
        <f>F509+440</f>
        <v>22315.100000000002</v>
      </c>
      <c r="S509" s="328">
        <f t="shared" ref="S509:S510" si="1182">+R509*$X$1</f>
        <v>22315.100000000002</v>
      </c>
      <c r="T509" s="103">
        <f>F509+400</f>
        <v>22275.100000000002</v>
      </c>
      <c r="U509" s="328">
        <f t="shared" ref="U509:U510" si="1183">+T509*$X$1</f>
        <v>22275.100000000002</v>
      </c>
      <c r="V509" s="103">
        <f>F509+370</f>
        <v>22245.100000000002</v>
      </c>
      <c r="W509" s="328">
        <f t="shared" ref="W509:W510" si="1184">+V509*$X$1</f>
        <v>22245.100000000002</v>
      </c>
      <c r="X509" s="141"/>
      <c r="Y509" s="136"/>
      <c r="Z509" s="142"/>
      <c r="AA509" s="143"/>
      <c r="AB509" s="420">
        <v>906</v>
      </c>
    </row>
    <row r="510" spans="1:28" ht="12.6" customHeight="1" x14ac:dyDescent="0.2">
      <c r="A510" s="4"/>
      <c r="B510" s="765" t="s">
        <v>650</v>
      </c>
      <c r="C510" s="645"/>
      <c r="D510" s="645"/>
      <c r="E510" s="645"/>
      <c r="F510" s="395">
        <f>21.1*X2</f>
        <v>21669.7</v>
      </c>
      <c r="G510" s="293">
        <f t="shared" ref="G510" si="1185">+F510*$X$1</f>
        <v>21669.7</v>
      </c>
      <c r="H510" s="104">
        <f>F510+5000</f>
        <v>26669.7</v>
      </c>
      <c r="I510" s="314">
        <f t="shared" si="1177"/>
        <v>26669.7</v>
      </c>
      <c r="J510" s="104">
        <f>F510+1100</f>
        <v>22769.7</v>
      </c>
      <c r="K510" s="314">
        <f t="shared" ref="K510:K511" si="1186">+J510*$X$1</f>
        <v>22769.7</v>
      </c>
      <c r="L510" s="104">
        <f>F510+990</f>
        <v>22659.7</v>
      </c>
      <c r="M510" s="314">
        <f t="shared" ref="M510:M511" si="1187">+L510*$X$1</f>
        <v>22659.7</v>
      </c>
      <c r="N510" s="104">
        <f>F510+920</f>
        <v>22589.7</v>
      </c>
      <c r="O510" s="314">
        <f t="shared" si="1180"/>
        <v>22589.7</v>
      </c>
      <c r="P510" s="104">
        <f>F510+860</f>
        <v>22529.7</v>
      </c>
      <c r="Q510" s="314">
        <f t="shared" si="1181"/>
        <v>22529.7</v>
      </c>
      <c r="R510" s="104">
        <f>F510+800</f>
        <v>22469.7</v>
      </c>
      <c r="S510" s="314">
        <f t="shared" si="1182"/>
        <v>22469.7</v>
      </c>
      <c r="T510" s="104">
        <f>F510+750</f>
        <v>22419.7</v>
      </c>
      <c r="U510" s="314">
        <f t="shared" si="1183"/>
        <v>22419.7</v>
      </c>
      <c r="V510" s="104">
        <f>F510+710</f>
        <v>22379.7</v>
      </c>
      <c r="W510" s="314">
        <f t="shared" si="1184"/>
        <v>22379.7</v>
      </c>
      <c r="X510" s="141"/>
      <c r="Y510" s="136"/>
      <c r="Z510" s="142"/>
      <c r="AA510" s="143"/>
      <c r="AB510" s="420" t="s">
        <v>664</v>
      </c>
    </row>
    <row r="511" spans="1:28" ht="12.6" customHeight="1" x14ac:dyDescent="0.2">
      <c r="A511" s="4"/>
      <c r="B511" s="797" t="s">
        <v>707</v>
      </c>
      <c r="C511" s="643"/>
      <c r="D511" s="643"/>
      <c r="E511" s="643"/>
      <c r="F511" s="394">
        <f>21.1*X2</f>
        <v>21669.7</v>
      </c>
      <c r="G511" s="294">
        <f t="shared" ref="G511" si="1188">+F511*$X$1</f>
        <v>21669.7</v>
      </c>
      <c r="H511" s="103">
        <f>F511+4000</f>
        <v>25669.7</v>
      </c>
      <c r="I511" s="328">
        <f t="shared" si="1177"/>
        <v>25669.7</v>
      </c>
      <c r="J511" s="103">
        <f t="shared" ref="J511" si="1189">F511+800</f>
        <v>22469.7</v>
      </c>
      <c r="K511" s="328">
        <f t="shared" si="1186"/>
        <v>22469.7</v>
      </c>
      <c r="L511" s="103">
        <f t="shared" ref="L511" si="1190">F511+600</f>
        <v>22269.7</v>
      </c>
      <c r="M511" s="328">
        <f t="shared" si="1187"/>
        <v>22269.7</v>
      </c>
      <c r="N511" s="103">
        <f>F511+500</f>
        <v>22169.7</v>
      </c>
      <c r="O511" s="328">
        <f t="shared" si="1180"/>
        <v>22169.7</v>
      </c>
      <c r="P511" s="103"/>
      <c r="Q511" s="328"/>
      <c r="R511" s="103"/>
      <c r="S511" s="328"/>
      <c r="T511" s="103"/>
      <c r="U511" s="328"/>
      <c r="V511" s="103"/>
      <c r="W511" s="328"/>
      <c r="X511" s="141"/>
      <c r="Y511" s="136"/>
      <c r="Z511" s="142"/>
      <c r="AA511" s="143"/>
      <c r="AB511" s="420">
        <v>907</v>
      </c>
    </row>
    <row r="512" spans="1:28" ht="12.6" customHeight="1" x14ac:dyDescent="0.2">
      <c r="A512" s="4"/>
      <c r="B512" s="792" t="s">
        <v>621</v>
      </c>
      <c r="C512" s="793"/>
      <c r="D512" s="793"/>
      <c r="E512" s="793"/>
      <c r="F512" s="293"/>
      <c r="G512" s="293"/>
      <c r="H512" s="623">
        <v>1900</v>
      </c>
      <c r="I512" s="293">
        <f t="shared" ref="I512" si="1191">+H512*$X$1</f>
        <v>1900</v>
      </c>
      <c r="J512" s="325">
        <v>800</v>
      </c>
      <c r="K512" s="293">
        <f t="shared" ref="K512" si="1192">+J512*$X$1</f>
        <v>800</v>
      </c>
      <c r="L512" s="325">
        <v>680</v>
      </c>
      <c r="M512" s="293">
        <f t="shared" ref="M512" si="1193">+L512*$X$1</f>
        <v>680</v>
      </c>
      <c r="N512" s="325">
        <v>620</v>
      </c>
      <c r="O512" s="293">
        <f t="shared" ref="O512" si="1194">+N512*$X$1</f>
        <v>620</v>
      </c>
      <c r="P512" s="325">
        <v>570</v>
      </c>
      <c r="Q512" s="293">
        <f t="shared" ref="Q512" si="1195">+P512*$X$1</f>
        <v>570</v>
      </c>
      <c r="R512" s="325">
        <v>520</v>
      </c>
      <c r="S512" s="293">
        <f t="shared" ref="S512" si="1196">+R512*$X$1</f>
        <v>520</v>
      </c>
      <c r="T512" s="325">
        <v>480</v>
      </c>
      <c r="U512" s="293">
        <f t="shared" ref="U512" si="1197">+T512*$X$1</f>
        <v>480</v>
      </c>
      <c r="V512" s="325">
        <v>450</v>
      </c>
      <c r="W512" s="293">
        <f t="shared" ref="W512" si="1198">+V512*$X$1</f>
        <v>450</v>
      </c>
      <c r="X512" s="141"/>
      <c r="Y512" s="136"/>
      <c r="Z512" s="142"/>
      <c r="AA512" s="143"/>
      <c r="AB512" s="32"/>
    </row>
    <row r="513" spans="1:34" ht="12.6" customHeight="1" x14ac:dyDescent="0.2">
      <c r="A513" s="4"/>
      <c r="B513" s="790" t="s">
        <v>622</v>
      </c>
      <c r="C513" s="791"/>
      <c r="D513" s="791"/>
      <c r="E513" s="791"/>
      <c r="F513" s="294"/>
      <c r="G513" s="294"/>
      <c r="H513" s="489">
        <v>900</v>
      </c>
      <c r="I513" s="294">
        <f t="shared" ref="I513" si="1199">+H513*$X$1</f>
        <v>900</v>
      </c>
      <c r="J513" s="489">
        <v>420</v>
      </c>
      <c r="K513" s="294">
        <f t="shared" ref="K513" si="1200">+J513*$X$1</f>
        <v>420</v>
      </c>
      <c r="L513" s="489">
        <v>380</v>
      </c>
      <c r="M513" s="294">
        <f t="shared" ref="M513" si="1201">+L513*$X$1</f>
        <v>380</v>
      </c>
      <c r="N513" s="489">
        <v>350</v>
      </c>
      <c r="O513" s="294">
        <f t="shared" ref="O513" si="1202">+N513*$X$1</f>
        <v>350</v>
      </c>
      <c r="P513" s="489">
        <v>320</v>
      </c>
      <c r="Q513" s="294">
        <f t="shared" ref="Q513" si="1203">+P513*$X$1</f>
        <v>320</v>
      </c>
      <c r="R513" s="489">
        <v>300</v>
      </c>
      <c r="S513" s="294">
        <f t="shared" ref="S513" si="1204">+R513*$X$1</f>
        <v>300</v>
      </c>
      <c r="T513" s="489">
        <v>280</v>
      </c>
      <c r="U513" s="294">
        <f t="shared" ref="U513" si="1205">+T513*$X$1</f>
        <v>280</v>
      </c>
      <c r="V513" s="489">
        <v>260</v>
      </c>
      <c r="W513" s="294">
        <f t="shared" ref="W513" si="1206">+V513*$X$1</f>
        <v>260</v>
      </c>
      <c r="X513" s="141"/>
      <c r="Y513" s="136"/>
      <c r="Z513" s="142"/>
      <c r="AA513" s="143"/>
      <c r="AB513" s="32"/>
    </row>
    <row r="514" spans="1:34" ht="9.75" customHeight="1" x14ac:dyDescent="0.2">
      <c r="A514" s="98"/>
      <c r="B514" s="78"/>
      <c r="C514" s="79"/>
      <c r="D514" s="79"/>
      <c r="E514" s="79"/>
      <c r="F514" s="79"/>
      <c r="G514" s="79"/>
      <c r="H514" s="79"/>
      <c r="I514" s="79"/>
      <c r="J514" s="79"/>
      <c r="K514" s="79"/>
      <c r="L514" s="79"/>
      <c r="M514" s="79"/>
      <c r="N514" s="79"/>
      <c r="O514" s="79"/>
      <c r="P514" s="79"/>
      <c r="Q514" s="79"/>
      <c r="R514" s="79"/>
      <c r="S514" s="79"/>
      <c r="T514" s="79"/>
      <c r="U514" s="79"/>
      <c r="V514" s="80"/>
      <c r="W514" s="81"/>
      <c r="AB514" s="82"/>
    </row>
    <row r="515" spans="1:34" ht="14.25" customHeight="1" x14ac:dyDescent="0.2">
      <c r="B515" s="803" t="s">
        <v>596</v>
      </c>
      <c r="C515" s="804"/>
      <c r="D515" s="804"/>
      <c r="E515" s="804"/>
      <c r="F515" s="804"/>
      <c r="G515" s="804"/>
      <c r="H515" s="804"/>
      <c r="I515" s="804"/>
      <c r="J515" s="804"/>
      <c r="K515" s="804"/>
      <c r="L515" s="804"/>
      <c r="M515" s="804"/>
      <c r="N515" s="804"/>
      <c r="O515" s="804"/>
      <c r="P515" s="804"/>
      <c r="Q515" s="804"/>
      <c r="R515" s="804"/>
      <c r="S515" s="804"/>
      <c r="T515" s="804"/>
      <c r="U515" s="804"/>
      <c r="V515" s="804"/>
      <c r="W515" s="804"/>
      <c r="AB515" s="4"/>
      <c r="AF515" s="777"/>
      <c r="AG515" s="778"/>
      <c r="AH515" s="778"/>
    </row>
    <row r="516" spans="1:34" ht="14.25" customHeight="1" x14ac:dyDescent="0.2">
      <c r="B516" s="812" t="s">
        <v>11</v>
      </c>
      <c r="C516" s="794" t="s">
        <v>12</v>
      </c>
      <c r="D516" s="795"/>
      <c r="E516" s="795"/>
      <c r="F516" s="878" t="s">
        <v>293</v>
      </c>
      <c r="G516" s="878" t="s">
        <v>13</v>
      </c>
      <c r="H516" s="883" t="s">
        <v>945</v>
      </c>
      <c r="I516" s="883"/>
      <c r="J516" s="884"/>
      <c r="K516" s="884"/>
      <c r="L516" s="884"/>
      <c r="M516" s="884"/>
      <c r="N516" s="884"/>
      <c r="O516" s="884"/>
      <c r="P516" s="884"/>
      <c r="Q516" s="884"/>
      <c r="R516" s="884"/>
      <c r="S516" s="884"/>
      <c r="T516" s="884"/>
      <c r="U516" s="884"/>
      <c r="V516" s="884"/>
      <c r="W516" s="885"/>
      <c r="X516" s="771" t="s">
        <v>14</v>
      </c>
      <c r="Y516" s="772"/>
      <c r="Z516" s="772"/>
      <c r="AA516" s="773"/>
      <c r="AB516" s="779" t="s">
        <v>15</v>
      </c>
      <c r="AF516" s="777" t="s">
        <v>3</v>
      </c>
      <c r="AG516" s="778"/>
      <c r="AH516" s="778"/>
    </row>
    <row r="517" spans="1:34" ht="12" customHeight="1" x14ac:dyDescent="0.2">
      <c r="B517" s="813"/>
      <c r="C517" s="796"/>
      <c r="D517" s="796"/>
      <c r="E517" s="796"/>
      <c r="F517" s="879"/>
      <c r="G517" s="879"/>
      <c r="H517" s="520"/>
      <c r="I517" s="521" t="s">
        <v>581</v>
      </c>
      <c r="J517" s="520"/>
      <c r="K517" s="521" t="s">
        <v>294</v>
      </c>
      <c r="L517" s="520"/>
      <c r="M517" s="521" t="s">
        <v>295</v>
      </c>
      <c r="N517" s="520"/>
      <c r="O517" s="521" t="s">
        <v>583</v>
      </c>
      <c r="P517" s="520"/>
      <c r="Q517" s="521" t="s">
        <v>17</v>
      </c>
      <c r="R517" s="520"/>
      <c r="S517" s="521" t="s">
        <v>18</v>
      </c>
      <c r="T517" s="520"/>
      <c r="U517" s="521" t="s">
        <v>19</v>
      </c>
      <c r="V517" s="520"/>
      <c r="W517" s="522" t="s">
        <v>584</v>
      </c>
      <c r="X517" s="774"/>
      <c r="Y517" s="775"/>
      <c r="Z517" s="775"/>
      <c r="AA517" s="776"/>
      <c r="AB517" s="780"/>
    </row>
    <row r="518" spans="1:34" ht="12" customHeight="1" x14ac:dyDescent="0.2">
      <c r="A518" s="4"/>
      <c r="B518" s="637" t="s">
        <v>908</v>
      </c>
      <c r="C518" s="1033"/>
      <c r="D518" s="1033"/>
      <c r="E518" s="1033"/>
      <c r="F518" s="396">
        <f>13.34*X2</f>
        <v>13700.18</v>
      </c>
      <c r="G518" s="328">
        <f t="shared" ref="G518" si="1207">+F518*$X$1</f>
        <v>13700.18</v>
      </c>
      <c r="H518" s="103"/>
      <c r="I518" s="328"/>
      <c r="J518" s="103"/>
      <c r="K518" s="328"/>
      <c r="L518" s="103">
        <f t="shared" ref="L518:L526" si="1208">F518+500</f>
        <v>14200.18</v>
      </c>
      <c r="M518" s="328">
        <f t="shared" ref="M518" si="1209">+L518*$X$1</f>
        <v>14200.18</v>
      </c>
      <c r="N518" s="103">
        <f t="shared" ref="N518:N526" si="1210">F518+430</f>
        <v>14130.18</v>
      </c>
      <c r="O518" s="328">
        <f t="shared" ref="O518" si="1211">+N518*$X$1</f>
        <v>14130.18</v>
      </c>
      <c r="P518" s="103">
        <f t="shared" ref="P518:P526" si="1212">F518+390</f>
        <v>14090.18</v>
      </c>
      <c r="Q518" s="328">
        <f t="shared" ref="Q518" si="1213">+P518*$X$1</f>
        <v>14090.18</v>
      </c>
      <c r="R518" s="103">
        <f t="shared" ref="R518:R526" si="1214">F518+360</f>
        <v>14060.18</v>
      </c>
      <c r="S518" s="328">
        <f t="shared" ref="S518" si="1215">+R518*$X$1</f>
        <v>14060.18</v>
      </c>
      <c r="T518" s="103">
        <f t="shared" ref="T518:T526" si="1216">F518+320</f>
        <v>14020.18</v>
      </c>
      <c r="U518" s="328">
        <f t="shared" ref="U518" si="1217">+T518*$X$1</f>
        <v>14020.18</v>
      </c>
      <c r="V518" s="103">
        <f t="shared" ref="V518:V526" si="1218">F518+280</f>
        <v>13980.18</v>
      </c>
      <c r="W518" s="328">
        <f t="shared" ref="W518" si="1219">+V518*$X$1</f>
        <v>13980.18</v>
      </c>
      <c r="X518" s="141"/>
      <c r="Y518" s="136"/>
      <c r="Z518" s="142"/>
      <c r="AA518" s="143"/>
      <c r="AB518" s="420">
        <v>533</v>
      </c>
    </row>
    <row r="519" spans="1:34" ht="12" customHeight="1" x14ac:dyDescent="0.2">
      <c r="A519" s="4"/>
      <c r="B519" s="881" t="s">
        <v>911</v>
      </c>
      <c r="C519" s="882"/>
      <c r="D519" s="882"/>
      <c r="E519" s="882"/>
      <c r="F519" s="397">
        <f>7.79*X2</f>
        <v>8000.33</v>
      </c>
      <c r="G519" s="314">
        <f t="shared" ref="G519" si="1220">+F519*$X$1</f>
        <v>8000.33</v>
      </c>
      <c r="H519" s="104"/>
      <c r="I519" s="314"/>
      <c r="J519" s="104"/>
      <c r="K519" s="314"/>
      <c r="L519" s="104">
        <f t="shared" si="1208"/>
        <v>8500.33</v>
      </c>
      <c r="M519" s="314">
        <f t="shared" ref="M519:M521" si="1221">+L519*$X$1</f>
        <v>8500.33</v>
      </c>
      <c r="N519" s="104">
        <f t="shared" si="1210"/>
        <v>8430.33</v>
      </c>
      <c r="O519" s="314">
        <f t="shared" ref="O519:O521" si="1222">+N519*$X$1</f>
        <v>8430.33</v>
      </c>
      <c r="P519" s="104">
        <f t="shared" si="1212"/>
        <v>8390.33</v>
      </c>
      <c r="Q519" s="314">
        <f t="shared" ref="Q519:Q521" si="1223">+P519*$X$1</f>
        <v>8390.33</v>
      </c>
      <c r="R519" s="104">
        <f t="shared" si="1214"/>
        <v>8360.33</v>
      </c>
      <c r="S519" s="314">
        <f t="shared" ref="S519:S521" si="1224">+R519*$X$1</f>
        <v>8360.33</v>
      </c>
      <c r="T519" s="104">
        <f t="shared" si="1216"/>
        <v>8320.33</v>
      </c>
      <c r="U519" s="314">
        <f t="shared" ref="U519:U521" si="1225">+T519*$X$1</f>
        <v>8320.33</v>
      </c>
      <c r="V519" s="104">
        <f t="shared" si="1218"/>
        <v>8280.33</v>
      </c>
      <c r="W519" s="314">
        <f t="shared" ref="W519:W521" si="1226">+V519*$X$1</f>
        <v>8280.33</v>
      </c>
      <c r="X519" s="141"/>
      <c r="Y519" s="136"/>
      <c r="Z519" s="142"/>
      <c r="AA519" s="143"/>
      <c r="AB519" s="434">
        <v>566</v>
      </c>
    </row>
    <row r="520" spans="1:34" ht="12" customHeight="1" x14ac:dyDescent="0.2">
      <c r="A520" s="4"/>
      <c r="B520" s="881" t="s">
        <v>912</v>
      </c>
      <c r="C520" s="882"/>
      <c r="D520" s="882"/>
      <c r="E520" s="882"/>
      <c r="F520" s="396">
        <f>9.6*X2</f>
        <v>9859.1999999999989</v>
      </c>
      <c r="G520" s="328">
        <f t="shared" ref="G520" si="1227">+F520*$X$1</f>
        <v>9859.1999999999989</v>
      </c>
      <c r="H520" s="103"/>
      <c r="I520" s="328"/>
      <c r="J520" s="103"/>
      <c r="K520" s="328"/>
      <c r="L520" s="103">
        <f t="shared" si="1208"/>
        <v>10359.199999999999</v>
      </c>
      <c r="M520" s="328">
        <f t="shared" si="1221"/>
        <v>10359.199999999999</v>
      </c>
      <c r="N520" s="103">
        <f t="shared" si="1210"/>
        <v>10289.199999999999</v>
      </c>
      <c r="O520" s="328">
        <f t="shared" si="1222"/>
        <v>10289.199999999999</v>
      </c>
      <c r="P520" s="103">
        <f t="shared" si="1212"/>
        <v>10249.199999999999</v>
      </c>
      <c r="Q520" s="328">
        <f t="shared" si="1223"/>
        <v>10249.199999999999</v>
      </c>
      <c r="R520" s="103">
        <f t="shared" si="1214"/>
        <v>10219.199999999999</v>
      </c>
      <c r="S520" s="328">
        <f t="shared" si="1224"/>
        <v>10219.199999999999</v>
      </c>
      <c r="T520" s="103">
        <f t="shared" si="1216"/>
        <v>10179.199999999999</v>
      </c>
      <c r="U520" s="328">
        <f t="shared" si="1225"/>
        <v>10179.199999999999</v>
      </c>
      <c r="V520" s="103">
        <f t="shared" si="1218"/>
        <v>10139.199999999999</v>
      </c>
      <c r="W520" s="328">
        <f t="shared" si="1226"/>
        <v>10139.199999999999</v>
      </c>
      <c r="X520" s="141"/>
      <c r="Y520" s="136"/>
      <c r="Z520" s="142"/>
      <c r="AA520" s="143"/>
      <c r="AB520" s="434">
        <v>567</v>
      </c>
    </row>
    <row r="521" spans="1:34" ht="12" customHeight="1" x14ac:dyDescent="0.2">
      <c r="A521" s="4"/>
      <c r="B521" s="881" t="s">
        <v>913</v>
      </c>
      <c r="C521" s="882"/>
      <c r="D521" s="882"/>
      <c r="E521" s="882"/>
      <c r="F521" s="397">
        <f>9.36*X2</f>
        <v>9612.7199999999993</v>
      </c>
      <c r="G521" s="314">
        <f t="shared" ref="G521" si="1228">+F521*$X$1</f>
        <v>9612.7199999999993</v>
      </c>
      <c r="H521" s="104"/>
      <c r="I521" s="314"/>
      <c r="J521" s="104"/>
      <c r="K521" s="314"/>
      <c r="L521" s="104">
        <f t="shared" si="1208"/>
        <v>10112.719999999999</v>
      </c>
      <c r="M521" s="314">
        <f t="shared" si="1221"/>
        <v>10112.719999999999</v>
      </c>
      <c r="N521" s="104">
        <f t="shared" si="1210"/>
        <v>10042.719999999999</v>
      </c>
      <c r="O521" s="314">
        <f t="shared" si="1222"/>
        <v>10042.719999999999</v>
      </c>
      <c r="P521" s="104">
        <f t="shared" si="1212"/>
        <v>10002.719999999999</v>
      </c>
      <c r="Q521" s="314">
        <f t="shared" si="1223"/>
        <v>10002.719999999999</v>
      </c>
      <c r="R521" s="104">
        <f t="shared" si="1214"/>
        <v>9972.7199999999993</v>
      </c>
      <c r="S521" s="314">
        <f t="shared" si="1224"/>
        <v>9972.7199999999993</v>
      </c>
      <c r="T521" s="104">
        <f t="shared" si="1216"/>
        <v>9932.7199999999993</v>
      </c>
      <c r="U521" s="314">
        <f t="shared" si="1225"/>
        <v>9932.7199999999993</v>
      </c>
      <c r="V521" s="104">
        <f t="shared" si="1218"/>
        <v>9892.7199999999993</v>
      </c>
      <c r="W521" s="314">
        <f t="shared" si="1226"/>
        <v>9892.7199999999993</v>
      </c>
      <c r="X521" s="141"/>
      <c r="Y521" s="136"/>
      <c r="Z521" s="142"/>
      <c r="AA521" s="143"/>
      <c r="AB521" s="434">
        <v>569</v>
      </c>
    </row>
    <row r="522" spans="1:34" ht="12" customHeight="1" x14ac:dyDescent="0.2">
      <c r="A522" s="4"/>
      <c r="B522" s="694" t="s">
        <v>776</v>
      </c>
      <c r="C522" s="831"/>
      <c r="D522" s="831"/>
      <c r="E522" s="831"/>
      <c r="F522" s="396">
        <f>28.12*X2</f>
        <v>28879.24</v>
      </c>
      <c r="G522" s="328">
        <f t="shared" ref="G522:K541" si="1229">+F522*$X$1</f>
        <v>28879.24</v>
      </c>
      <c r="H522" s="103">
        <f>F522+4000</f>
        <v>32879.240000000005</v>
      </c>
      <c r="I522" s="328">
        <f t="shared" si="1229"/>
        <v>32879.240000000005</v>
      </c>
      <c r="J522" s="103">
        <f>F522+810</f>
        <v>29689.24</v>
      </c>
      <c r="K522" s="328">
        <f t="shared" si="1229"/>
        <v>29689.24</v>
      </c>
      <c r="L522" s="103">
        <f t="shared" si="1208"/>
        <v>29379.24</v>
      </c>
      <c r="M522" s="328">
        <f t="shared" ref="M522" si="1230">+L522*$X$1</f>
        <v>29379.24</v>
      </c>
      <c r="N522" s="103">
        <f t="shared" si="1210"/>
        <v>29309.24</v>
      </c>
      <c r="O522" s="328">
        <f t="shared" ref="O522" si="1231">+N522*$X$1</f>
        <v>29309.24</v>
      </c>
      <c r="P522" s="103">
        <f t="shared" si="1212"/>
        <v>29269.24</v>
      </c>
      <c r="Q522" s="328">
        <f t="shared" ref="Q522" si="1232">+P522*$X$1</f>
        <v>29269.24</v>
      </c>
      <c r="R522" s="103">
        <f t="shared" si="1214"/>
        <v>29239.24</v>
      </c>
      <c r="S522" s="328">
        <f t="shared" ref="S522" si="1233">+R522*$X$1</f>
        <v>29239.24</v>
      </c>
      <c r="T522" s="103">
        <f t="shared" si="1216"/>
        <v>29199.24</v>
      </c>
      <c r="U522" s="328">
        <f t="shared" ref="U522" si="1234">+T522*$X$1</f>
        <v>29199.24</v>
      </c>
      <c r="V522" s="103">
        <f t="shared" si="1218"/>
        <v>29159.24</v>
      </c>
      <c r="W522" s="328">
        <f t="shared" ref="W522" si="1235">+V522*$X$1</f>
        <v>29159.24</v>
      </c>
      <c r="X522" s="141"/>
      <c r="Y522" s="136"/>
      <c r="Z522" s="142"/>
      <c r="AA522" s="143"/>
      <c r="AB522" s="434">
        <v>570</v>
      </c>
    </row>
    <row r="523" spans="1:34" ht="12" customHeight="1" x14ac:dyDescent="0.2">
      <c r="A523" s="4"/>
      <c r="B523" s="692" t="s">
        <v>943</v>
      </c>
      <c r="C523" s="693"/>
      <c r="D523" s="693"/>
      <c r="E523" s="693"/>
      <c r="F523" s="397">
        <f>5.1*X2</f>
        <v>5237.7</v>
      </c>
      <c r="G523" s="314">
        <f t="shared" ref="G523" si="1236">+F523*$X$1</f>
        <v>5237.7</v>
      </c>
      <c r="H523" s="104"/>
      <c r="I523" s="314"/>
      <c r="J523" s="104">
        <f>F523+810</f>
        <v>6047.7</v>
      </c>
      <c r="K523" s="314">
        <f t="shared" ref="K523:K526" si="1237">+J523*$X$1</f>
        <v>6047.7</v>
      </c>
      <c r="L523" s="104">
        <f t="shared" si="1208"/>
        <v>5737.7</v>
      </c>
      <c r="M523" s="314">
        <f t="shared" ref="M523:M526" si="1238">+L523*$X$1</f>
        <v>5737.7</v>
      </c>
      <c r="N523" s="104">
        <f t="shared" si="1210"/>
        <v>5667.7</v>
      </c>
      <c r="O523" s="314">
        <f t="shared" ref="O523:O526" si="1239">+N523*$X$1</f>
        <v>5667.7</v>
      </c>
      <c r="P523" s="104">
        <f t="shared" si="1212"/>
        <v>5627.7</v>
      </c>
      <c r="Q523" s="314">
        <f t="shared" ref="Q523:Q526" si="1240">+P523*$X$1</f>
        <v>5627.7</v>
      </c>
      <c r="R523" s="104">
        <f t="shared" si="1214"/>
        <v>5597.7</v>
      </c>
      <c r="S523" s="314">
        <f t="shared" ref="S523:S526" si="1241">+R523*$X$1</f>
        <v>5597.7</v>
      </c>
      <c r="T523" s="104">
        <f t="shared" si="1216"/>
        <v>5557.7</v>
      </c>
      <c r="U523" s="314">
        <f t="shared" ref="U523:U526" si="1242">+T523*$X$1</f>
        <v>5557.7</v>
      </c>
      <c r="V523" s="104">
        <f t="shared" si="1218"/>
        <v>5517.7</v>
      </c>
      <c r="W523" s="314">
        <f t="shared" ref="W523:W526" si="1243">+V523*$X$1</f>
        <v>5517.7</v>
      </c>
      <c r="X523" s="141"/>
      <c r="Y523" s="136"/>
      <c r="Z523" s="142"/>
      <c r="AA523" s="143"/>
      <c r="AB523" s="420" t="s">
        <v>818</v>
      </c>
    </row>
    <row r="524" spans="1:34" ht="12" customHeight="1" x14ac:dyDescent="0.2">
      <c r="A524" s="4"/>
      <c r="B524" s="881" t="s">
        <v>944</v>
      </c>
      <c r="C524" s="882"/>
      <c r="D524" s="882"/>
      <c r="E524" s="882"/>
      <c r="F524" s="396">
        <f>1.93*X2</f>
        <v>1982.11</v>
      </c>
      <c r="G524" s="328">
        <f t="shared" ref="G524" si="1244">+F524*$X$1</f>
        <v>1982.11</v>
      </c>
      <c r="H524" s="103"/>
      <c r="I524" s="328"/>
      <c r="J524" s="103">
        <f>F524+810</f>
        <v>2792.1099999999997</v>
      </c>
      <c r="K524" s="328">
        <f t="shared" ref="K524" si="1245">+J524*$X$1</f>
        <v>2792.1099999999997</v>
      </c>
      <c r="L524" s="103">
        <f t="shared" si="1208"/>
        <v>2482.1099999999997</v>
      </c>
      <c r="M524" s="328">
        <f t="shared" ref="M524" si="1246">+L524*$X$1</f>
        <v>2482.1099999999997</v>
      </c>
      <c r="N524" s="103">
        <f t="shared" si="1210"/>
        <v>2412.1099999999997</v>
      </c>
      <c r="O524" s="328">
        <f t="shared" ref="O524" si="1247">+N524*$X$1</f>
        <v>2412.1099999999997</v>
      </c>
      <c r="P524" s="103">
        <f t="shared" si="1212"/>
        <v>2372.1099999999997</v>
      </c>
      <c r="Q524" s="328">
        <f t="shared" ref="Q524" si="1248">+P524*$X$1</f>
        <v>2372.1099999999997</v>
      </c>
      <c r="R524" s="103">
        <f t="shared" si="1214"/>
        <v>2342.1099999999997</v>
      </c>
      <c r="S524" s="328">
        <f t="shared" ref="S524" si="1249">+R524*$X$1</f>
        <v>2342.1099999999997</v>
      </c>
      <c r="T524" s="103">
        <f t="shared" si="1216"/>
        <v>2302.1099999999997</v>
      </c>
      <c r="U524" s="328">
        <f t="shared" ref="U524" si="1250">+T524*$X$1</f>
        <v>2302.1099999999997</v>
      </c>
      <c r="V524" s="103">
        <f t="shared" si="1218"/>
        <v>2262.1099999999997</v>
      </c>
      <c r="W524" s="328">
        <f t="shared" ref="W524" si="1251">+V524*$X$1</f>
        <v>2262.1099999999997</v>
      </c>
      <c r="X524" s="141"/>
      <c r="Y524" s="136"/>
      <c r="Z524" s="142"/>
      <c r="AA524" s="143"/>
      <c r="AB524" s="420">
        <v>575</v>
      </c>
    </row>
    <row r="525" spans="1:34" ht="12" customHeight="1" x14ac:dyDescent="0.2">
      <c r="A525" s="4"/>
      <c r="B525" s="692" t="s">
        <v>766</v>
      </c>
      <c r="C525" s="693"/>
      <c r="D525" s="693"/>
      <c r="E525" s="693"/>
      <c r="F525" s="564">
        <v>20310</v>
      </c>
      <c r="G525" s="314">
        <f t="shared" ref="G525" si="1252">+F525*$X$1</f>
        <v>20310</v>
      </c>
      <c r="H525" s="104"/>
      <c r="I525" s="314"/>
      <c r="J525" s="104">
        <f>F525+810</f>
        <v>21120</v>
      </c>
      <c r="K525" s="314">
        <f t="shared" si="1237"/>
        <v>21120</v>
      </c>
      <c r="L525" s="104">
        <f t="shared" si="1208"/>
        <v>20810</v>
      </c>
      <c r="M525" s="314">
        <f t="shared" si="1238"/>
        <v>20810</v>
      </c>
      <c r="N525" s="104">
        <f t="shared" si="1210"/>
        <v>20740</v>
      </c>
      <c r="O525" s="314">
        <f t="shared" si="1239"/>
        <v>20740</v>
      </c>
      <c r="P525" s="104">
        <f t="shared" si="1212"/>
        <v>20700</v>
      </c>
      <c r="Q525" s="314">
        <f t="shared" si="1240"/>
        <v>20700</v>
      </c>
      <c r="R525" s="104">
        <f t="shared" si="1214"/>
        <v>20670</v>
      </c>
      <c r="S525" s="314">
        <f t="shared" si="1241"/>
        <v>20670</v>
      </c>
      <c r="T525" s="104">
        <f t="shared" si="1216"/>
        <v>20630</v>
      </c>
      <c r="U525" s="314">
        <f t="shared" si="1242"/>
        <v>20630</v>
      </c>
      <c r="V525" s="104">
        <f t="shared" si="1218"/>
        <v>20590</v>
      </c>
      <c r="W525" s="314">
        <f t="shared" si="1243"/>
        <v>20590</v>
      </c>
      <c r="X525" s="141"/>
      <c r="Y525" s="136"/>
      <c r="Z525" s="142"/>
      <c r="AA525" s="143"/>
      <c r="AB525" s="420">
        <v>577</v>
      </c>
    </row>
    <row r="526" spans="1:34" ht="12" customHeight="1" x14ac:dyDescent="0.2">
      <c r="A526" s="4"/>
      <c r="B526" s="642" t="s">
        <v>765</v>
      </c>
      <c r="C526" s="689"/>
      <c r="D526" s="689"/>
      <c r="E526" s="689"/>
      <c r="F526" s="396">
        <f>29.9*X2</f>
        <v>30707.3</v>
      </c>
      <c r="G526" s="328">
        <f t="shared" si="1229"/>
        <v>30707.3</v>
      </c>
      <c r="H526" s="103">
        <f>F526+4000</f>
        <v>34707.300000000003</v>
      </c>
      <c r="I526" s="328">
        <f t="shared" ref="I526" si="1253">+H526*$X$1</f>
        <v>34707.300000000003</v>
      </c>
      <c r="J526" s="103">
        <f>F526+810</f>
        <v>31517.3</v>
      </c>
      <c r="K526" s="328">
        <f t="shared" si="1237"/>
        <v>31517.3</v>
      </c>
      <c r="L526" s="103">
        <f t="shared" si="1208"/>
        <v>31207.3</v>
      </c>
      <c r="M526" s="328">
        <f t="shared" si="1238"/>
        <v>31207.3</v>
      </c>
      <c r="N526" s="103">
        <f t="shared" si="1210"/>
        <v>31137.3</v>
      </c>
      <c r="O526" s="328">
        <f t="shared" si="1239"/>
        <v>31137.3</v>
      </c>
      <c r="P526" s="103">
        <f t="shared" si="1212"/>
        <v>31097.3</v>
      </c>
      <c r="Q526" s="328">
        <f t="shared" si="1240"/>
        <v>31097.3</v>
      </c>
      <c r="R526" s="103">
        <f t="shared" si="1214"/>
        <v>31067.3</v>
      </c>
      <c r="S526" s="328">
        <f t="shared" si="1241"/>
        <v>31067.3</v>
      </c>
      <c r="T526" s="103">
        <f t="shared" si="1216"/>
        <v>31027.3</v>
      </c>
      <c r="U526" s="328">
        <f t="shared" si="1242"/>
        <v>31027.3</v>
      </c>
      <c r="V526" s="103">
        <f t="shared" si="1218"/>
        <v>30987.3</v>
      </c>
      <c r="W526" s="328">
        <f t="shared" si="1243"/>
        <v>30987.3</v>
      </c>
      <c r="X526" s="141"/>
      <c r="Y526" s="136"/>
      <c r="Z526" s="142"/>
      <c r="AA526" s="143"/>
      <c r="AB526" s="420">
        <v>580</v>
      </c>
    </row>
    <row r="527" spans="1:34" ht="12" customHeight="1" x14ac:dyDescent="0.2">
      <c r="A527" s="4"/>
      <c r="B527" s="644" t="s">
        <v>764</v>
      </c>
      <c r="C527" s="680"/>
      <c r="D527" s="680"/>
      <c r="E527" s="680"/>
      <c r="F527" s="395">
        <f>28.6*X2</f>
        <v>29372.2</v>
      </c>
      <c r="G527" s="293">
        <f t="shared" si="1229"/>
        <v>29372.2</v>
      </c>
      <c r="H527" s="104">
        <f t="shared" ref="H527:H529" si="1254">F527+4000</f>
        <v>33372.199999999997</v>
      </c>
      <c r="I527" s="314">
        <f t="shared" ref="I527:I529" si="1255">+H527*$X$1</f>
        <v>33372.199999999997</v>
      </c>
      <c r="J527" s="104">
        <f t="shared" ref="J527:J529" si="1256">F527+810</f>
        <v>30182.2</v>
      </c>
      <c r="K527" s="314">
        <f t="shared" ref="K527:K529" si="1257">+J527*$X$1</f>
        <v>30182.2</v>
      </c>
      <c r="L527" s="104">
        <f t="shared" ref="L527:L529" si="1258">F527+500</f>
        <v>29872.2</v>
      </c>
      <c r="M527" s="314">
        <f t="shared" ref="M527:M529" si="1259">+L527*$X$1</f>
        <v>29872.2</v>
      </c>
      <c r="N527" s="104">
        <f t="shared" ref="N527:N529" si="1260">F527+430</f>
        <v>29802.2</v>
      </c>
      <c r="O527" s="314">
        <f t="shared" ref="O527:O529" si="1261">+N527*$X$1</f>
        <v>29802.2</v>
      </c>
      <c r="P527" s="104">
        <f t="shared" ref="P527:P529" si="1262">F527+390</f>
        <v>29762.2</v>
      </c>
      <c r="Q527" s="314">
        <f t="shared" ref="Q527:Q529" si="1263">+P527*$X$1</f>
        <v>29762.2</v>
      </c>
      <c r="R527" s="104">
        <f t="shared" ref="R527:R529" si="1264">F527+360</f>
        <v>29732.2</v>
      </c>
      <c r="S527" s="314">
        <f t="shared" ref="S527:S529" si="1265">+R527*$X$1</f>
        <v>29732.2</v>
      </c>
      <c r="T527" s="104">
        <f t="shared" ref="T527:T529" si="1266">F527+320</f>
        <v>29692.2</v>
      </c>
      <c r="U527" s="314">
        <f t="shared" ref="U527:U529" si="1267">+T527*$X$1</f>
        <v>29692.2</v>
      </c>
      <c r="V527" s="104">
        <f t="shared" ref="V527:V529" si="1268">F527+280</f>
        <v>29652.2</v>
      </c>
      <c r="W527" s="314">
        <f t="shared" ref="W527:W529" si="1269">+V527*$X$1</f>
        <v>29652.2</v>
      </c>
      <c r="X527" s="141"/>
      <c r="Y527" s="136"/>
      <c r="Z527" s="142"/>
      <c r="AA527" s="143"/>
      <c r="AB527" s="420">
        <v>582</v>
      </c>
    </row>
    <row r="528" spans="1:34" ht="12" customHeight="1" x14ac:dyDescent="0.2">
      <c r="A528" s="4"/>
      <c r="B528" s="642" t="s">
        <v>763</v>
      </c>
      <c r="C528" s="689"/>
      <c r="D528" s="689"/>
      <c r="E528" s="689"/>
      <c r="F528" s="563">
        <v>47318</v>
      </c>
      <c r="G528" s="328">
        <f t="shared" si="1229"/>
        <v>47318</v>
      </c>
      <c r="H528" s="103">
        <f t="shared" si="1254"/>
        <v>51318</v>
      </c>
      <c r="I528" s="328">
        <f t="shared" si="1255"/>
        <v>51318</v>
      </c>
      <c r="J528" s="103">
        <f t="shared" si="1256"/>
        <v>48128</v>
      </c>
      <c r="K528" s="328">
        <f t="shared" si="1257"/>
        <v>48128</v>
      </c>
      <c r="L528" s="103">
        <f t="shared" si="1258"/>
        <v>47818</v>
      </c>
      <c r="M528" s="328">
        <f t="shared" si="1259"/>
        <v>47818</v>
      </c>
      <c r="N528" s="103">
        <f t="shared" si="1260"/>
        <v>47748</v>
      </c>
      <c r="O528" s="328">
        <f t="shared" si="1261"/>
        <v>47748</v>
      </c>
      <c r="P528" s="103">
        <f t="shared" si="1262"/>
        <v>47708</v>
      </c>
      <c r="Q528" s="328">
        <f t="shared" si="1263"/>
        <v>47708</v>
      </c>
      <c r="R528" s="103">
        <f t="shared" si="1264"/>
        <v>47678</v>
      </c>
      <c r="S528" s="328">
        <f t="shared" si="1265"/>
        <v>47678</v>
      </c>
      <c r="T528" s="103">
        <f t="shared" si="1266"/>
        <v>47638</v>
      </c>
      <c r="U528" s="328">
        <f t="shared" si="1267"/>
        <v>47638</v>
      </c>
      <c r="V528" s="103">
        <f t="shared" si="1268"/>
        <v>47598</v>
      </c>
      <c r="W528" s="328">
        <f t="shared" si="1269"/>
        <v>47598</v>
      </c>
      <c r="X528" s="141"/>
      <c r="Y528" s="136"/>
      <c r="Z528" s="142"/>
      <c r="AA528" s="143"/>
      <c r="AB528" s="420">
        <v>584</v>
      </c>
    </row>
    <row r="529" spans="1:28" ht="12" customHeight="1" x14ac:dyDescent="0.2">
      <c r="A529" s="4"/>
      <c r="B529" s="805" t="s">
        <v>819</v>
      </c>
      <c r="C529" s="806"/>
      <c r="D529" s="806"/>
      <c r="E529" s="807"/>
      <c r="F529" s="395">
        <f>29.9*X2</f>
        <v>30707.3</v>
      </c>
      <c r="G529" s="293">
        <f>+F529*$X$1</f>
        <v>30707.3</v>
      </c>
      <c r="H529" s="104">
        <f t="shared" si="1254"/>
        <v>34707.300000000003</v>
      </c>
      <c r="I529" s="314">
        <f t="shared" si="1255"/>
        <v>34707.300000000003</v>
      </c>
      <c r="J529" s="104">
        <f t="shared" si="1256"/>
        <v>31517.3</v>
      </c>
      <c r="K529" s="314">
        <f t="shared" si="1257"/>
        <v>31517.3</v>
      </c>
      <c r="L529" s="104">
        <f t="shared" si="1258"/>
        <v>31207.3</v>
      </c>
      <c r="M529" s="314">
        <f t="shared" si="1259"/>
        <v>31207.3</v>
      </c>
      <c r="N529" s="104">
        <f t="shared" si="1260"/>
        <v>31137.3</v>
      </c>
      <c r="O529" s="314">
        <f t="shared" si="1261"/>
        <v>31137.3</v>
      </c>
      <c r="P529" s="104">
        <f t="shared" si="1262"/>
        <v>31097.3</v>
      </c>
      <c r="Q529" s="314">
        <f t="shared" si="1263"/>
        <v>31097.3</v>
      </c>
      <c r="R529" s="104">
        <f t="shared" si="1264"/>
        <v>31067.3</v>
      </c>
      <c r="S529" s="314">
        <f t="shared" si="1265"/>
        <v>31067.3</v>
      </c>
      <c r="T529" s="104">
        <f t="shared" si="1266"/>
        <v>31027.3</v>
      </c>
      <c r="U529" s="314">
        <f t="shared" si="1267"/>
        <v>31027.3</v>
      </c>
      <c r="V529" s="104">
        <f t="shared" si="1268"/>
        <v>30987.3</v>
      </c>
      <c r="W529" s="314">
        <f t="shared" si="1269"/>
        <v>30987.3</v>
      </c>
      <c r="X529" s="141"/>
      <c r="Y529" s="136"/>
      <c r="Z529" s="142"/>
      <c r="AA529" s="143"/>
      <c r="AB529" s="420">
        <v>586</v>
      </c>
    </row>
    <row r="530" spans="1:28" ht="12" customHeight="1" x14ac:dyDescent="0.2">
      <c r="A530" s="4"/>
      <c r="B530" s="800" t="s">
        <v>914</v>
      </c>
      <c r="C530" s="801"/>
      <c r="D530" s="801"/>
      <c r="E530" s="802"/>
      <c r="F530" s="563">
        <v>15080</v>
      </c>
      <c r="G530" s="328">
        <f t="shared" ref="G530:G531" si="1270">+F530*$X$1</f>
        <v>15080</v>
      </c>
      <c r="H530" s="103"/>
      <c r="I530" s="328"/>
      <c r="J530" s="103"/>
      <c r="K530" s="328"/>
      <c r="L530" s="103">
        <f t="shared" ref="L530:L531" si="1271">F530+500</f>
        <v>15580</v>
      </c>
      <c r="M530" s="328">
        <f t="shared" ref="M530:M531" si="1272">+L530*$X$1</f>
        <v>15580</v>
      </c>
      <c r="N530" s="103">
        <f t="shared" ref="N530:N531" si="1273">F530+430</f>
        <v>15510</v>
      </c>
      <c r="O530" s="328">
        <f t="shared" ref="O530:O531" si="1274">+N530*$X$1</f>
        <v>15510</v>
      </c>
      <c r="P530" s="103">
        <f t="shared" ref="P530:P531" si="1275">F530+390</f>
        <v>15470</v>
      </c>
      <c r="Q530" s="328">
        <f t="shared" ref="Q530:Q531" si="1276">+P530*$X$1</f>
        <v>15470</v>
      </c>
      <c r="R530" s="103">
        <f t="shared" ref="R530:R531" si="1277">F530+360</f>
        <v>15440</v>
      </c>
      <c r="S530" s="328">
        <f t="shared" ref="S530:S531" si="1278">+R530*$X$1</f>
        <v>15440</v>
      </c>
      <c r="T530" s="103">
        <f t="shared" ref="T530:T531" si="1279">F530+320</f>
        <v>15400</v>
      </c>
      <c r="U530" s="328">
        <f t="shared" ref="U530:U531" si="1280">+T530*$X$1</f>
        <v>15400</v>
      </c>
      <c r="V530" s="103">
        <f t="shared" ref="V530:V531" si="1281">F530+280</f>
        <v>15360</v>
      </c>
      <c r="W530" s="328">
        <f t="shared" ref="W530:W531" si="1282">+V530*$X$1</f>
        <v>15360</v>
      </c>
      <c r="X530" s="141"/>
      <c r="Y530" s="136"/>
      <c r="Z530" s="142"/>
      <c r="AA530" s="143"/>
      <c r="AB530" s="420">
        <v>590</v>
      </c>
    </row>
    <row r="531" spans="1:28" ht="12" customHeight="1" x14ac:dyDescent="0.2">
      <c r="A531" s="4"/>
      <c r="B531" s="800" t="s">
        <v>924</v>
      </c>
      <c r="C531" s="801"/>
      <c r="D531" s="801"/>
      <c r="E531" s="802"/>
      <c r="F531" s="395">
        <f>6.28*X2</f>
        <v>6449.56</v>
      </c>
      <c r="G531" s="293">
        <f t="shared" si="1270"/>
        <v>6449.56</v>
      </c>
      <c r="H531" s="104">
        <f t="shared" ref="H531" si="1283">F531+4000</f>
        <v>10449.560000000001</v>
      </c>
      <c r="I531" s="314">
        <f t="shared" ref="I531" si="1284">+H531*$X$1</f>
        <v>10449.560000000001</v>
      </c>
      <c r="J531" s="104">
        <f t="shared" ref="J531" si="1285">F531+810</f>
        <v>7259.56</v>
      </c>
      <c r="K531" s="314">
        <f t="shared" ref="K531" si="1286">+J531*$X$1</f>
        <v>7259.56</v>
      </c>
      <c r="L531" s="104">
        <f t="shared" si="1271"/>
        <v>6949.56</v>
      </c>
      <c r="M531" s="314">
        <f t="shared" si="1272"/>
        <v>6949.56</v>
      </c>
      <c r="N531" s="104">
        <f t="shared" si="1273"/>
        <v>6879.56</v>
      </c>
      <c r="O531" s="314">
        <f t="shared" si="1274"/>
        <v>6879.56</v>
      </c>
      <c r="P531" s="104">
        <f t="shared" si="1275"/>
        <v>6839.56</v>
      </c>
      <c r="Q531" s="314">
        <f t="shared" si="1276"/>
        <v>6839.56</v>
      </c>
      <c r="R531" s="104">
        <f t="shared" si="1277"/>
        <v>6809.56</v>
      </c>
      <c r="S531" s="314">
        <f t="shared" si="1278"/>
        <v>6809.56</v>
      </c>
      <c r="T531" s="104">
        <f t="shared" si="1279"/>
        <v>6769.56</v>
      </c>
      <c r="U531" s="314">
        <f t="shared" si="1280"/>
        <v>6769.56</v>
      </c>
      <c r="V531" s="104">
        <f t="shared" si="1281"/>
        <v>6729.56</v>
      </c>
      <c r="W531" s="314">
        <f t="shared" si="1282"/>
        <v>6729.56</v>
      </c>
      <c r="X531" s="141"/>
      <c r="Y531" s="136"/>
      <c r="Z531" s="142"/>
      <c r="AA531" s="143"/>
      <c r="AB531" s="197">
        <v>593</v>
      </c>
    </row>
    <row r="532" spans="1:28" ht="12" customHeight="1" x14ac:dyDescent="0.2">
      <c r="A532" s="4"/>
      <c r="B532" s="809" t="s">
        <v>775</v>
      </c>
      <c r="C532" s="810"/>
      <c r="D532" s="810"/>
      <c r="E532" s="811"/>
      <c r="F532" s="591">
        <v>31690</v>
      </c>
      <c r="G532" s="294">
        <f t="shared" si="1229"/>
        <v>31690</v>
      </c>
      <c r="H532" s="103"/>
      <c r="I532" s="328"/>
      <c r="J532" s="103">
        <f t="shared" ref="J532" si="1287">F532+810</f>
        <v>32500</v>
      </c>
      <c r="K532" s="328">
        <f t="shared" ref="K532" si="1288">+J532*$X$1</f>
        <v>32500</v>
      </c>
      <c r="L532" s="103">
        <f t="shared" ref="L532" si="1289">F532+500</f>
        <v>32190</v>
      </c>
      <c r="M532" s="328">
        <f t="shared" ref="M532" si="1290">+L532*$X$1</f>
        <v>32190</v>
      </c>
      <c r="N532" s="103">
        <f t="shared" ref="N532" si="1291">F532+430</f>
        <v>32120</v>
      </c>
      <c r="O532" s="328">
        <f t="shared" ref="O532" si="1292">+N532*$X$1</f>
        <v>32120</v>
      </c>
      <c r="P532" s="103">
        <f t="shared" ref="P532" si="1293">F532+390</f>
        <v>32080</v>
      </c>
      <c r="Q532" s="328">
        <f t="shared" ref="Q532" si="1294">+P532*$X$1</f>
        <v>32080</v>
      </c>
      <c r="R532" s="103">
        <f t="shared" ref="R532" si="1295">F532+360</f>
        <v>32050</v>
      </c>
      <c r="S532" s="328">
        <f t="shared" ref="S532" si="1296">+R532*$X$1</f>
        <v>32050</v>
      </c>
      <c r="T532" s="103">
        <f t="shared" ref="T532" si="1297">F532+320</f>
        <v>32010</v>
      </c>
      <c r="U532" s="328">
        <f t="shared" ref="U532" si="1298">+T532*$X$1</f>
        <v>32010</v>
      </c>
      <c r="V532" s="103">
        <f t="shared" ref="V532" si="1299">F532+280</f>
        <v>31970</v>
      </c>
      <c r="W532" s="328">
        <f t="shared" ref="W532" si="1300">+V532*$X$1</f>
        <v>31970</v>
      </c>
      <c r="X532" s="141"/>
      <c r="Y532" s="136"/>
      <c r="Z532" s="142"/>
      <c r="AA532" s="143"/>
      <c r="AB532" s="420">
        <v>599</v>
      </c>
    </row>
    <row r="533" spans="1:28" ht="12" customHeight="1" x14ac:dyDescent="0.2">
      <c r="A533" s="4"/>
      <c r="B533" s="805" t="s">
        <v>762</v>
      </c>
      <c r="C533" s="806"/>
      <c r="D533" s="806"/>
      <c r="E533" s="807"/>
      <c r="F533" s="392">
        <f>22.12*X2</f>
        <v>22717.24</v>
      </c>
      <c r="G533" s="293">
        <f t="shared" si="1229"/>
        <v>22717.24</v>
      </c>
      <c r="H533" s="104">
        <f t="shared" ref="H533" si="1301">F533+4000</f>
        <v>26717.24</v>
      </c>
      <c r="I533" s="314">
        <f t="shared" ref="I533" si="1302">+H533*$X$1</f>
        <v>26717.24</v>
      </c>
      <c r="J533" s="104">
        <f t="shared" ref="J533" si="1303">F533+810</f>
        <v>23527.24</v>
      </c>
      <c r="K533" s="314">
        <f t="shared" ref="K533:K546" si="1304">+J533*$X$1</f>
        <v>23527.24</v>
      </c>
      <c r="L533" s="104">
        <f t="shared" ref="L533" si="1305">F533+500</f>
        <v>23217.24</v>
      </c>
      <c r="M533" s="314">
        <f t="shared" ref="M533:M546" si="1306">+L533*$X$1</f>
        <v>23217.24</v>
      </c>
      <c r="N533" s="104">
        <f t="shared" ref="N533" si="1307">F533+430</f>
        <v>23147.24</v>
      </c>
      <c r="O533" s="314">
        <f t="shared" ref="O533:O546" si="1308">+N533*$X$1</f>
        <v>23147.24</v>
      </c>
      <c r="P533" s="104">
        <f t="shared" ref="P533" si="1309">F533+390</f>
        <v>23107.24</v>
      </c>
      <c r="Q533" s="314">
        <f t="shared" ref="Q533:Q546" si="1310">+P533*$X$1</f>
        <v>23107.24</v>
      </c>
      <c r="R533" s="104">
        <f t="shared" ref="R533" si="1311">F533+360</f>
        <v>23077.24</v>
      </c>
      <c r="S533" s="314">
        <f t="shared" ref="S533:S546" si="1312">+R533*$X$1</f>
        <v>23077.24</v>
      </c>
      <c r="T533" s="104">
        <f t="shared" ref="T533" si="1313">F533+320</f>
        <v>23037.24</v>
      </c>
      <c r="U533" s="314">
        <f t="shared" ref="U533:U546" si="1314">+T533*$X$1</f>
        <v>23037.24</v>
      </c>
      <c r="V533" s="104">
        <f t="shared" ref="V533" si="1315">F533+280</f>
        <v>22997.24</v>
      </c>
      <c r="W533" s="314">
        <f t="shared" ref="W533:W546" si="1316">+V533*$X$1</f>
        <v>22997.24</v>
      </c>
      <c r="X533" s="141"/>
      <c r="Y533" s="136"/>
      <c r="Z533" s="142"/>
      <c r="AA533" s="143"/>
      <c r="AB533" s="420">
        <v>600</v>
      </c>
    </row>
    <row r="534" spans="1:28" ht="12" customHeight="1" x14ac:dyDescent="0.2">
      <c r="A534" s="4"/>
      <c r="B534" s="809" t="s">
        <v>923</v>
      </c>
      <c r="C534" s="810"/>
      <c r="D534" s="810"/>
      <c r="E534" s="811"/>
      <c r="F534" s="394">
        <f>74.5*X2</f>
        <v>76511.5</v>
      </c>
      <c r="G534" s="294">
        <f t="shared" ref="G534" si="1317">+F534*$X$1</f>
        <v>76511.5</v>
      </c>
      <c r="H534" s="103">
        <f t="shared" ref="H534:H544" si="1318">F534+4000</f>
        <v>80511.5</v>
      </c>
      <c r="I534" s="328">
        <f t="shared" ref="I534:I544" si="1319">+H534*$X$1</f>
        <v>80511.5</v>
      </c>
      <c r="J534" s="103">
        <f t="shared" ref="J534:J544" si="1320">F534+810</f>
        <v>77321.5</v>
      </c>
      <c r="K534" s="328">
        <f t="shared" ref="K534:K544" si="1321">+J534*$X$1</f>
        <v>77321.5</v>
      </c>
      <c r="L534" s="103">
        <f t="shared" ref="L534:L544" si="1322">F534+500</f>
        <v>77011.5</v>
      </c>
      <c r="M534" s="328">
        <f t="shared" ref="M534:M544" si="1323">+L534*$X$1</f>
        <v>77011.5</v>
      </c>
      <c r="N534" s="103">
        <f t="shared" ref="N534:N544" si="1324">F534+430</f>
        <v>76941.5</v>
      </c>
      <c r="O534" s="328">
        <f t="shared" ref="O534:O544" si="1325">+N534*$X$1</f>
        <v>76941.5</v>
      </c>
      <c r="P534" s="103">
        <f t="shared" ref="P534:P544" si="1326">F534+390</f>
        <v>76901.5</v>
      </c>
      <c r="Q534" s="328">
        <f t="shared" ref="Q534:Q544" si="1327">+P534*$X$1</f>
        <v>76901.5</v>
      </c>
      <c r="R534" s="103">
        <f t="shared" ref="R534:R544" si="1328">F534+360</f>
        <v>76871.5</v>
      </c>
      <c r="S534" s="328">
        <f t="shared" ref="S534:S544" si="1329">+R534*$X$1</f>
        <v>76871.5</v>
      </c>
      <c r="T534" s="103">
        <f t="shared" ref="T534:T544" si="1330">F534+320</f>
        <v>76831.5</v>
      </c>
      <c r="U534" s="328">
        <f t="shared" ref="U534:U544" si="1331">+T534*$X$1</f>
        <v>76831.5</v>
      </c>
      <c r="V534" s="103">
        <f t="shared" ref="V534:V544" si="1332">F534+280</f>
        <v>76791.5</v>
      </c>
      <c r="W534" s="328">
        <f t="shared" ref="W534:W544" si="1333">+V534*$X$1</f>
        <v>76791.5</v>
      </c>
      <c r="X534" s="141"/>
      <c r="Y534" s="136"/>
      <c r="Z534" s="142"/>
      <c r="AA534" s="143"/>
      <c r="AB534" s="420">
        <v>605</v>
      </c>
    </row>
    <row r="535" spans="1:28" ht="12" customHeight="1" x14ac:dyDescent="0.2">
      <c r="A535" s="4"/>
      <c r="B535" s="800" t="s">
        <v>910</v>
      </c>
      <c r="C535" s="801"/>
      <c r="D535" s="801"/>
      <c r="E535" s="802"/>
      <c r="F535" s="395">
        <f>53.39*X2</f>
        <v>54831.53</v>
      </c>
      <c r="G535" s="293">
        <f t="shared" si="1229"/>
        <v>54831.53</v>
      </c>
      <c r="H535" s="104">
        <f t="shared" si="1318"/>
        <v>58831.53</v>
      </c>
      <c r="I535" s="314">
        <f t="shared" si="1319"/>
        <v>58831.53</v>
      </c>
      <c r="J535" s="104">
        <f t="shared" si="1320"/>
        <v>55641.53</v>
      </c>
      <c r="K535" s="314">
        <f t="shared" si="1321"/>
        <v>55641.53</v>
      </c>
      <c r="L535" s="104">
        <f t="shared" si="1322"/>
        <v>55331.53</v>
      </c>
      <c r="M535" s="314">
        <f t="shared" si="1323"/>
        <v>55331.53</v>
      </c>
      <c r="N535" s="104">
        <f t="shared" si="1324"/>
        <v>55261.53</v>
      </c>
      <c r="O535" s="314">
        <f t="shared" si="1325"/>
        <v>55261.53</v>
      </c>
      <c r="P535" s="104">
        <f t="shared" si="1326"/>
        <v>55221.53</v>
      </c>
      <c r="Q535" s="314">
        <f t="shared" si="1327"/>
        <v>55221.53</v>
      </c>
      <c r="R535" s="104">
        <f t="shared" si="1328"/>
        <v>55191.53</v>
      </c>
      <c r="S535" s="314">
        <f t="shared" si="1329"/>
        <v>55191.53</v>
      </c>
      <c r="T535" s="104">
        <f t="shared" si="1330"/>
        <v>55151.53</v>
      </c>
      <c r="U535" s="314">
        <f t="shared" si="1331"/>
        <v>55151.53</v>
      </c>
      <c r="V535" s="104">
        <f t="shared" si="1332"/>
        <v>55111.53</v>
      </c>
      <c r="W535" s="314">
        <f t="shared" si="1333"/>
        <v>55111.53</v>
      </c>
      <c r="X535" s="141"/>
      <c r="Y535" s="136"/>
      <c r="Z535" s="142"/>
      <c r="AA535" s="143"/>
      <c r="AB535" s="420">
        <v>608</v>
      </c>
    </row>
    <row r="536" spans="1:28" ht="12" customHeight="1" x14ac:dyDescent="0.2">
      <c r="A536" s="4"/>
      <c r="B536" s="809" t="s">
        <v>767</v>
      </c>
      <c r="C536" s="810"/>
      <c r="D536" s="810"/>
      <c r="E536" s="811"/>
      <c r="F536" s="394">
        <f>43.45*X2</f>
        <v>44623.15</v>
      </c>
      <c r="G536" s="294">
        <f t="shared" ref="G536:G538" si="1334">+F536*$X$1</f>
        <v>44623.15</v>
      </c>
      <c r="H536" s="103">
        <f t="shared" si="1318"/>
        <v>48623.15</v>
      </c>
      <c r="I536" s="328">
        <f t="shared" si="1319"/>
        <v>48623.15</v>
      </c>
      <c r="J536" s="103">
        <f t="shared" si="1320"/>
        <v>45433.15</v>
      </c>
      <c r="K536" s="328">
        <f t="shared" si="1321"/>
        <v>45433.15</v>
      </c>
      <c r="L536" s="103">
        <f t="shared" si="1322"/>
        <v>45123.15</v>
      </c>
      <c r="M536" s="328">
        <f t="shared" si="1323"/>
        <v>45123.15</v>
      </c>
      <c r="N536" s="103">
        <f t="shared" si="1324"/>
        <v>45053.15</v>
      </c>
      <c r="O536" s="328">
        <f t="shared" si="1325"/>
        <v>45053.15</v>
      </c>
      <c r="P536" s="103">
        <f t="shared" si="1326"/>
        <v>45013.15</v>
      </c>
      <c r="Q536" s="328">
        <f t="shared" si="1327"/>
        <v>45013.15</v>
      </c>
      <c r="R536" s="103">
        <f t="shared" si="1328"/>
        <v>44983.15</v>
      </c>
      <c r="S536" s="328">
        <f t="shared" si="1329"/>
        <v>44983.15</v>
      </c>
      <c r="T536" s="103">
        <f t="shared" si="1330"/>
        <v>44943.15</v>
      </c>
      <c r="U536" s="328">
        <f t="shared" si="1331"/>
        <v>44943.15</v>
      </c>
      <c r="V536" s="103">
        <f t="shared" si="1332"/>
        <v>44903.15</v>
      </c>
      <c r="W536" s="328">
        <f t="shared" si="1333"/>
        <v>44903.15</v>
      </c>
      <c r="X536" s="141"/>
      <c r="Y536" s="136"/>
      <c r="Z536" s="142"/>
      <c r="AA536" s="143"/>
      <c r="AB536" s="420">
        <v>609</v>
      </c>
    </row>
    <row r="537" spans="1:28" ht="12" customHeight="1" x14ac:dyDescent="0.2">
      <c r="A537" s="4"/>
      <c r="B537" s="805" t="s">
        <v>768</v>
      </c>
      <c r="C537" s="806"/>
      <c r="D537" s="806"/>
      <c r="E537" s="807"/>
      <c r="F537" s="395">
        <f>52.2*X2</f>
        <v>53609.4</v>
      </c>
      <c r="G537" s="293">
        <f t="shared" si="1334"/>
        <v>53609.4</v>
      </c>
      <c r="H537" s="104">
        <f t="shared" si="1318"/>
        <v>57609.4</v>
      </c>
      <c r="I537" s="314">
        <f t="shared" si="1319"/>
        <v>57609.4</v>
      </c>
      <c r="J537" s="104">
        <f t="shared" si="1320"/>
        <v>54419.4</v>
      </c>
      <c r="K537" s="314">
        <f t="shared" si="1321"/>
        <v>54419.4</v>
      </c>
      <c r="L537" s="104">
        <f t="shared" si="1322"/>
        <v>54109.4</v>
      </c>
      <c r="M537" s="314">
        <f t="shared" si="1323"/>
        <v>54109.4</v>
      </c>
      <c r="N537" s="104">
        <f t="shared" si="1324"/>
        <v>54039.4</v>
      </c>
      <c r="O537" s="314">
        <f t="shared" si="1325"/>
        <v>54039.4</v>
      </c>
      <c r="P537" s="104">
        <f t="shared" si="1326"/>
        <v>53999.4</v>
      </c>
      <c r="Q537" s="314">
        <f t="shared" si="1327"/>
        <v>53999.4</v>
      </c>
      <c r="R537" s="104">
        <f t="shared" si="1328"/>
        <v>53969.4</v>
      </c>
      <c r="S537" s="314">
        <f t="shared" si="1329"/>
        <v>53969.4</v>
      </c>
      <c r="T537" s="104">
        <f t="shared" si="1330"/>
        <v>53929.4</v>
      </c>
      <c r="U537" s="314">
        <f t="shared" si="1331"/>
        <v>53929.4</v>
      </c>
      <c r="V537" s="104">
        <f t="shared" si="1332"/>
        <v>53889.4</v>
      </c>
      <c r="W537" s="314">
        <f t="shared" si="1333"/>
        <v>53889.4</v>
      </c>
      <c r="X537" s="141"/>
      <c r="Y537" s="136"/>
      <c r="Z537" s="142"/>
      <c r="AA537" s="143"/>
      <c r="AB537" s="420">
        <v>611</v>
      </c>
    </row>
    <row r="538" spans="1:28" ht="12" customHeight="1" x14ac:dyDescent="0.2">
      <c r="A538" s="4"/>
      <c r="B538" s="800" t="s">
        <v>921</v>
      </c>
      <c r="C538" s="801"/>
      <c r="D538" s="801"/>
      <c r="E538" s="802"/>
      <c r="F538" s="394">
        <f>47.5*X2</f>
        <v>48782.5</v>
      </c>
      <c r="G538" s="294">
        <f t="shared" si="1334"/>
        <v>48782.5</v>
      </c>
      <c r="H538" s="103">
        <f t="shared" si="1318"/>
        <v>52782.5</v>
      </c>
      <c r="I538" s="328">
        <f t="shared" si="1319"/>
        <v>52782.5</v>
      </c>
      <c r="J538" s="103">
        <f t="shared" si="1320"/>
        <v>49592.5</v>
      </c>
      <c r="K538" s="328">
        <f t="shared" si="1321"/>
        <v>49592.5</v>
      </c>
      <c r="L538" s="103">
        <f t="shared" si="1322"/>
        <v>49282.5</v>
      </c>
      <c r="M538" s="328">
        <f t="shared" si="1323"/>
        <v>49282.5</v>
      </c>
      <c r="N538" s="103">
        <f t="shared" si="1324"/>
        <v>49212.5</v>
      </c>
      <c r="O538" s="328">
        <f t="shared" si="1325"/>
        <v>49212.5</v>
      </c>
      <c r="P538" s="103">
        <f t="shared" si="1326"/>
        <v>49172.5</v>
      </c>
      <c r="Q538" s="328">
        <f t="shared" si="1327"/>
        <v>49172.5</v>
      </c>
      <c r="R538" s="103">
        <f t="shared" si="1328"/>
        <v>49142.5</v>
      </c>
      <c r="S538" s="328">
        <f t="shared" si="1329"/>
        <v>49142.5</v>
      </c>
      <c r="T538" s="103">
        <f t="shared" si="1330"/>
        <v>49102.5</v>
      </c>
      <c r="U538" s="328">
        <f t="shared" si="1331"/>
        <v>49102.5</v>
      </c>
      <c r="V538" s="103">
        <f t="shared" si="1332"/>
        <v>49062.5</v>
      </c>
      <c r="W538" s="328">
        <f t="shared" si="1333"/>
        <v>49062.5</v>
      </c>
      <c r="X538" s="141"/>
      <c r="Y538" s="136"/>
      <c r="Z538" s="142"/>
      <c r="AA538" s="143"/>
      <c r="AB538" s="420">
        <v>613</v>
      </c>
    </row>
    <row r="539" spans="1:28" ht="12" customHeight="1" x14ac:dyDescent="0.2">
      <c r="A539" s="4"/>
      <c r="B539" s="805" t="s">
        <v>644</v>
      </c>
      <c r="C539" s="806"/>
      <c r="D539" s="806"/>
      <c r="E539" s="807"/>
      <c r="F539" s="395">
        <f>5.96*X2</f>
        <v>6120.92</v>
      </c>
      <c r="G539" s="293">
        <f t="shared" ref="G539" si="1335">+F539*$X$1</f>
        <v>6120.92</v>
      </c>
      <c r="H539" s="104">
        <f t="shared" si="1318"/>
        <v>10120.92</v>
      </c>
      <c r="I539" s="314">
        <f t="shared" si="1319"/>
        <v>10120.92</v>
      </c>
      <c r="J539" s="104">
        <f t="shared" si="1320"/>
        <v>6930.92</v>
      </c>
      <c r="K539" s="314">
        <f t="shared" si="1321"/>
        <v>6930.92</v>
      </c>
      <c r="L539" s="104">
        <f t="shared" si="1322"/>
        <v>6620.92</v>
      </c>
      <c r="M539" s="314">
        <f t="shared" si="1323"/>
        <v>6620.92</v>
      </c>
      <c r="N539" s="104">
        <f t="shared" si="1324"/>
        <v>6550.92</v>
      </c>
      <c r="O539" s="314">
        <f t="shared" si="1325"/>
        <v>6550.92</v>
      </c>
      <c r="P539" s="104">
        <f t="shared" si="1326"/>
        <v>6510.92</v>
      </c>
      <c r="Q539" s="314">
        <f t="shared" si="1327"/>
        <v>6510.92</v>
      </c>
      <c r="R539" s="104">
        <f t="shared" si="1328"/>
        <v>6480.92</v>
      </c>
      <c r="S539" s="314">
        <f t="shared" si="1329"/>
        <v>6480.92</v>
      </c>
      <c r="T539" s="104">
        <f t="shared" si="1330"/>
        <v>6440.92</v>
      </c>
      <c r="U539" s="314">
        <f t="shared" si="1331"/>
        <v>6440.92</v>
      </c>
      <c r="V539" s="104">
        <f t="shared" si="1332"/>
        <v>6400.92</v>
      </c>
      <c r="W539" s="314">
        <f t="shared" si="1333"/>
        <v>6400.92</v>
      </c>
      <c r="X539" s="141"/>
      <c r="Y539" s="136"/>
      <c r="Z539" s="142"/>
      <c r="AA539" s="143"/>
      <c r="AB539" s="197">
        <v>642</v>
      </c>
    </row>
    <row r="540" spans="1:28" ht="12" customHeight="1" x14ac:dyDescent="0.2">
      <c r="A540" s="4"/>
      <c r="B540" s="809" t="s">
        <v>645</v>
      </c>
      <c r="C540" s="810"/>
      <c r="D540" s="810"/>
      <c r="E540" s="811"/>
      <c r="F540" s="394">
        <f>26.6*X2</f>
        <v>27318.2</v>
      </c>
      <c r="G540" s="294">
        <f t="shared" ref="G540" si="1336">+F540*$X$1</f>
        <v>27318.2</v>
      </c>
      <c r="H540" s="103">
        <f t="shared" si="1318"/>
        <v>31318.2</v>
      </c>
      <c r="I540" s="328">
        <f t="shared" si="1319"/>
        <v>31318.2</v>
      </c>
      <c r="J540" s="103">
        <f t="shared" si="1320"/>
        <v>28128.2</v>
      </c>
      <c r="K540" s="328">
        <f t="shared" si="1321"/>
        <v>28128.2</v>
      </c>
      <c r="L540" s="103">
        <f t="shared" si="1322"/>
        <v>27818.2</v>
      </c>
      <c r="M540" s="328">
        <f t="shared" si="1323"/>
        <v>27818.2</v>
      </c>
      <c r="N540" s="103">
        <f t="shared" si="1324"/>
        <v>27748.2</v>
      </c>
      <c r="O540" s="328">
        <f t="shared" si="1325"/>
        <v>27748.2</v>
      </c>
      <c r="P540" s="103">
        <f t="shared" si="1326"/>
        <v>27708.2</v>
      </c>
      <c r="Q540" s="328">
        <f t="shared" si="1327"/>
        <v>27708.2</v>
      </c>
      <c r="R540" s="103">
        <f t="shared" si="1328"/>
        <v>27678.2</v>
      </c>
      <c r="S540" s="328">
        <f t="shared" si="1329"/>
        <v>27678.2</v>
      </c>
      <c r="T540" s="103">
        <f t="shared" si="1330"/>
        <v>27638.2</v>
      </c>
      <c r="U540" s="328">
        <f t="shared" si="1331"/>
        <v>27638.2</v>
      </c>
      <c r="V540" s="103">
        <f t="shared" si="1332"/>
        <v>27598.2</v>
      </c>
      <c r="W540" s="328">
        <f t="shared" si="1333"/>
        <v>27598.2</v>
      </c>
      <c r="X540" s="141"/>
      <c r="Y540" s="136"/>
      <c r="Z540" s="142"/>
      <c r="AA540" s="143"/>
      <c r="AB540" s="197">
        <v>643</v>
      </c>
    </row>
    <row r="541" spans="1:28" ht="12" customHeight="1" x14ac:dyDescent="0.2">
      <c r="A541" s="4"/>
      <c r="B541" s="805" t="s">
        <v>769</v>
      </c>
      <c r="C541" s="806"/>
      <c r="D541" s="806"/>
      <c r="E541" s="807"/>
      <c r="F541" s="392">
        <f>42.331*X2</f>
        <v>43473.937000000005</v>
      </c>
      <c r="G541" s="293">
        <f t="shared" si="1229"/>
        <v>43473.937000000005</v>
      </c>
      <c r="H541" s="104">
        <f t="shared" si="1318"/>
        <v>47473.937000000005</v>
      </c>
      <c r="I541" s="314">
        <f t="shared" si="1319"/>
        <v>47473.937000000005</v>
      </c>
      <c r="J541" s="104">
        <f t="shared" si="1320"/>
        <v>44283.937000000005</v>
      </c>
      <c r="K541" s="314">
        <f t="shared" si="1321"/>
        <v>44283.937000000005</v>
      </c>
      <c r="L541" s="104">
        <f t="shared" si="1322"/>
        <v>43973.937000000005</v>
      </c>
      <c r="M541" s="314">
        <f t="shared" si="1323"/>
        <v>43973.937000000005</v>
      </c>
      <c r="N541" s="104">
        <f t="shared" si="1324"/>
        <v>43903.937000000005</v>
      </c>
      <c r="O541" s="314">
        <f t="shared" si="1325"/>
        <v>43903.937000000005</v>
      </c>
      <c r="P541" s="104">
        <f t="shared" si="1326"/>
        <v>43863.937000000005</v>
      </c>
      <c r="Q541" s="314">
        <f t="shared" si="1327"/>
        <v>43863.937000000005</v>
      </c>
      <c r="R541" s="104">
        <f t="shared" si="1328"/>
        <v>43833.937000000005</v>
      </c>
      <c r="S541" s="314">
        <f t="shared" si="1329"/>
        <v>43833.937000000005</v>
      </c>
      <c r="T541" s="104">
        <f t="shared" si="1330"/>
        <v>43793.937000000005</v>
      </c>
      <c r="U541" s="314">
        <f t="shared" si="1331"/>
        <v>43793.937000000005</v>
      </c>
      <c r="V541" s="104">
        <f t="shared" si="1332"/>
        <v>43753.937000000005</v>
      </c>
      <c r="W541" s="314">
        <f t="shared" si="1333"/>
        <v>43753.937000000005</v>
      </c>
      <c r="X541" s="141"/>
      <c r="Y541" s="136"/>
      <c r="Z541" s="142"/>
      <c r="AA541" s="143"/>
      <c r="AB541" s="420">
        <v>657</v>
      </c>
    </row>
    <row r="542" spans="1:28" ht="12" customHeight="1" x14ac:dyDescent="0.2">
      <c r="A542" s="4"/>
      <c r="B542" s="809" t="s">
        <v>770</v>
      </c>
      <c r="C542" s="810"/>
      <c r="D542" s="810"/>
      <c r="E542" s="811"/>
      <c r="F542" s="393">
        <f>36.05*X2</f>
        <v>37023.35</v>
      </c>
      <c r="G542" s="294">
        <f t="shared" ref="G542:G544" si="1337">+F542*$X$1</f>
        <v>37023.35</v>
      </c>
      <c r="H542" s="103">
        <f t="shared" si="1318"/>
        <v>41023.35</v>
      </c>
      <c r="I542" s="328">
        <f t="shared" si="1319"/>
        <v>41023.35</v>
      </c>
      <c r="J542" s="103">
        <f t="shared" si="1320"/>
        <v>37833.35</v>
      </c>
      <c r="K542" s="328">
        <f t="shared" si="1321"/>
        <v>37833.35</v>
      </c>
      <c r="L542" s="103">
        <f t="shared" si="1322"/>
        <v>37523.35</v>
      </c>
      <c r="M542" s="328">
        <f t="shared" si="1323"/>
        <v>37523.35</v>
      </c>
      <c r="N542" s="103">
        <f t="shared" si="1324"/>
        <v>37453.35</v>
      </c>
      <c r="O542" s="328">
        <f t="shared" si="1325"/>
        <v>37453.35</v>
      </c>
      <c r="P542" s="103">
        <f t="shared" si="1326"/>
        <v>37413.35</v>
      </c>
      <c r="Q542" s="328">
        <f t="shared" si="1327"/>
        <v>37413.35</v>
      </c>
      <c r="R542" s="103">
        <f t="shared" si="1328"/>
        <v>37383.35</v>
      </c>
      <c r="S542" s="328">
        <f t="shared" si="1329"/>
        <v>37383.35</v>
      </c>
      <c r="T542" s="103">
        <f t="shared" si="1330"/>
        <v>37343.35</v>
      </c>
      <c r="U542" s="328">
        <f t="shared" si="1331"/>
        <v>37343.35</v>
      </c>
      <c r="V542" s="103">
        <f t="shared" si="1332"/>
        <v>37303.35</v>
      </c>
      <c r="W542" s="328">
        <f t="shared" si="1333"/>
        <v>37303.35</v>
      </c>
      <c r="X542" s="141"/>
      <c r="Y542" s="136"/>
      <c r="Z542" s="142"/>
      <c r="AA542" s="143"/>
      <c r="AB542" s="420">
        <v>658</v>
      </c>
    </row>
    <row r="543" spans="1:28" ht="12" customHeight="1" x14ac:dyDescent="0.2">
      <c r="A543" s="4"/>
      <c r="B543" s="805" t="s">
        <v>771</v>
      </c>
      <c r="C543" s="806"/>
      <c r="D543" s="806"/>
      <c r="E543" s="807"/>
      <c r="F543" s="392">
        <f>28.5*X2</f>
        <v>29269.5</v>
      </c>
      <c r="G543" s="293">
        <f t="shared" si="1337"/>
        <v>29269.5</v>
      </c>
      <c r="H543" s="104">
        <f t="shared" si="1318"/>
        <v>33269.5</v>
      </c>
      <c r="I543" s="314">
        <f t="shared" si="1319"/>
        <v>33269.5</v>
      </c>
      <c r="J543" s="104">
        <f t="shared" si="1320"/>
        <v>30079.5</v>
      </c>
      <c r="K543" s="314">
        <f t="shared" si="1321"/>
        <v>30079.5</v>
      </c>
      <c r="L543" s="104">
        <f t="shared" si="1322"/>
        <v>29769.5</v>
      </c>
      <c r="M543" s="314">
        <f t="shared" si="1323"/>
        <v>29769.5</v>
      </c>
      <c r="N543" s="104">
        <f t="shared" si="1324"/>
        <v>29699.5</v>
      </c>
      <c r="O543" s="314">
        <f t="shared" si="1325"/>
        <v>29699.5</v>
      </c>
      <c r="P543" s="104">
        <f t="shared" si="1326"/>
        <v>29659.5</v>
      </c>
      <c r="Q543" s="314">
        <f t="shared" si="1327"/>
        <v>29659.5</v>
      </c>
      <c r="R543" s="104">
        <f t="shared" si="1328"/>
        <v>29629.5</v>
      </c>
      <c r="S543" s="314">
        <f t="shared" si="1329"/>
        <v>29629.5</v>
      </c>
      <c r="T543" s="104">
        <f t="shared" si="1330"/>
        <v>29589.5</v>
      </c>
      <c r="U543" s="314">
        <f t="shared" si="1331"/>
        <v>29589.5</v>
      </c>
      <c r="V543" s="104">
        <f t="shared" si="1332"/>
        <v>29549.5</v>
      </c>
      <c r="W543" s="314">
        <f t="shared" si="1333"/>
        <v>29549.5</v>
      </c>
      <c r="X543" s="141"/>
      <c r="Y543" s="136"/>
      <c r="Z543" s="142"/>
      <c r="AA543" s="143"/>
      <c r="AB543" s="420">
        <v>659</v>
      </c>
    </row>
    <row r="544" spans="1:28" ht="12" customHeight="1" x14ac:dyDescent="0.2">
      <c r="A544" s="4"/>
      <c r="B544" s="809" t="s">
        <v>772</v>
      </c>
      <c r="C544" s="810"/>
      <c r="D544" s="810"/>
      <c r="E544" s="811"/>
      <c r="F544" s="393">
        <f>13.1*X2</f>
        <v>13453.699999999999</v>
      </c>
      <c r="G544" s="294">
        <f t="shared" si="1337"/>
        <v>13453.699999999999</v>
      </c>
      <c r="H544" s="103">
        <f t="shared" si="1318"/>
        <v>17453.699999999997</v>
      </c>
      <c r="I544" s="328">
        <f t="shared" si="1319"/>
        <v>17453.699999999997</v>
      </c>
      <c r="J544" s="103">
        <f t="shared" si="1320"/>
        <v>14263.699999999999</v>
      </c>
      <c r="K544" s="328">
        <f t="shared" si="1321"/>
        <v>14263.699999999999</v>
      </c>
      <c r="L544" s="103">
        <f t="shared" si="1322"/>
        <v>13953.699999999999</v>
      </c>
      <c r="M544" s="328">
        <f t="shared" si="1323"/>
        <v>13953.699999999999</v>
      </c>
      <c r="N544" s="103">
        <f t="shared" si="1324"/>
        <v>13883.699999999999</v>
      </c>
      <c r="O544" s="328">
        <f t="shared" si="1325"/>
        <v>13883.699999999999</v>
      </c>
      <c r="P544" s="103">
        <f t="shared" si="1326"/>
        <v>13843.699999999999</v>
      </c>
      <c r="Q544" s="328">
        <f t="shared" si="1327"/>
        <v>13843.699999999999</v>
      </c>
      <c r="R544" s="103">
        <f t="shared" si="1328"/>
        <v>13813.699999999999</v>
      </c>
      <c r="S544" s="328">
        <f t="shared" si="1329"/>
        <v>13813.699999999999</v>
      </c>
      <c r="T544" s="103">
        <f t="shared" si="1330"/>
        <v>13773.699999999999</v>
      </c>
      <c r="U544" s="328">
        <f t="shared" si="1331"/>
        <v>13773.699999999999</v>
      </c>
      <c r="V544" s="103">
        <f t="shared" si="1332"/>
        <v>13733.699999999999</v>
      </c>
      <c r="W544" s="328">
        <f t="shared" si="1333"/>
        <v>13733.699999999999</v>
      </c>
      <c r="X544" s="141"/>
      <c r="Y544" s="136"/>
      <c r="Z544" s="142"/>
      <c r="AA544" s="143"/>
      <c r="AB544" s="420">
        <v>660</v>
      </c>
    </row>
    <row r="545" spans="1:34" ht="12" customHeight="1" x14ac:dyDescent="0.2">
      <c r="A545" s="4"/>
      <c r="B545" s="805" t="s">
        <v>624</v>
      </c>
      <c r="C545" s="806"/>
      <c r="D545" s="806"/>
      <c r="E545" s="807"/>
      <c r="F545" s="340">
        <v>32663</v>
      </c>
      <c r="G545" s="293">
        <f t="shared" ref="G545:G552" si="1338">+F545*$X$1</f>
        <v>32663</v>
      </c>
      <c r="H545" s="104"/>
      <c r="I545" s="314"/>
      <c r="J545" s="104">
        <f t="shared" ref="J545:J546" si="1339">F545+810</f>
        <v>33473</v>
      </c>
      <c r="K545" s="314">
        <f t="shared" si="1304"/>
        <v>33473</v>
      </c>
      <c r="L545" s="104">
        <f t="shared" ref="L545:L546" si="1340">F545+500</f>
        <v>33163</v>
      </c>
      <c r="M545" s="314">
        <f t="shared" si="1306"/>
        <v>33163</v>
      </c>
      <c r="N545" s="104">
        <f t="shared" ref="N545:N546" si="1341">F545+430</f>
        <v>33093</v>
      </c>
      <c r="O545" s="314">
        <f t="shared" si="1308"/>
        <v>33093</v>
      </c>
      <c r="P545" s="104">
        <f t="shared" ref="P545:P546" si="1342">F545+390</f>
        <v>33053</v>
      </c>
      <c r="Q545" s="314">
        <f t="shared" si="1310"/>
        <v>33053</v>
      </c>
      <c r="R545" s="104">
        <f t="shared" ref="R545:R546" si="1343">F545+360</f>
        <v>33023</v>
      </c>
      <c r="S545" s="314">
        <f t="shared" si="1312"/>
        <v>33023</v>
      </c>
      <c r="T545" s="104">
        <f t="shared" ref="T545:T546" si="1344">F545+320</f>
        <v>32983</v>
      </c>
      <c r="U545" s="314">
        <f t="shared" si="1314"/>
        <v>32983</v>
      </c>
      <c r="V545" s="104">
        <f t="shared" ref="V545:V546" si="1345">F545+280</f>
        <v>32943</v>
      </c>
      <c r="W545" s="314">
        <f t="shared" si="1316"/>
        <v>32943</v>
      </c>
      <c r="X545" s="141"/>
      <c r="Y545" s="136"/>
      <c r="Z545" s="142"/>
      <c r="AA545" s="143"/>
      <c r="AB545" s="420">
        <v>664</v>
      </c>
    </row>
    <row r="546" spans="1:34" ht="12" customHeight="1" x14ac:dyDescent="0.2">
      <c r="A546" s="4"/>
      <c r="B546" s="809" t="s">
        <v>794</v>
      </c>
      <c r="C546" s="810"/>
      <c r="D546" s="810"/>
      <c r="E546" s="811"/>
      <c r="F546" s="393">
        <f>18.4*X2</f>
        <v>18896.8</v>
      </c>
      <c r="G546" s="294">
        <f t="shared" si="1338"/>
        <v>18896.8</v>
      </c>
      <c r="H546" s="103">
        <f t="shared" ref="H546" si="1346">F546+4000</f>
        <v>22896.799999999999</v>
      </c>
      <c r="I546" s="328">
        <f t="shared" ref="I546" si="1347">+H546*$X$1</f>
        <v>22896.799999999999</v>
      </c>
      <c r="J546" s="103">
        <f t="shared" si="1339"/>
        <v>19706.8</v>
      </c>
      <c r="K546" s="328">
        <f t="shared" si="1304"/>
        <v>19706.8</v>
      </c>
      <c r="L546" s="103">
        <f t="shared" si="1340"/>
        <v>19396.8</v>
      </c>
      <c r="M546" s="328">
        <f t="shared" si="1306"/>
        <v>19396.8</v>
      </c>
      <c r="N546" s="103">
        <f t="shared" si="1341"/>
        <v>19326.8</v>
      </c>
      <c r="O546" s="328">
        <f t="shared" si="1308"/>
        <v>19326.8</v>
      </c>
      <c r="P546" s="103">
        <f t="shared" si="1342"/>
        <v>19286.8</v>
      </c>
      <c r="Q546" s="328">
        <f t="shared" si="1310"/>
        <v>19286.8</v>
      </c>
      <c r="R546" s="103">
        <f t="shared" si="1343"/>
        <v>19256.8</v>
      </c>
      <c r="S546" s="328">
        <f t="shared" si="1312"/>
        <v>19256.8</v>
      </c>
      <c r="T546" s="103">
        <f t="shared" si="1344"/>
        <v>19216.8</v>
      </c>
      <c r="U546" s="328">
        <f t="shared" si="1314"/>
        <v>19216.8</v>
      </c>
      <c r="V546" s="103">
        <f t="shared" si="1345"/>
        <v>19176.8</v>
      </c>
      <c r="W546" s="328">
        <f t="shared" si="1316"/>
        <v>19176.8</v>
      </c>
      <c r="X546" s="141"/>
      <c r="Y546" s="136"/>
      <c r="Z546" s="142"/>
      <c r="AA546" s="143"/>
      <c r="AB546" s="420">
        <v>667</v>
      </c>
    </row>
    <row r="547" spans="1:34" ht="12" customHeight="1" x14ac:dyDescent="0.2">
      <c r="A547" s="4"/>
      <c r="B547" s="805" t="s">
        <v>793</v>
      </c>
      <c r="C547" s="806"/>
      <c r="D547" s="806"/>
      <c r="E547" s="807"/>
      <c r="F547" s="392">
        <f>15*X2</f>
        <v>15405</v>
      </c>
      <c r="G547" s="293">
        <f t="shared" ref="G547:G549" si="1348">+F547*$X$1</f>
        <v>15405</v>
      </c>
      <c r="H547" s="104">
        <f t="shared" ref="H547:H556" si="1349">F547+4000</f>
        <v>19405</v>
      </c>
      <c r="I547" s="314">
        <f t="shared" ref="I547:I556" si="1350">+H547*$X$1</f>
        <v>19405</v>
      </c>
      <c r="J547" s="104">
        <f t="shared" ref="J547:J556" si="1351">F547+810</f>
        <v>16215</v>
      </c>
      <c r="K547" s="314">
        <f t="shared" ref="K547:K556" si="1352">+J547*$X$1</f>
        <v>16215</v>
      </c>
      <c r="L547" s="104">
        <f t="shared" ref="L547:L556" si="1353">F547+500</f>
        <v>15905</v>
      </c>
      <c r="M547" s="314">
        <f t="shared" ref="M547:M556" si="1354">+L547*$X$1</f>
        <v>15905</v>
      </c>
      <c r="N547" s="104">
        <f t="shared" ref="N547:N556" si="1355">F547+430</f>
        <v>15835</v>
      </c>
      <c r="O547" s="314">
        <f t="shared" ref="O547:O556" si="1356">+N547*$X$1</f>
        <v>15835</v>
      </c>
      <c r="P547" s="104">
        <f t="shared" ref="P547:P556" si="1357">F547+390</f>
        <v>15795</v>
      </c>
      <c r="Q547" s="314">
        <f t="shared" ref="Q547:Q556" si="1358">+P547*$X$1</f>
        <v>15795</v>
      </c>
      <c r="R547" s="104">
        <f t="shared" ref="R547:R556" si="1359">F547+360</f>
        <v>15765</v>
      </c>
      <c r="S547" s="314">
        <f t="shared" ref="S547:S556" si="1360">+R547*$X$1</f>
        <v>15765</v>
      </c>
      <c r="T547" s="104">
        <f t="shared" ref="T547:T556" si="1361">F547+320</f>
        <v>15725</v>
      </c>
      <c r="U547" s="314">
        <f t="shared" ref="U547:U556" si="1362">+T547*$X$1</f>
        <v>15725</v>
      </c>
      <c r="V547" s="104">
        <f t="shared" ref="V547:V556" si="1363">F547+280</f>
        <v>15685</v>
      </c>
      <c r="W547" s="314">
        <f t="shared" ref="W547:W556" si="1364">+V547*$X$1</f>
        <v>15685</v>
      </c>
      <c r="X547" s="141"/>
      <c r="Y547" s="136"/>
      <c r="Z547" s="142"/>
      <c r="AA547" s="143"/>
      <c r="AB547" s="420">
        <v>668</v>
      </c>
    </row>
    <row r="548" spans="1:34" ht="12" customHeight="1" x14ac:dyDescent="0.2">
      <c r="A548" s="4"/>
      <c r="B548" s="809" t="s">
        <v>875</v>
      </c>
      <c r="C548" s="810"/>
      <c r="D548" s="810"/>
      <c r="E548" s="811"/>
      <c r="F548" s="393">
        <f>15.28*X2</f>
        <v>15692.56</v>
      </c>
      <c r="G548" s="294">
        <f t="shared" si="1348"/>
        <v>15692.56</v>
      </c>
      <c r="H548" s="103">
        <f t="shared" si="1349"/>
        <v>19692.559999999998</v>
      </c>
      <c r="I548" s="328">
        <f t="shared" si="1350"/>
        <v>19692.559999999998</v>
      </c>
      <c r="J548" s="103">
        <f t="shared" si="1351"/>
        <v>16502.559999999998</v>
      </c>
      <c r="K548" s="328">
        <f t="shared" si="1352"/>
        <v>16502.559999999998</v>
      </c>
      <c r="L548" s="103">
        <f t="shared" si="1353"/>
        <v>16192.56</v>
      </c>
      <c r="M548" s="328">
        <f t="shared" si="1354"/>
        <v>16192.56</v>
      </c>
      <c r="N548" s="103">
        <f t="shared" si="1355"/>
        <v>16122.56</v>
      </c>
      <c r="O548" s="328">
        <f t="shared" si="1356"/>
        <v>16122.56</v>
      </c>
      <c r="P548" s="103">
        <f t="shared" si="1357"/>
        <v>16082.56</v>
      </c>
      <c r="Q548" s="328">
        <f t="shared" si="1358"/>
        <v>16082.56</v>
      </c>
      <c r="R548" s="103">
        <f t="shared" si="1359"/>
        <v>16052.56</v>
      </c>
      <c r="S548" s="328">
        <f t="shared" si="1360"/>
        <v>16052.56</v>
      </c>
      <c r="T548" s="103">
        <f t="shared" si="1361"/>
        <v>16012.56</v>
      </c>
      <c r="U548" s="328">
        <f t="shared" si="1362"/>
        <v>16012.56</v>
      </c>
      <c r="V548" s="103">
        <f t="shared" si="1363"/>
        <v>15972.56</v>
      </c>
      <c r="W548" s="328">
        <f t="shared" si="1364"/>
        <v>15972.56</v>
      </c>
      <c r="X548" s="141"/>
      <c r="Y548" s="136"/>
      <c r="Z548" s="142"/>
      <c r="AA548" s="143"/>
      <c r="AB548" s="197">
        <v>675</v>
      </c>
    </row>
    <row r="549" spans="1:34" ht="12" customHeight="1" x14ac:dyDescent="0.2">
      <c r="A549" s="4"/>
      <c r="B549" s="800" t="s">
        <v>920</v>
      </c>
      <c r="C549" s="801"/>
      <c r="D549" s="801"/>
      <c r="E549" s="802"/>
      <c r="F549" s="392">
        <f>12.72*X2</f>
        <v>13063.44</v>
      </c>
      <c r="G549" s="293">
        <f t="shared" si="1348"/>
        <v>13063.44</v>
      </c>
      <c r="H549" s="104">
        <f t="shared" si="1349"/>
        <v>17063.440000000002</v>
      </c>
      <c r="I549" s="314">
        <f t="shared" si="1350"/>
        <v>17063.440000000002</v>
      </c>
      <c r="J549" s="104">
        <f t="shared" si="1351"/>
        <v>13873.44</v>
      </c>
      <c r="K549" s="314">
        <f t="shared" si="1352"/>
        <v>13873.44</v>
      </c>
      <c r="L549" s="104">
        <f t="shared" si="1353"/>
        <v>13563.44</v>
      </c>
      <c r="M549" s="314">
        <f t="shared" si="1354"/>
        <v>13563.44</v>
      </c>
      <c r="N549" s="104">
        <f t="shared" si="1355"/>
        <v>13493.44</v>
      </c>
      <c r="O549" s="314">
        <f t="shared" si="1356"/>
        <v>13493.44</v>
      </c>
      <c r="P549" s="104">
        <f t="shared" si="1357"/>
        <v>13453.44</v>
      </c>
      <c r="Q549" s="314">
        <f t="shared" si="1358"/>
        <v>13453.44</v>
      </c>
      <c r="R549" s="104">
        <f t="shared" si="1359"/>
        <v>13423.44</v>
      </c>
      <c r="S549" s="314">
        <f t="shared" si="1360"/>
        <v>13423.44</v>
      </c>
      <c r="T549" s="104">
        <f t="shared" si="1361"/>
        <v>13383.44</v>
      </c>
      <c r="U549" s="314">
        <f t="shared" si="1362"/>
        <v>13383.44</v>
      </c>
      <c r="V549" s="104">
        <f t="shared" si="1363"/>
        <v>13343.44</v>
      </c>
      <c r="W549" s="314">
        <f t="shared" si="1364"/>
        <v>13343.44</v>
      </c>
      <c r="X549" s="141"/>
      <c r="Y549" s="136"/>
      <c r="Z549" s="142"/>
      <c r="AA549" s="143"/>
      <c r="AB549" s="197">
        <v>682</v>
      </c>
    </row>
    <row r="550" spans="1:34" ht="12" customHeight="1" x14ac:dyDescent="0.2">
      <c r="A550" s="4"/>
      <c r="B550" s="809" t="s">
        <v>542</v>
      </c>
      <c r="C550" s="810"/>
      <c r="D550" s="810"/>
      <c r="E550" s="811"/>
      <c r="F550" s="393">
        <f>10.4*X2</f>
        <v>10680.800000000001</v>
      </c>
      <c r="G550" s="294">
        <f t="shared" si="1338"/>
        <v>10680.800000000001</v>
      </c>
      <c r="H550" s="103">
        <f t="shared" si="1349"/>
        <v>14680.800000000001</v>
      </c>
      <c r="I550" s="328">
        <f t="shared" si="1350"/>
        <v>14680.800000000001</v>
      </c>
      <c r="J550" s="103">
        <f t="shared" si="1351"/>
        <v>11490.800000000001</v>
      </c>
      <c r="K550" s="328">
        <f t="shared" si="1352"/>
        <v>11490.800000000001</v>
      </c>
      <c r="L550" s="103">
        <f t="shared" si="1353"/>
        <v>11180.800000000001</v>
      </c>
      <c r="M550" s="328">
        <f t="shared" si="1354"/>
        <v>11180.800000000001</v>
      </c>
      <c r="N550" s="103">
        <f t="shared" si="1355"/>
        <v>11110.800000000001</v>
      </c>
      <c r="O550" s="328">
        <f t="shared" si="1356"/>
        <v>11110.800000000001</v>
      </c>
      <c r="P550" s="103">
        <f t="shared" si="1357"/>
        <v>11070.800000000001</v>
      </c>
      <c r="Q550" s="328">
        <f t="shared" si="1358"/>
        <v>11070.800000000001</v>
      </c>
      <c r="R550" s="103">
        <f t="shared" si="1359"/>
        <v>11040.800000000001</v>
      </c>
      <c r="S550" s="328">
        <f t="shared" si="1360"/>
        <v>11040.800000000001</v>
      </c>
      <c r="T550" s="103">
        <f t="shared" si="1361"/>
        <v>11000.800000000001</v>
      </c>
      <c r="U550" s="328">
        <f t="shared" si="1362"/>
        <v>11000.800000000001</v>
      </c>
      <c r="V550" s="103">
        <f t="shared" si="1363"/>
        <v>10960.800000000001</v>
      </c>
      <c r="W550" s="328">
        <f t="shared" si="1364"/>
        <v>10960.800000000001</v>
      </c>
      <c r="X550" s="141"/>
      <c r="Y550" s="136"/>
      <c r="Z550" s="142"/>
      <c r="AA550" s="143"/>
      <c r="AB550" s="197">
        <v>686</v>
      </c>
    </row>
    <row r="551" spans="1:34" ht="12" customHeight="1" x14ac:dyDescent="0.2">
      <c r="A551" s="4"/>
      <c r="B551" s="805" t="s">
        <v>582</v>
      </c>
      <c r="C551" s="806"/>
      <c r="D551" s="806"/>
      <c r="E551" s="807"/>
      <c r="F551" s="395">
        <f>32*X2</f>
        <v>32864</v>
      </c>
      <c r="G551" s="293">
        <f t="shared" si="1338"/>
        <v>32864</v>
      </c>
      <c r="H551" s="104">
        <f t="shared" si="1349"/>
        <v>36864</v>
      </c>
      <c r="I551" s="314">
        <f t="shared" si="1350"/>
        <v>36864</v>
      </c>
      <c r="J551" s="104">
        <f t="shared" si="1351"/>
        <v>33674</v>
      </c>
      <c r="K551" s="314">
        <f t="shared" si="1352"/>
        <v>33674</v>
      </c>
      <c r="L551" s="104">
        <f t="shared" si="1353"/>
        <v>33364</v>
      </c>
      <c r="M551" s="314">
        <f t="shared" si="1354"/>
        <v>33364</v>
      </c>
      <c r="N551" s="104">
        <f t="shared" si="1355"/>
        <v>33294</v>
      </c>
      <c r="O551" s="314">
        <f t="shared" si="1356"/>
        <v>33294</v>
      </c>
      <c r="P551" s="104">
        <f t="shared" si="1357"/>
        <v>33254</v>
      </c>
      <c r="Q551" s="314">
        <f t="shared" si="1358"/>
        <v>33254</v>
      </c>
      <c r="R551" s="104">
        <f t="shared" si="1359"/>
        <v>33224</v>
      </c>
      <c r="S551" s="314">
        <f t="shared" si="1360"/>
        <v>33224</v>
      </c>
      <c r="T551" s="104">
        <f t="shared" si="1361"/>
        <v>33184</v>
      </c>
      <c r="U551" s="314">
        <f t="shared" si="1362"/>
        <v>33184</v>
      </c>
      <c r="V551" s="104">
        <f t="shared" si="1363"/>
        <v>33144</v>
      </c>
      <c r="W551" s="314">
        <f t="shared" si="1364"/>
        <v>33144</v>
      </c>
      <c r="X551" s="141"/>
      <c r="Y551" s="136"/>
      <c r="Z551" s="142"/>
      <c r="AA551" s="143"/>
      <c r="AB551" s="420">
        <v>687</v>
      </c>
    </row>
    <row r="552" spans="1:34" ht="12" customHeight="1" x14ac:dyDescent="0.2">
      <c r="A552" s="4"/>
      <c r="B552" s="809" t="s">
        <v>773</v>
      </c>
      <c r="C552" s="810"/>
      <c r="D552" s="810"/>
      <c r="E552" s="811"/>
      <c r="F552" s="394">
        <f>17.8*X2</f>
        <v>18280.600000000002</v>
      </c>
      <c r="G552" s="294">
        <f t="shared" si="1338"/>
        <v>18280.600000000002</v>
      </c>
      <c r="H552" s="103">
        <f t="shared" si="1349"/>
        <v>22280.600000000002</v>
      </c>
      <c r="I552" s="328">
        <f t="shared" si="1350"/>
        <v>22280.600000000002</v>
      </c>
      <c r="J552" s="103">
        <f t="shared" si="1351"/>
        <v>19090.600000000002</v>
      </c>
      <c r="K552" s="328">
        <f t="shared" si="1352"/>
        <v>19090.600000000002</v>
      </c>
      <c r="L552" s="103">
        <f t="shared" si="1353"/>
        <v>18780.600000000002</v>
      </c>
      <c r="M552" s="328">
        <f t="shared" si="1354"/>
        <v>18780.600000000002</v>
      </c>
      <c r="N552" s="103">
        <f t="shared" si="1355"/>
        <v>18710.600000000002</v>
      </c>
      <c r="O552" s="328">
        <f t="shared" si="1356"/>
        <v>18710.600000000002</v>
      </c>
      <c r="P552" s="103">
        <f t="shared" si="1357"/>
        <v>18670.600000000002</v>
      </c>
      <c r="Q552" s="328">
        <f t="shared" si="1358"/>
        <v>18670.600000000002</v>
      </c>
      <c r="R552" s="103">
        <f t="shared" si="1359"/>
        <v>18640.600000000002</v>
      </c>
      <c r="S552" s="328">
        <f t="shared" si="1360"/>
        <v>18640.600000000002</v>
      </c>
      <c r="T552" s="103">
        <f t="shared" si="1361"/>
        <v>18600.600000000002</v>
      </c>
      <c r="U552" s="328">
        <f t="shared" si="1362"/>
        <v>18600.600000000002</v>
      </c>
      <c r="V552" s="103">
        <f t="shared" si="1363"/>
        <v>18560.600000000002</v>
      </c>
      <c r="W552" s="328">
        <f t="shared" si="1364"/>
        <v>18560.600000000002</v>
      </c>
      <c r="X552" s="141"/>
      <c r="Y552" s="136"/>
      <c r="Z552" s="142"/>
      <c r="AA552" s="143"/>
      <c r="AB552" s="420">
        <v>694</v>
      </c>
    </row>
    <row r="553" spans="1:34" ht="12" customHeight="1" x14ac:dyDescent="0.2">
      <c r="A553" s="4"/>
      <c r="B553" s="805" t="s">
        <v>922</v>
      </c>
      <c r="C553" s="806"/>
      <c r="D553" s="806"/>
      <c r="E553" s="807"/>
      <c r="F553" s="395">
        <f>15.7*X2</f>
        <v>16123.9</v>
      </c>
      <c r="G553" s="293">
        <f t="shared" ref="G553" si="1365">+F553*$X$1</f>
        <v>16123.9</v>
      </c>
      <c r="H553" s="104">
        <f t="shared" si="1349"/>
        <v>20123.900000000001</v>
      </c>
      <c r="I553" s="314">
        <f t="shared" si="1350"/>
        <v>20123.900000000001</v>
      </c>
      <c r="J553" s="104">
        <f t="shared" si="1351"/>
        <v>16933.900000000001</v>
      </c>
      <c r="K553" s="314">
        <f t="shared" si="1352"/>
        <v>16933.900000000001</v>
      </c>
      <c r="L553" s="104">
        <f t="shared" si="1353"/>
        <v>16623.900000000001</v>
      </c>
      <c r="M553" s="314">
        <f t="shared" si="1354"/>
        <v>16623.900000000001</v>
      </c>
      <c r="N553" s="104">
        <f t="shared" si="1355"/>
        <v>16553.900000000001</v>
      </c>
      <c r="O553" s="314">
        <f t="shared" si="1356"/>
        <v>16553.900000000001</v>
      </c>
      <c r="P553" s="104">
        <f t="shared" si="1357"/>
        <v>16513.900000000001</v>
      </c>
      <c r="Q553" s="314">
        <f t="shared" si="1358"/>
        <v>16513.900000000001</v>
      </c>
      <c r="R553" s="104">
        <f t="shared" si="1359"/>
        <v>16483.900000000001</v>
      </c>
      <c r="S553" s="314">
        <f t="shared" si="1360"/>
        <v>16483.900000000001</v>
      </c>
      <c r="T553" s="104">
        <f t="shared" si="1361"/>
        <v>16443.900000000001</v>
      </c>
      <c r="U553" s="314">
        <f t="shared" si="1362"/>
        <v>16443.900000000001</v>
      </c>
      <c r="V553" s="104">
        <f t="shared" si="1363"/>
        <v>16403.900000000001</v>
      </c>
      <c r="W553" s="314">
        <f t="shared" si="1364"/>
        <v>16403.900000000001</v>
      </c>
      <c r="X553" s="141"/>
      <c r="Y553" s="136"/>
      <c r="Z553" s="142"/>
      <c r="AA553" s="143"/>
      <c r="AB553" s="420">
        <v>696</v>
      </c>
    </row>
    <row r="554" spans="1:34" ht="12" customHeight="1" x14ac:dyDescent="0.2">
      <c r="A554" s="4"/>
      <c r="B554" s="809" t="s">
        <v>774</v>
      </c>
      <c r="C554" s="810"/>
      <c r="D554" s="810"/>
      <c r="E554" s="811"/>
      <c r="F554" s="393">
        <f>37.5*X2</f>
        <v>38512.5</v>
      </c>
      <c r="G554" s="294">
        <f t="shared" ref="G554" si="1366">+F554*$X$1</f>
        <v>38512.5</v>
      </c>
      <c r="H554" s="103">
        <f t="shared" si="1349"/>
        <v>42512.5</v>
      </c>
      <c r="I554" s="328">
        <f t="shared" si="1350"/>
        <v>42512.5</v>
      </c>
      <c r="J554" s="103">
        <f t="shared" si="1351"/>
        <v>39322.5</v>
      </c>
      <c r="K554" s="328">
        <f t="shared" si="1352"/>
        <v>39322.5</v>
      </c>
      <c r="L554" s="103">
        <f t="shared" si="1353"/>
        <v>39012.5</v>
      </c>
      <c r="M554" s="328">
        <f t="shared" si="1354"/>
        <v>39012.5</v>
      </c>
      <c r="N554" s="103">
        <f t="shared" si="1355"/>
        <v>38942.5</v>
      </c>
      <c r="O554" s="328">
        <f t="shared" si="1356"/>
        <v>38942.5</v>
      </c>
      <c r="P554" s="103">
        <f t="shared" si="1357"/>
        <v>38902.5</v>
      </c>
      <c r="Q554" s="328">
        <f t="shared" si="1358"/>
        <v>38902.5</v>
      </c>
      <c r="R554" s="103">
        <f t="shared" si="1359"/>
        <v>38872.5</v>
      </c>
      <c r="S554" s="328">
        <f t="shared" si="1360"/>
        <v>38872.5</v>
      </c>
      <c r="T554" s="103">
        <f t="shared" si="1361"/>
        <v>38832.5</v>
      </c>
      <c r="U554" s="328">
        <f t="shared" si="1362"/>
        <v>38832.5</v>
      </c>
      <c r="V554" s="103">
        <f t="shared" si="1363"/>
        <v>38792.5</v>
      </c>
      <c r="W554" s="328">
        <f t="shared" si="1364"/>
        <v>38792.5</v>
      </c>
      <c r="X554" s="141"/>
      <c r="Y554" s="136"/>
      <c r="Z554" s="142"/>
      <c r="AA554" s="143"/>
      <c r="AB554" s="420">
        <v>698</v>
      </c>
    </row>
    <row r="555" spans="1:34" ht="12" customHeight="1" x14ac:dyDescent="0.2">
      <c r="A555" s="4"/>
      <c r="B555" s="800" t="s">
        <v>925</v>
      </c>
      <c r="C555" s="801"/>
      <c r="D555" s="801"/>
      <c r="E555" s="802"/>
      <c r="F555" s="392">
        <f>28.2*X2</f>
        <v>28961.399999999998</v>
      </c>
      <c r="G555" s="293">
        <f>+F555*$X$1</f>
        <v>28961.399999999998</v>
      </c>
      <c r="H555" s="104">
        <f t="shared" si="1349"/>
        <v>32961.399999999994</v>
      </c>
      <c r="I555" s="314">
        <f t="shared" si="1350"/>
        <v>32961.399999999994</v>
      </c>
      <c r="J555" s="104">
        <f t="shared" si="1351"/>
        <v>29771.399999999998</v>
      </c>
      <c r="K555" s="314">
        <f t="shared" si="1352"/>
        <v>29771.399999999998</v>
      </c>
      <c r="L555" s="104">
        <f t="shared" si="1353"/>
        <v>29461.399999999998</v>
      </c>
      <c r="M555" s="314">
        <f t="shared" si="1354"/>
        <v>29461.399999999998</v>
      </c>
      <c r="N555" s="104">
        <f t="shared" si="1355"/>
        <v>29391.399999999998</v>
      </c>
      <c r="O555" s="314">
        <f t="shared" si="1356"/>
        <v>29391.399999999998</v>
      </c>
      <c r="P555" s="104">
        <f t="shared" si="1357"/>
        <v>29351.399999999998</v>
      </c>
      <c r="Q555" s="314">
        <f t="shared" si="1358"/>
        <v>29351.399999999998</v>
      </c>
      <c r="R555" s="104">
        <f t="shared" si="1359"/>
        <v>29321.399999999998</v>
      </c>
      <c r="S555" s="314">
        <f t="shared" si="1360"/>
        <v>29321.399999999998</v>
      </c>
      <c r="T555" s="104">
        <f t="shared" si="1361"/>
        <v>29281.399999999998</v>
      </c>
      <c r="U555" s="314">
        <f t="shared" si="1362"/>
        <v>29281.399999999998</v>
      </c>
      <c r="V555" s="104">
        <f t="shared" si="1363"/>
        <v>29241.399999999998</v>
      </c>
      <c r="W555" s="314">
        <f t="shared" si="1364"/>
        <v>29241.399999999998</v>
      </c>
      <c r="X555" s="141"/>
      <c r="Y555" s="136"/>
      <c r="Z555" s="142"/>
      <c r="AA555" s="143"/>
      <c r="AB555" s="420">
        <v>708</v>
      </c>
    </row>
    <row r="556" spans="1:34" ht="12" customHeight="1" x14ac:dyDescent="0.2">
      <c r="A556" s="4"/>
      <c r="B556" s="809" t="s">
        <v>617</v>
      </c>
      <c r="C556" s="810"/>
      <c r="D556" s="810"/>
      <c r="E556" s="811"/>
      <c r="F556" s="393">
        <f>54*X2</f>
        <v>55458</v>
      </c>
      <c r="G556" s="294">
        <f>+F556*$X$1</f>
        <v>55458</v>
      </c>
      <c r="H556" s="103">
        <f t="shared" si="1349"/>
        <v>59458</v>
      </c>
      <c r="I556" s="328">
        <f t="shared" si="1350"/>
        <v>59458</v>
      </c>
      <c r="J556" s="103">
        <f t="shared" si="1351"/>
        <v>56268</v>
      </c>
      <c r="K556" s="328">
        <f t="shared" si="1352"/>
        <v>56268</v>
      </c>
      <c r="L556" s="103">
        <f t="shared" si="1353"/>
        <v>55958</v>
      </c>
      <c r="M556" s="328">
        <f t="shared" si="1354"/>
        <v>55958</v>
      </c>
      <c r="N556" s="103">
        <f t="shared" si="1355"/>
        <v>55888</v>
      </c>
      <c r="O556" s="328">
        <f t="shared" si="1356"/>
        <v>55888</v>
      </c>
      <c r="P556" s="103">
        <f t="shared" si="1357"/>
        <v>55848</v>
      </c>
      <c r="Q556" s="328">
        <f t="shared" si="1358"/>
        <v>55848</v>
      </c>
      <c r="R556" s="103">
        <f t="shared" si="1359"/>
        <v>55818</v>
      </c>
      <c r="S556" s="328">
        <f t="shared" si="1360"/>
        <v>55818</v>
      </c>
      <c r="T556" s="103">
        <f t="shared" si="1361"/>
        <v>55778</v>
      </c>
      <c r="U556" s="328">
        <f t="shared" si="1362"/>
        <v>55778</v>
      </c>
      <c r="V556" s="103">
        <f t="shared" si="1363"/>
        <v>55738</v>
      </c>
      <c r="W556" s="328">
        <f t="shared" si="1364"/>
        <v>55738</v>
      </c>
      <c r="X556" s="141"/>
      <c r="Y556" s="136"/>
      <c r="Z556" s="142"/>
      <c r="AA556" s="143"/>
      <c r="AB556" s="420">
        <v>710</v>
      </c>
    </row>
    <row r="557" spans="1:34" ht="12" customHeight="1" x14ac:dyDescent="0.2">
      <c r="A557" s="76"/>
      <c r="B557" s="109"/>
      <c r="C557" s="344"/>
      <c r="D557" s="344"/>
      <c r="E557" s="344"/>
      <c r="F557" s="345"/>
      <c r="G557" s="345"/>
      <c r="H557" s="118"/>
      <c r="I557" s="345"/>
      <c r="J557" s="118"/>
      <c r="K557" s="345"/>
      <c r="L557" s="118"/>
      <c r="M557" s="345"/>
      <c r="N557" s="118"/>
      <c r="O557" s="345"/>
      <c r="P557" s="118"/>
      <c r="Q557" s="345"/>
      <c r="R557" s="118"/>
      <c r="S557" s="345"/>
      <c r="T557" s="118"/>
      <c r="U557" s="345"/>
      <c r="V557" s="118"/>
      <c r="W557" s="345"/>
      <c r="X557" s="205"/>
      <c r="Y557" s="76"/>
      <c r="Z557" s="206"/>
      <c r="AA557" s="206"/>
      <c r="AB557" s="207"/>
    </row>
    <row r="558" spans="1:34" ht="12" customHeight="1" x14ac:dyDescent="0.2">
      <c r="A558" s="76"/>
      <c r="B558" s="109"/>
      <c r="C558" s="635"/>
      <c r="D558" s="635"/>
      <c r="E558" s="635"/>
      <c r="F558" s="345"/>
      <c r="G558" s="345"/>
      <c r="H558" s="118"/>
      <c r="I558" s="345"/>
      <c r="J558" s="118"/>
      <c r="K558" s="345"/>
      <c r="L558" s="118"/>
      <c r="M558" s="345"/>
      <c r="N558" s="118"/>
      <c r="O558" s="345"/>
      <c r="P558" s="118"/>
      <c r="Q558" s="345"/>
      <c r="R558" s="118"/>
      <c r="S558" s="345"/>
      <c r="T558" s="118"/>
      <c r="U558" s="345"/>
      <c r="V558" s="118"/>
      <c r="W558" s="345"/>
      <c r="X558" s="205"/>
      <c r="Y558" s="76"/>
      <c r="Z558" s="206"/>
      <c r="AA558" s="206"/>
      <c r="AB558" s="207"/>
    </row>
    <row r="559" spans="1:34" ht="12" customHeight="1" x14ac:dyDescent="0.2">
      <c r="A559" s="76"/>
      <c r="B559" s="109"/>
      <c r="C559" s="592"/>
      <c r="D559" s="592"/>
      <c r="E559" s="592"/>
      <c r="F559" s="345"/>
      <c r="G559" s="345"/>
      <c r="H559" s="118"/>
      <c r="I559" s="345"/>
      <c r="J559" s="118"/>
      <c r="K559" s="345"/>
      <c r="L559" s="118"/>
      <c r="M559" s="345"/>
      <c r="N559" s="118"/>
      <c r="O559" s="345"/>
      <c r="P559" s="118"/>
      <c r="Q559" s="345"/>
      <c r="R559" s="118"/>
      <c r="S559" s="345"/>
      <c r="T559" s="118"/>
      <c r="U559" s="345"/>
      <c r="V559" s="118"/>
      <c r="W559" s="345"/>
      <c r="X559" s="205"/>
      <c r="Y559" s="76"/>
      <c r="Z559" s="206"/>
      <c r="AA559" s="206"/>
      <c r="AB559" s="207"/>
    </row>
    <row r="560" spans="1:34" ht="14.25" customHeight="1" x14ac:dyDescent="0.2">
      <c r="B560" s="803" t="s">
        <v>596</v>
      </c>
      <c r="C560" s="804"/>
      <c r="D560" s="804"/>
      <c r="E560" s="804"/>
      <c r="F560" s="804"/>
      <c r="G560" s="804"/>
      <c r="H560" s="804"/>
      <c r="I560" s="804"/>
      <c r="J560" s="804"/>
      <c r="K560" s="804"/>
      <c r="L560" s="804"/>
      <c r="M560" s="804"/>
      <c r="N560" s="804"/>
      <c r="O560" s="804"/>
      <c r="P560" s="804"/>
      <c r="Q560" s="804"/>
      <c r="R560" s="804"/>
      <c r="S560" s="804"/>
      <c r="T560" s="804"/>
      <c r="U560" s="804"/>
      <c r="V560" s="804"/>
      <c r="W560" s="804"/>
      <c r="AB560" s="4"/>
      <c r="AF560" s="777"/>
      <c r="AG560" s="778"/>
      <c r="AH560" s="778"/>
    </row>
    <row r="561" spans="1:34" ht="14.25" customHeight="1" x14ac:dyDescent="0.2">
      <c r="B561" s="812" t="s">
        <v>11</v>
      </c>
      <c r="C561" s="794" t="s">
        <v>12</v>
      </c>
      <c r="D561" s="795"/>
      <c r="E561" s="795"/>
      <c r="F561" s="878" t="s">
        <v>293</v>
      </c>
      <c r="G561" s="878" t="s">
        <v>13</v>
      </c>
      <c r="H561" s="883" t="s">
        <v>846</v>
      </c>
      <c r="I561" s="883"/>
      <c r="J561" s="884"/>
      <c r="K561" s="884"/>
      <c r="L561" s="884"/>
      <c r="M561" s="884"/>
      <c r="N561" s="884"/>
      <c r="O561" s="884"/>
      <c r="P561" s="884"/>
      <c r="Q561" s="884"/>
      <c r="R561" s="884"/>
      <c r="S561" s="884"/>
      <c r="T561" s="884"/>
      <c r="U561" s="884"/>
      <c r="V561" s="884"/>
      <c r="W561" s="885"/>
      <c r="X561" s="771" t="s">
        <v>14</v>
      </c>
      <c r="Y561" s="772"/>
      <c r="Z561" s="772"/>
      <c r="AA561" s="773"/>
      <c r="AB561" s="779" t="s">
        <v>15</v>
      </c>
      <c r="AF561" s="777" t="s">
        <v>3</v>
      </c>
      <c r="AG561" s="778"/>
      <c r="AH561" s="778"/>
    </row>
    <row r="562" spans="1:34" ht="12" customHeight="1" x14ac:dyDescent="0.2">
      <c r="B562" s="813"/>
      <c r="C562" s="796"/>
      <c r="D562" s="796"/>
      <c r="E562" s="796"/>
      <c r="F562" s="879"/>
      <c r="G562" s="879"/>
      <c r="H562" s="520"/>
      <c r="I562" s="521" t="s">
        <v>581</v>
      </c>
      <c r="J562" s="520"/>
      <c r="K562" s="521" t="s">
        <v>294</v>
      </c>
      <c r="L562" s="520"/>
      <c r="M562" s="521" t="s">
        <v>295</v>
      </c>
      <c r="N562" s="520"/>
      <c r="O562" s="521" t="s">
        <v>583</v>
      </c>
      <c r="P562" s="520"/>
      <c r="Q562" s="521" t="s">
        <v>17</v>
      </c>
      <c r="R562" s="520"/>
      <c r="S562" s="521" t="s">
        <v>18</v>
      </c>
      <c r="T562" s="520"/>
      <c r="U562" s="521" t="s">
        <v>19</v>
      </c>
      <c r="V562" s="520"/>
      <c r="W562" s="522" t="s">
        <v>584</v>
      </c>
      <c r="X562" s="774"/>
      <c r="Y562" s="775"/>
      <c r="Z562" s="775"/>
      <c r="AA562" s="776"/>
      <c r="AB562" s="780"/>
    </row>
    <row r="563" spans="1:34" ht="12" customHeight="1" x14ac:dyDescent="0.2">
      <c r="A563" s="4"/>
      <c r="B563" s="809" t="s">
        <v>589</v>
      </c>
      <c r="C563" s="810"/>
      <c r="D563" s="810"/>
      <c r="E563" s="811"/>
      <c r="F563" s="393">
        <f>62.42*X2</f>
        <v>64105.340000000004</v>
      </c>
      <c r="G563" s="294">
        <f t="shared" ref="G563" si="1367">+F563*$X$1</f>
        <v>64105.340000000004</v>
      </c>
      <c r="H563" s="103">
        <f>F563+4000</f>
        <v>68105.34</v>
      </c>
      <c r="I563" s="328">
        <f>+H563*$X$1</f>
        <v>68105.34</v>
      </c>
      <c r="J563" s="103">
        <f>F563+810</f>
        <v>64915.340000000004</v>
      </c>
      <c r="K563" s="328">
        <f>+J563*$X$1</f>
        <v>64915.340000000004</v>
      </c>
      <c r="L563" s="103">
        <f>F563+500</f>
        <v>64605.340000000004</v>
      </c>
      <c r="M563" s="328">
        <f>+L563*$X$1</f>
        <v>64605.340000000004</v>
      </c>
      <c r="N563" s="103">
        <f>F563+430</f>
        <v>64535.340000000004</v>
      </c>
      <c r="O563" s="328">
        <f>+N563*$X$1</f>
        <v>64535.340000000004</v>
      </c>
      <c r="P563" s="103">
        <f>F563+390</f>
        <v>64495.340000000004</v>
      </c>
      <c r="Q563" s="328">
        <f>+P563*$X$1</f>
        <v>64495.340000000004</v>
      </c>
      <c r="R563" s="103">
        <f>F563+360</f>
        <v>64465.340000000004</v>
      </c>
      <c r="S563" s="328">
        <f>+R563*$X$1</f>
        <v>64465.340000000004</v>
      </c>
      <c r="T563" s="103">
        <f>F563+320</f>
        <v>64425.340000000004</v>
      </c>
      <c r="U563" s="328">
        <f>+T563*$X$1</f>
        <v>64425.340000000004</v>
      </c>
      <c r="V563" s="103">
        <f>F563+280</f>
        <v>64385.340000000004</v>
      </c>
      <c r="W563" s="328">
        <f>+V563*$X$1</f>
        <v>64385.340000000004</v>
      </c>
      <c r="X563" s="141"/>
      <c r="Y563" s="136"/>
      <c r="Z563" s="142"/>
      <c r="AA563" s="143"/>
      <c r="AB563" s="420">
        <v>711</v>
      </c>
    </row>
    <row r="564" spans="1:34" ht="12" customHeight="1" x14ac:dyDescent="0.2">
      <c r="A564" s="4"/>
      <c r="B564" s="805" t="s">
        <v>620</v>
      </c>
      <c r="C564" s="806"/>
      <c r="D564" s="806"/>
      <c r="E564" s="807"/>
      <c r="F564" s="392">
        <f>59.1*X2</f>
        <v>60695.700000000004</v>
      </c>
      <c r="G564" s="293">
        <f t="shared" ref="G564" si="1368">+F564*$X$1</f>
        <v>60695.700000000004</v>
      </c>
      <c r="H564" s="104">
        <f t="shared" ref="H564:H574" si="1369">F564+4000</f>
        <v>64695.700000000004</v>
      </c>
      <c r="I564" s="314">
        <f t="shared" ref="I564:I574" si="1370">+H564*$X$1</f>
        <v>64695.700000000004</v>
      </c>
      <c r="J564" s="104">
        <f t="shared" ref="J564:J574" si="1371">F564+810</f>
        <v>61505.700000000004</v>
      </c>
      <c r="K564" s="314">
        <f t="shared" ref="K564:K574" si="1372">+J564*$X$1</f>
        <v>61505.700000000004</v>
      </c>
      <c r="L564" s="104">
        <f t="shared" ref="L564:L574" si="1373">F564+500</f>
        <v>61195.700000000004</v>
      </c>
      <c r="M564" s="314">
        <f t="shared" ref="M564:M574" si="1374">+L564*$X$1</f>
        <v>61195.700000000004</v>
      </c>
      <c r="N564" s="104">
        <f t="shared" ref="N564:N574" si="1375">F564+430</f>
        <v>61125.700000000004</v>
      </c>
      <c r="O564" s="314">
        <f t="shared" ref="O564:O574" si="1376">+N564*$X$1</f>
        <v>61125.700000000004</v>
      </c>
      <c r="P564" s="104">
        <f t="shared" ref="P564:P574" si="1377">F564+390</f>
        <v>61085.700000000004</v>
      </c>
      <c r="Q564" s="314">
        <f t="shared" ref="Q564:Q574" si="1378">+P564*$X$1</f>
        <v>61085.700000000004</v>
      </c>
      <c r="R564" s="104">
        <f t="shared" ref="R564:R574" si="1379">F564+360</f>
        <v>61055.700000000004</v>
      </c>
      <c r="S564" s="314">
        <f t="shared" ref="S564:S574" si="1380">+R564*$X$1</f>
        <v>61055.700000000004</v>
      </c>
      <c r="T564" s="104">
        <f t="shared" ref="T564:T574" si="1381">F564+320</f>
        <v>61015.700000000004</v>
      </c>
      <c r="U564" s="314">
        <f t="shared" ref="U564:U574" si="1382">+T564*$X$1</f>
        <v>61015.700000000004</v>
      </c>
      <c r="V564" s="104">
        <f t="shared" ref="V564:V574" si="1383">F564+280</f>
        <v>60975.700000000004</v>
      </c>
      <c r="W564" s="314">
        <f t="shared" ref="W564:W574" si="1384">+V564*$X$1</f>
        <v>60975.700000000004</v>
      </c>
      <c r="X564" s="141"/>
      <c r="Y564" s="136"/>
      <c r="Z564" s="142"/>
      <c r="AA564" s="143"/>
      <c r="AB564" s="420">
        <v>714</v>
      </c>
    </row>
    <row r="565" spans="1:34" ht="12" customHeight="1" x14ac:dyDescent="0.2">
      <c r="A565" s="4"/>
      <c r="B565" s="809" t="s">
        <v>759</v>
      </c>
      <c r="C565" s="810"/>
      <c r="D565" s="810"/>
      <c r="E565" s="811"/>
      <c r="F565" s="393">
        <f>12.5*X2</f>
        <v>12837.5</v>
      </c>
      <c r="G565" s="294">
        <f t="shared" ref="G565" si="1385">+F565*$X$1</f>
        <v>12837.5</v>
      </c>
      <c r="H565" s="103">
        <f t="shared" si="1369"/>
        <v>16837.5</v>
      </c>
      <c r="I565" s="328">
        <f t="shared" si="1370"/>
        <v>16837.5</v>
      </c>
      <c r="J565" s="103">
        <f t="shared" si="1371"/>
        <v>13647.5</v>
      </c>
      <c r="K565" s="328">
        <f t="shared" si="1372"/>
        <v>13647.5</v>
      </c>
      <c r="L565" s="103">
        <f t="shared" si="1373"/>
        <v>13337.5</v>
      </c>
      <c r="M565" s="328">
        <f t="shared" si="1374"/>
        <v>13337.5</v>
      </c>
      <c r="N565" s="103">
        <f t="shared" si="1375"/>
        <v>13267.5</v>
      </c>
      <c r="O565" s="328">
        <f t="shared" si="1376"/>
        <v>13267.5</v>
      </c>
      <c r="P565" s="103">
        <f t="shared" si="1377"/>
        <v>13227.5</v>
      </c>
      <c r="Q565" s="328">
        <f t="shared" si="1378"/>
        <v>13227.5</v>
      </c>
      <c r="R565" s="103">
        <f t="shared" si="1379"/>
        <v>13197.5</v>
      </c>
      <c r="S565" s="328">
        <f t="shared" si="1380"/>
        <v>13197.5</v>
      </c>
      <c r="T565" s="103">
        <f t="shared" si="1381"/>
        <v>13157.5</v>
      </c>
      <c r="U565" s="328">
        <f t="shared" si="1382"/>
        <v>13157.5</v>
      </c>
      <c r="V565" s="103">
        <f t="shared" si="1383"/>
        <v>13117.5</v>
      </c>
      <c r="W565" s="328">
        <f t="shared" si="1384"/>
        <v>13117.5</v>
      </c>
      <c r="X565" s="141"/>
      <c r="Y565" s="136"/>
      <c r="Z565" s="142"/>
      <c r="AA565" s="143"/>
      <c r="AB565" s="420">
        <v>716</v>
      </c>
    </row>
    <row r="566" spans="1:34" ht="12" customHeight="1" x14ac:dyDescent="0.2">
      <c r="A566" s="4"/>
      <c r="B566" s="805" t="s">
        <v>761</v>
      </c>
      <c r="C566" s="806"/>
      <c r="D566" s="806"/>
      <c r="E566" s="807"/>
      <c r="F566" s="392">
        <f>63*X2</f>
        <v>64701</v>
      </c>
      <c r="G566" s="293">
        <f t="shared" ref="G566" si="1386">+F566*$X$1</f>
        <v>64701</v>
      </c>
      <c r="H566" s="104">
        <f t="shared" si="1369"/>
        <v>68701</v>
      </c>
      <c r="I566" s="314">
        <f t="shared" si="1370"/>
        <v>68701</v>
      </c>
      <c r="J566" s="104">
        <f t="shared" si="1371"/>
        <v>65511</v>
      </c>
      <c r="K566" s="314">
        <f t="shared" si="1372"/>
        <v>65511</v>
      </c>
      <c r="L566" s="104">
        <f t="shared" si="1373"/>
        <v>65201</v>
      </c>
      <c r="M566" s="314">
        <f t="shared" si="1374"/>
        <v>65201</v>
      </c>
      <c r="N566" s="104">
        <f t="shared" si="1375"/>
        <v>65131</v>
      </c>
      <c r="O566" s="314">
        <f t="shared" si="1376"/>
        <v>65131</v>
      </c>
      <c r="P566" s="104">
        <f t="shared" si="1377"/>
        <v>65091</v>
      </c>
      <c r="Q566" s="314">
        <f t="shared" si="1378"/>
        <v>65091</v>
      </c>
      <c r="R566" s="104">
        <f t="shared" si="1379"/>
        <v>65061</v>
      </c>
      <c r="S566" s="314">
        <f t="shared" si="1380"/>
        <v>65061</v>
      </c>
      <c r="T566" s="104">
        <f t="shared" si="1381"/>
        <v>65021</v>
      </c>
      <c r="U566" s="314">
        <f t="shared" si="1382"/>
        <v>65021</v>
      </c>
      <c r="V566" s="104">
        <f t="shared" si="1383"/>
        <v>64981</v>
      </c>
      <c r="W566" s="314">
        <f t="shared" si="1384"/>
        <v>64981</v>
      </c>
      <c r="X566" s="141"/>
      <c r="Y566" s="136"/>
      <c r="Z566" s="142"/>
      <c r="AA566" s="143"/>
      <c r="AB566" s="420">
        <v>717</v>
      </c>
    </row>
    <row r="567" spans="1:34" ht="12" customHeight="1" x14ac:dyDescent="0.2">
      <c r="A567" s="4"/>
      <c r="B567" s="800" t="s">
        <v>760</v>
      </c>
      <c r="C567" s="801"/>
      <c r="D567" s="801"/>
      <c r="E567" s="802"/>
      <c r="F567" s="393">
        <f>101*X2</f>
        <v>103727</v>
      </c>
      <c r="G567" s="294">
        <f t="shared" ref="G567" si="1387">+F567*$X$1</f>
        <v>103727</v>
      </c>
      <c r="H567" s="103">
        <f t="shared" si="1369"/>
        <v>107727</v>
      </c>
      <c r="I567" s="328">
        <f t="shared" si="1370"/>
        <v>107727</v>
      </c>
      <c r="J567" s="103">
        <f t="shared" si="1371"/>
        <v>104537</v>
      </c>
      <c r="K567" s="328">
        <f t="shared" si="1372"/>
        <v>104537</v>
      </c>
      <c r="L567" s="103">
        <f t="shared" si="1373"/>
        <v>104227</v>
      </c>
      <c r="M567" s="328">
        <f t="shared" si="1374"/>
        <v>104227</v>
      </c>
      <c r="N567" s="103">
        <f t="shared" si="1375"/>
        <v>104157</v>
      </c>
      <c r="O567" s="328">
        <f t="shared" si="1376"/>
        <v>104157</v>
      </c>
      <c r="P567" s="103">
        <f t="shared" si="1377"/>
        <v>104117</v>
      </c>
      <c r="Q567" s="328">
        <f t="shared" si="1378"/>
        <v>104117</v>
      </c>
      <c r="R567" s="103">
        <f t="shared" si="1379"/>
        <v>104087</v>
      </c>
      <c r="S567" s="328">
        <f t="shared" si="1380"/>
        <v>104087</v>
      </c>
      <c r="T567" s="103">
        <f t="shared" si="1381"/>
        <v>104047</v>
      </c>
      <c r="U567" s="328">
        <f t="shared" si="1382"/>
        <v>104047</v>
      </c>
      <c r="V567" s="103">
        <f t="shared" si="1383"/>
        <v>104007</v>
      </c>
      <c r="W567" s="328">
        <f t="shared" si="1384"/>
        <v>104007</v>
      </c>
      <c r="X567" s="141"/>
      <c r="Y567" s="136"/>
      <c r="Z567" s="142"/>
      <c r="AA567" s="143"/>
      <c r="AB567" s="420">
        <v>718</v>
      </c>
    </row>
    <row r="568" spans="1:34" ht="12" customHeight="1" x14ac:dyDescent="0.2">
      <c r="A568" s="4"/>
      <c r="B568" s="800" t="s">
        <v>877</v>
      </c>
      <c r="C568" s="801"/>
      <c r="D568" s="801"/>
      <c r="E568" s="802"/>
      <c r="F568" s="392">
        <f>33.13*X2</f>
        <v>34024.51</v>
      </c>
      <c r="G568" s="293">
        <f t="shared" ref="G568" si="1388">+F568*$X$1</f>
        <v>34024.51</v>
      </c>
      <c r="H568" s="104">
        <f t="shared" si="1369"/>
        <v>38024.51</v>
      </c>
      <c r="I568" s="314">
        <f t="shared" si="1370"/>
        <v>38024.51</v>
      </c>
      <c r="J568" s="104">
        <f t="shared" si="1371"/>
        <v>34834.51</v>
      </c>
      <c r="K568" s="314">
        <f t="shared" si="1372"/>
        <v>34834.51</v>
      </c>
      <c r="L568" s="104">
        <f t="shared" si="1373"/>
        <v>34524.51</v>
      </c>
      <c r="M568" s="314">
        <f t="shared" si="1374"/>
        <v>34524.51</v>
      </c>
      <c r="N568" s="104">
        <f t="shared" si="1375"/>
        <v>34454.51</v>
      </c>
      <c r="O568" s="314">
        <f t="shared" si="1376"/>
        <v>34454.51</v>
      </c>
      <c r="P568" s="104">
        <f t="shared" si="1377"/>
        <v>34414.51</v>
      </c>
      <c r="Q568" s="314">
        <f t="shared" si="1378"/>
        <v>34414.51</v>
      </c>
      <c r="R568" s="104">
        <f t="shared" si="1379"/>
        <v>34384.51</v>
      </c>
      <c r="S568" s="314">
        <f t="shared" si="1380"/>
        <v>34384.51</v>
      </c>
      <c r="T568" s="104">
        <f t="shared" si="1381"/>
        <v>34344.51</v>
      </c>
      <c r="U568" s="314">
        <f t="shared" si="1382"/>
        <v>34344.51</v>
      </c>
      <c r="V568" s="104">
        <f t="shared" si="1383"/>
        <v>34304.51</v>
      </c>
      <c r="W568" s="314">
        <f t="shared" si="1384"/>
        <v>34304.51</v>
      </c>
      <c r="X568" s="141"/>
      <c r="Y568" s="136"/>
      <c r="Z568" s="142"/>
      <c r="AA568" s="143"/>
      <c r="AB568" s="420">
        <v>719</v>
      </c>
    </row>
    <row r="569" spans="1:34" ht="12" customHeight="1" x14ac:dyDescent="0.2">
      <c r="A569" s="4"/>
      <c r="B569" s="809" t="s">
        <v>758</v>
      </c>
      <c r="C569" s="810"/>
      <c r="D569" s="810"/>
      <c r="E569" s="811"/>
      <c r="F569" s="393">
        <f>14.4*X2</f>
        <v>14788.800000000001</v>
      </c>
      <c r="G569" s="294">
        <f t="shared" ref="G569" si="1389">+F569*$X$1</f>
        <v>14788.800000000001</v>
      </c>
      <c r="H569" s="103">
        <f t="shared" si="1369"/>
        <v>18788.800000000003</v>
      </c>
      <c r="I569" s="328">
        <f t="shared" si="1370"/>
        <v>18788.800000000003</v>
      </c>
      <c r="J569" s="103">
        <f t="shared" si="1371"/>
        <v>15598.800000000001</v>
      </c>
      <c r="K569" s="328">
        <f t="shared" si="1372"/>
        <v>15598.800000000001</v>
      </c>
      <c r="L569" s="103">
        <f t="shared" si="1373"/>
        <v>15288.800000000001</v>
      </c>
      <c r="M569" s="328">
        <f t="shared" si="1374"/>
        <v>15288.800000000001</v>
      </c>
      <c r="N569" s="103">
        <f t="shared" si="1375"/>
        <v>15218.800000000001</v>
      </c>
      <c r="O569" s="328">
        <f t="shared" si="1376"/>
        <v>15218.800000000001</v>
      </c>
      <c r="P569" s="103">
        <f t="shared" si="1377"/>
        <v>15178.800000000001</v>
      </c>
      <c r="Q569" s="328">
        <f t="shared" si="1378"/>
        <v>15178.800000000001</v>
      </c>
      <c r="R569" s="103">
        <f t="shared" si="1379"/>
        <v>15148.800000000001</v>
      </c>
      <c r="S569" s="328">
        <f t="shared" si="1380"/>
        <v>15148.800000000001</v>
      </c>
      <c r="T569" s="103">
        <f t="shared" si="1381"/>
        <v>15108.800000000001</v>
      </c>
      <c r="U569" s="328">
        <f t="shared" si="1382"/>
        <v>15108.800000000001</v>
      </c>
      <c r="V569" s="103">
        <f t="shared" si="1383"/>
        <v>15068.800000000001</v>
      </c>
      <c r="W569" s="328">
        <f t="shared" si="1384"/>
        <v>15068.800000000001</v>
      </c>
      <c r="X569" s="141"/>
      <c r="Y569" s="136"/>
      <c r="Z569" s="142"/>
      <c r="AA569" s="143"/>
      <c r="AB569" s="420">
        <v>720</v>
      </c>
    </row>
    <row r="570" spans="1:34" ht="12" customHeight="1" x14ac:dyDescent="0.2">
      <c r="A570" s="4"/>
      <c r="B570" s="805" t="s">
        <v>757</v>
      </c>
      <c r="C570" s="806"/>
      <c r="D570" s="806"/>
      <c r="E570" s="807"/>
      <c r="F570" s="392">
        <f>40.98*X2</f>
        <v>42086.46</v>
      </c>
      <c r="G570" s="293">
        <f t="shared" ref="G570" si="1390">+F570*$X$1</f>
        <v>42086.46</v>
      </c>
      <c r="H570" s="104">
        <f t="shared" si="1369"/>
        <v>46086.46</v>
      </c>
      <c r="I570" s="314">
        <f t="shared" si="1370"/>
        <v>46086.46</v>
      </c>
      <c r="J570" s="104">
        <f t="shared" si="1371"/>
        <v>42896.46</v>
      </c>
      <c r="K570" s="314">
        <f t="shared" si="1372"/>
        <v>42896.46</v>
      </c>
      <c r="L570" s="104">
        <f t="shared" si="1373"/>
        <v>42586.46</v>
      </c>
      <c r="M570" s="314">
        <f t="shared" si="1374"/>
        <v>42586.46</v>
      </c>
      <c r="N570" s="104">
        <f t="shared" si="1375"/>
        <v>42516.46</v>
      </c>
      <c r="O570" s="314">
        <f t="shared" si="1376"/>
        <v>42516.46</v>
      </c>
      <c r="P570" s="104">
        <f t="shared" si="1377"/>
        <v>42476.46</v>
      </c>
      <c r="Q570" s="314">
        <f t="shared" si="1378"/>
        <v>42476.46</v>
      </c>
      <c r="R570" s="104">
        <f t="shared" si="1379"/>
        <v>42446.46</v>
      </c>
      <c r="S570" s="314">
        <f t="shared" si="1380"/>
        <v>42446.46</v>
      </c>
      <c r="T570" s="104">
        <f t="shared" si="1381"/>
        <v>42406.46</v>
      </c>
      <c r="U570" s="314">
        <f t="shared" si="1382"/>
        <v>42406.46</v>
      </c>
      <c r="V570" s="104">
        <f t="shared" si="1383"/>
        <v>42366.46</v>
      </c>
      <c r="W570" s="314">
        <f t="shared" si="1384"/>
        <v>42366.46</v>
      </c>
      <c r="X570" s="141"/>
      <c r="Y570" s="136"/>
      <c r="Z570" s="142"/>
      <c r="AA570" s="143"/>
      <c r="AB570" s="420">
        <v>721</v>
      </c>
    </row>
    <row r="571" spans="1:34" ht="12.6" customHeight="1" x14ac:dyDescent="0.2">
      <c r="A571" s="4"/>
      <c r="B571" s="809" t="s">
        <v>893</v>
      </c>
      <c r="C571" s="810"/>
      <c r="D571" s="810"/>
      <c r="E571" s="811"/>
      <c r="F571" s="393">
        <f>5.4*X2</f>
        <v>5545.8</v>
      </c>
      <c r="G571" s="294">
        <f t="shared" ref="G571" si="1391">+F571*$X$1</f>
        <v>5545.8</v>
      </c>
      <c r="H571" s="103">
        <f t="shared" si="1369"/>
        <v>9545.7999999999993</v>
      </c>
      <c r="I571" s="328">
        <f t="shared" si="1370"/>
        <v>9545.7999999999993</v>
      </c>
      <c r="J571" s="103">
        <f t="shared" si="1371"/>
        <v>6355.8</v>
      </c>
      <c r="K571" s="328">
        <f t="shared" si="1372"/>
        <v>6355.8</v>
      </c>
      <c r="L571" s="103">
        <f t="shared" si="1373"/>
        <v>6045.8</v>
      </c>
      <c r="M571" s="328">
        <f t="shared" si="1374"/>
        <v>6045.8</v>
      </c>
      <c r="N571" s="103">
        <f t="shared" si="1375"/>
        <v>5975.8</v>
      </c>
      <c r="O571" s="328">
        <f t="shared" si="1376"/>
        <v>5975.8</v>
      </c>
      <c r="P571" s="103">
        <f t="shared" si="1377"/>
        <v>5935.8</v>
      </c>
      <c r="Q571" s="328">
        <f t="shared" si="1378"/>
        <v>5935.8</v>
      </c>
      <c r="R571" s="103">
        <f t="shared" si="1379"/>
        <v>5905.8</v>
      </c>
      <c r="S571" s="328">
        <f t="shared" si="1380"/>
        <v>5905.8</v>
      </c>
      <c r="T571" s="103">
        <f t="shared" si="1381"/>
        <v>5865.8</v>
      </c>
      <c r="U571" s="328">
        <f t="shared" si="1382"/>
        <v>5865.8</v>
      </c>
      <c r="V571" s="103">
        <f t="shared" si="1383"/>
        <v>5825.8</v>
      </c>
      <c r="W571" s="328">
        <f t="shared" si="1384"/>
        <v>5825.8</v>
      </c>
      <c r="X571" s="141"/>
      <c r="Y571" s="136"/>
      <c r="Z571" s="142"/>
      <c r="AA571" s="143"/>
      <c r="AB571" s="197">
        <v>741</v>
      </c>
    </row>
    <row r="572" spans="1:34" ht="12" customHeight="1" x14ac:dyDescent="0.2">
      <c r="A572" s="4"/>
      <c r="B572" s="805" t="s">
        <v>648</v>
      </c>
      <c r="C572" s="806"/>
      <c r="D572" s="806"/>
      <c r="E572" s="807"/>
      <c r="F572" s="392">
        <f>20.6*X2</f>
        <v>21156.2</v>
      </c>
      <c r="G572" s="293">
        <f>+F572*$X$1</f>
        <v>21156.2</v>
      </c>
      <c r="H572" s="104">
        <f t="shared" si="1369"/>
        <v>25156.2</v>
      </c>
      <c r="I572" s="314">
        <f t="shared" si="1370"/>
        <v>25156.2</v>
      </c>
      <c r="J572" s="104">
        <f t="shared" si="1371"/>
        <v>21966.2</v>
      </c>
      <c r="K572" s="314">
        <f t="shared" si="1372"/>
        <v>21966.2</v>
      </c>
      <c r="L572" s="104">
        <f t="shared" si="1373"/>
        <v>21656.2</v>
      </c>
      <c r="M572" s="314">
        <f t="shared" si="1374"/>
        <v>21656.2</v>
      </c>
      <c r="N572" s="104">
        <f t="shared" si="1375"/>
        <v>21586.2</v>
      </c>
      <c r="O572" s="314">
        <f t="shared" si="1376"/>
        <v>21586.2</v>
      </c>
      <c r="P572" s="104">
        <f t="shared" si="1377"/>
        <v>21546.2</v>
      </c>
      <c r="Q572" s="314">
        <f t="shared" si="1378"/>
        <v>21546.2</v>
      </c>
      <c r="R572" s="104">
        <f t="shared" si="1379"/>
        <v>21516.2</v>
      </c>
      <c r="S572" s="314">
        <f t="shared" si="1380"/>
        <v>21516.2</v>
      </c>
      <c r="T572" s="104">
        <f t="shared" si="1381"/>
        <v>21476.2</v>
      </c>
      <c r="U572" s="314">
        <f t="shared" si="1382"/>
        <v>21476.2</v>
      </c>
      <c r="V572" s="104">
        <f t="shared" si="1383"/>
        <v>21436.2</v>
      </c>
      <c r="W572" s="314">
        <f t="shared" si="1384"/>
        <v>21436.2</v>
      </c>
      <c r="X572" s="141"/>
      <c r="Y572" s="136"/>
      <c r="Z572" s="142"/>
      <c r="AA572" s="143"/>
      <c r="AB572" s="197">
        <v>742</v>
      </c>
    </row>
    <row r="573" spans="1:34" ht="12" customHeight="1" x14ac:dyDescent="0.2">
      <c r="A573" s="4"/>
      <c r="B573" s="809" t="s">
        <v>649</v>
      </c>
      <c r="C573" s="810"/>
      <c r="D573" s="810"/>
      <c r="E573" s="811"/>
      <c r="F573" s="393">
        <f>21*X2</f>
        <v>21567</v>
      </c>
      <c r="G573" s="294">
        <f>+F573*$X$1</f>
        <v>21567</v>
      </c>
      <c r="H573" s="103">
        <f t="shared" si="1369"/>
        <v>25567</v>
      </c>
      <c r="I573" s="328">
        <f t="shared" si="1370"/>
        <v>25567</v>
      </c>
      <c r="J573" s="103">
        <f t="shared" si="1371"/>
        <v>22377</v>
      </c>
      <c r="K573" s="328">
        <f t="shared" si="1372"/>
        <v>22377</v>
      </c>
      <c r="L573" s="103">
        <f t="shared" si="1373"/>
        <v>22067</v>
      </c>
      <c r="M573" s="328">
        <f t="shared" si="1374"/>
        <v>22067</v>
      </c>
      <c r="N573" s="103">
        <f t="shared" si="1375"/>
        <v>21997</v>
      </c>
      <c r="O573" s="328">
        <f t="shared" si="1376"/>
        <v>21997</v>
      </c>
      <c r="P573" s="103">
        <f t="shared" si="1377"/>
        <v>21957</v>
      </c>
      <c r="Q573" s="328">
        <f t="shared" si="1378"/>
        <v>21957</v>
      </c>
      <c r="R573" s="103">
        <f t="shared" si="1379"/>
        <v>21927</v>
      </c>
      <c r="S573" s="328">
        <f t="shared" si="1380"/>
        <v>21927</v>
      </c>
      <c r="T573" s="103">
        <f t="shared" si="1381"/>
        <v>21887</v>
      </c>
      <c r="U573" s="328">
        <f t="shared" si="1382"/>
        <v>21887</v>
      </c>
      <c r="V573" s="103">
        <f t="shared" si="1383"/>
        <v>21847</v>
      </c>
      <c r="W573" s="328">
        <f t="shared" si="1384"/>
        <v>21847</v>
      </c>
      <c r="X573" s="141"/>
      <c r="Y573" s="136"/>
      <c r="Z573" s="142"/>
      <c r="AA573" s="143"/>
      <c r="AB573" s="197">
        <v>743</v>
      </c>
    </row>
    <row r="574" spans="1:34" ht="12" customHeight="1" x14ac:dyDescent="0.2">
      <c r="A574" s="4"/>
      <c r="B574" s="805" t="s">
        <v>732</v>
      </c>
      <c r="C574" s="806"/>
      <c r="D574" s="806"/>
      <c r="E574" s="807"/>
      <c r="F574" s="392">
        <f>18*X2</f>
        <v>18486</v>
      </c>
      <c r="G574" s="293">
        <f t="shared" ref="G574" si="1392">+F574*$X$1</f>
        <v>18486</v>
      </c>
      <c r="H574" s="104">
        <f t="shared" si="1369"/>
        <v>22486</v>
      </c>
      <c r="I574" s="314">
        <f t="shared" si="1370"/>
        <v>22486</v>
      </c>
      <c r="J574" s="104">
        <f t="shared" si="1371"/>
        <v>19296</v>
      </c>
      <c r="K574" s="314">
        <f t="shared" si="1372"/>
        <v>19296</v>
      </c>
      <c r="L574" s="104">
        <f t="shared" si="1373"/>
        <v>18986</v>
      </c>
      <c r="M574" s="314">
        <f t="shared" si="1374"/>
        <v>18986</v>
      </c>
      <c r="N574" s="104">
        <f t="shared" si="1375"/>
        <v>18916</v>
      </c>
      <c r="O574" s="314">
        <f t="shared" si="1376"/>
        <v>18916</v>
      </c>
      <c r="P574" s="104">
        <f t="shared" si="1377"/>
        <v>18876</v>
      </c>
      <c r="Q574" s="314">
        <f t="shared" si="1378"/>
        <v>18876</v>
      </c>
      <c r="R574" s="104">
        <f t="shared" si="1379"/>
        <v>18846</v>
      </c>
      <c r="S574" s="314">
        <f t="shared" si="1380"/>
        <v>18846</v>
      </c>
      <c r="T574" s="104">
        <f t="shared" si="1381"/>
        <v>18806</v>
      </c>
      <c r="U574" s="314">
        <f t="shared" si="1382"/>
        <v>18806</v>
      </c>
      <c r="V574" s="104">
        <f t="shared" si="1383"/>
        <v>18766</v>
      </c>
      <c r="W574" s="314">
        <f t="shared" si="1384"/>
        <v>18766</v>
      </c>
      <c r="X574" s="141"/>
      <c r="Y574" s="136"/>
      <c r="Z574" s="142"/>
      <c r="AA574" s="143"/>
      <c r="AB574" s="197">
        <v>744</v>
      </c>
    </row>
    <row r="575" spans="1:34" ht="12" customHeight="1" x14ac:dyDescent="0.2">
      <c r="A575" s="4"/>
      <c r="B575" s="832" t="s">
        <v>623</v>
      </c>
      <c r="C575" s="833"/>
      <c r="D575" s="833"/>
      <c r="E575" s="833"/>
      <c r="F575" s="406"/>
      <c r="G575" s="406"/>
      <c r="H575" s="493">
        <v>1700</v>
      </c>
      <c r="I575" s="294">
        <f t="shared" ref="I575:K575" si="1393">+H575*$X$1</f>
        <v>1700</v>
      </c>
      <c r="J575" s="493">
        <v>810</v>
      </c>
      <c r="K575" s="294">
        <f t="shared" si="1393"/>
        <v>810</v>
      </c>
      <c r="L575" s="493">
        <v>600</v>
      </c>
      <c r="M575" s="294">
        <f t="shared" ref="M575" si="1394">+L575*$X$1</f>
        <v>600</v>
      </c>
      <c r="N575" s="493">
        <v>520</v>
      </c>
      <c r="O575" s="294">
        <f t="shared" ref="O575" si="1395">+N575*$X$1</f>
        <v>520</v>
      </c>
      <c r="P575" s="493">
        <v>480</v>
      </c>
      <c r="Q575" s="294">
        <f t="shared" ref="Q575" si="1396">+P575*$X$1</f>
        <v>480</v>
      </c>
      <c r="R575" s="493">
        <v>430</v>
      </c>
      <c r="S575" s="294">
        <f t="shared" ref="S575" si="1397">+R575*$X$1</f>
        <v>430</v>
      </c>
      <c r="T575" s="493">
        <v>390</v>
      </c>
      <c r="U575" s="294">
        <f t="shared" ref="U575" si="1398">+T575*$X$1</f>
        <v>390</v>
      </c>
      <c r="V575" s="493">
        <v>360</v>
      </c>
      <c r="W575" s="294">
        <f t="shared" ref="W575" si="1399">+V575*$X$1</f>
        <v>360</v>
      </c>
      <c r="X575" s="141"/>
      <c r="Y575" s="136"/>
      <c r="Z575" s="142"/>
      <c r="AA575" s="142"/>
      <c r="AB575" s="40"/>
    </row>
    <row r="576" spans="1:34" ht="12" customHeight="1" x14ac:dyDescent="0.2">
      <c r="A576" s="76"/>
      <c r="B576" s="109"/>
      <c r="C576" s="500"/>
      <c r="D576" s="500"/>
      <c r="E576" s="500"/>
      <c r="F576" s="345"/>
      <c r="G576" s="345"/>
      <c r="H576" s="118"/>
      <c r="I576" s="345"/>
      <c r="J576" s="118"/>
      <c r="K576" s="345"/>
      <c r="L576" s="118"/>
      <c r="M576" s="345"/>
      <c r="N576" s="118"/>
      <c r="O576" s="345"/>
      <c r="P576" s="118"/>
      <c r="Q576" s="345"/>
      <c r="R576" s="118"/>
      <c r="S576" s="345"/>
      <c r="T576" s="118"/>
      <c r="U576" s="345"/>
      <c r="V576" s="118"/>
      <c r="W576" s="345"/>
      <c r="X576" s="205"/>
      <c r="Y576" s="76"/>
      <c r="Z576" s="206"/>
      <c r="AA576" s="206"/>
      <c r="AB576" s="207"/>
    </row>
    <row r="577" spans="1:34" ht="14.25" customHeight="1" x14ac:dyDescent="0.2">
      <c r="B577" s="803" t="s">
        <v>847</v>
      </c>
      <c r="C577" s="804"/>
      <c r="D577" s="804"/>
      <c r="E577" s="804"/>
      <c r="F577" s="804"/>
      <c r="G577" s="804"/>
      <c r="H577" s="804"/>
      <c r="I577" s="804"/>
      <c r="J577" s="804"/>
      <c r="K577" s="804"/>
      <c r="L577" s="804"/>
      <c r="M577" s="804"/>
      <c r="N577" s="804"/>
      <c r="O577" s="804"/>
      <c r="P577" s="804"/>
      <c r="Q577" s="804"/>
      <c r="R577" s="804"/>
      <c r="S577" s="804"/>
      <c r="T577" s="804"/>
      <c r="U577" s="804"/>
      <c r="V577" s="804"/>
      <c r="W577" s="804"/>
      <c r="AB577" s="4"/>
      <c r="AF577" s="777"/>
      <c r="AG577" s="778"/>
      <c r="AH577" s="778"/>
    </row>
    <row r="578" spans="1:34" ht="12" customHeight="1" x14ac:dyDescent="0.2">
      <c r="B578" s="798" t="s">
        <v>11</v>
      </c>
      <c r="C578" s="798" t="s">
        <v>12</v>
      </c>
      <c r="D578" s="799"/>
      <c r="E578" s="799"/>
      <c r="F578" s="708" t="s">
        <v>293</v>
      </c>
      <c r="G578" s="708" t="s">
        <v>13</v>
      </c>
      <c r="H578" s="781" t="s">
        <v>839</v>
      </c>
      <c r="I578" s="781"/>
      <c r="J578" s="782"/>
      <c r="K578" s="782"/>
      <c r="L578" s="782"/>
      <c r="M578" s="782"/>
      <c r="N578" s="782"/>
      <c r="O578" s="782"/>
      <c r="P578" s="782"/>
      <c r="Q578" s="782"/>
      <c r="R578" s="782"/>
      <c r="S578" s="782"/>
      <c r="T578" s="782"/>
      <c r="U578" s="782"/>
      <c r="V578" s="782"/>
      <c r="W578" s="782"/>
      <c r="X578" s="771" t="s">
        <v>14</v>
      </c>
      <c r="Y578" s="772"/>
      <c r="Z578" s="772"/>
      <c r="AA578" s="772"/>
      <c r="AB578" s="779" t="s">
        <v>15</v>
      </c>
      <c r="AF578" s="777"/>
      <c r="AG578" s="778"/>
      <c r="AH578" s="778"/>
    </row>
    <row r="579" spans="1:34" ht="11.25" customHeight="1" x14ac:dyDescent="0.2">
      <c r="B579" s="799"/>
      <c r="C579" s="799"/>
      <c r="D579" s="799"/>
      <c r="E579" s="799"/>
      <c r="F579" s="709"/>
      <c r="G579" s="709"/>
      <c r="H579" s="511"/>
      <c r="I579" s="510" t="s">
        <v>294</v>
      </c>
      <c r="J579" s="511"/>
      <c r="K579" s="510" t="s">
        <v>295</v>
      </c>
      <c r="L579" s="511"/>
      <c r="M579" s="510" t="s">
        <v>583</v>
      </c>
      <c r="N579" s="511"/>
      <c r="O579" s="510" t="s">
        <v>17</v>
      </c>
      <c r="P579" s="511"/>
      <c r="Q579" s="510" t="s">
        <v>18</v>
      </c>
      <c r="R579" s="511"/>
      <c r="S579" s="510" t="s">
        <v>19</v>
      </c>
      <c r="T579" s="511"/>
      <c r="U579" s="510" t="s">
        <v>297</v>
      </c>
      <c r="V579" s="511"/>
      <c r="W579" s="510" t="s">
        <v>20</v>
      </c>
      <c r="X579" s="774"/>
      <c r="Y579" s="775"/>
      <c r="Z579" s="775"/>
      <c r="AA579" s="775"/>
      <c r="AB579" s="780"/>
    </row>
    <row r="580" spans="1:34" ht="12.6" customHeight="1" x14ac:dyDescent="0.2">
      <c r="A580" s="18"/>
      <c r="B580" s="732" t="s">
        <v>562</v>
      </c>
      <c r="C580" s="733"/>
      <c r="D580" s="733"/>
      <c r="E580" s="734"/>
      <c r="F580" s="328">
        <v>3200</v>
      </c>
      <c r="G580" s="313"/>
      <c r="H580" s="103"/>
      <c r="I580" s="328"/>
      <c r="J580" s="493">
        <f>F580+500</f>
        <v>3700</v>
      </c>
      <c r="K580" s="294">
        <f t="shared" ref="K580" si="1400">+J580*$X$1</f>
        <v>3700</v>
      </c>
      <c r="L580" s="493">
        <f t="shared" ref="L580:L591" si="1401">F580+450</f>
        <v>3650</v>
      </c>
      <c r="M580" s="294">
        <f t="shared" ref="M580" si="1402">+L580*$X$1</f>
        <v>3650</v>
      </c>
      <c r="N580" s="493">
        <f t="shared" ref="N580:N591" si="1403">F580+400</f>
        <v>3600</v>
      </c>
      <c r="O580" s="294">
        <f t="shared" ref="O580" si="1404">+N580*$X$1</f>
        <v>3600</v>
      </c>
      <c r="P580" s="493">
        <f t="shared" ref="P580:P591" si="1405">F580+350</f>
        <v>3550</v>
      </c>
      <c r="Q580" s="294">
        <f t="shared" ref="Q580" si="1406">+P580*$X$1</f>
        <v>3550</v>
      </c>
      <c r="R580" s="493">
        <f t="shared" ref="R580:R591" si="1407">F580+310</f>
        <v>3510</v>
      </c>
      <c r="S580" s="294">
        <f t="shared" ref="S580" si="1408">+R580*$X$1</f>
        <v>3510</v>
      </c>
      <c r="T580" s="493">
        <f t="shared" ref="T580:T591" si="1409">F580+280</f>
        <v>3480</v>
      </c>
      <c r="U580" s="294">
        <f t="shared" ref="U580" si="1410">+T580*$X$1</f>
        <v>3480</v>
      </c>
      <c r="V580" s="493">
        <f t="shared" ref="V580:V591" si="1411">F580+250</f>
        <v>3450</v>
      </c>
      <c r="W580" s="294">
        <f t="shared" ref="W580" si="1412">+V580*$X$1</f>
        <v>3450</v>
      </c>
      <c r="X580" s="147"/>
      <c r="Y580" s="148"/>
      <c r="Z580" s="148"/>
      <c r="AA580" s="148"/>
      <c r="AB580" s="434" t="s">
        <v>813</v>
      </c>
    </row>
    <row r="581" spans="1:34" ht="12.6" customHeight="1" x14ac:dyDescent="0.2">
      <c r="A581" s="18"/>
      <c r="B581" s="649" t="s">
        <v>409</v>
      </c>
      <c r="C581" s="674"/>
      <c r="D581" s="674"/>
      <c r="E581" s="675"/>
      <c r="F581" s="293">
        <v>1325</v>
      </c>
      <c r="G581" s="260"/>
      <c r="H581" s="598"/>
      <c r="I581" s="293"/>
      <c r="J581" s="623"/>
      <c r="K581" s="293"/>
      <c r="L581" s="623">
        <f t="shared" si="1401"/>
        <v>1775</v>
      </c>
      <c r="M581" s="293">
        <f t="shared" ref="M581" si="1413">+L581*$X$1</f>
        <v>1775</v>
      </c>
      <c r="N581" s="623">
        <f t="shared" si="1403"/>
        <v>1725</v>
      </c>
      <c r="O581" s="293">
        <f t="shared" ref="O581" si="1414">+N581*$X$1</f>
        <v>1725</v>
      </c>
      <c r="P581" s="623">
        <f t="shared" si="1405"/>
        <v>1675</v>
      </c>
      <c r="Q581" s="293">
        <f t="shared" ref="Q581" si="1415">+P581*$X$1</f>
        <v>1675</v>
      </c>
      <c r="R581" s="623">
        <f t="shared" si="1407"/>
        <v>1635</v>
      </c>
      <c r="S581" s="293">
        <f t="shared" ref="S581" si="1416">+R581*$X$1</f>
        <v>1635</v>
      </c>
      <c r="T581" s="623">
        <f t="shared" si="1409"/>
        <v>1605</v>
      </c>
      <c r="U581" s="293">
        <f t="shared" ref="U581" si="1417">+T581*$X$1</f>
        <v>1605</v>
      </c>
      <c r="V581" s="623">
        <f t="shared" si="1411"/>
        <v>1575</v>
      </c>
      <c r="W581" s="293">
        <f t="shared" ref="W581" si="1418">+V581*$X$1</f>
        <v>1575</v>
      </c>
      <c r="X581" s="147"/>
      <c r="Y581" s="148"/>
      <c r="Z581" s="148"/>
      <c r="AA581" s="148"/>
      <c r="AB581" s="32"/>
    </row>
    <row r="582" spans="1:34" ht="12.6" customHeight="1" x14ac:dyDescent="0.2">
      <c r="A582" s="18"/>
      <c r="B582" s="646" t="s">
        <v>460</v>
      </c>
      <c r="C582" s="647"/>
      <c r="D582" s="647"/>
      <c r="E582" s="648"/>
      <c r="F582" s="328">
        <v>3160</v>
      </c>
      <c r="G582" s="313"/>
      <c r="H582" s="493">
        <f>F582+1000</f>
        <v>4160</v>
      </c>
      <c r="I582" s="294">
        <f t="shared" ref="I582" si="1419">+H582*$X$1</f>
        <v>4160</v>
      </c>
      <c r="J582" s="493">
        <f t="shared" ref="J582:J591" si="1420">F582+500</f>
        <v>3660</v>
      </c>
      <c r="K582" s="294">
        <f t="shared" ref="K582:K591" si="1421">+J582*$X$1</f>
        <v>3660</v>
      </c>
      <c r="L582" s="493">
        <f t="shared" si="1401"/>
        <v>3610</v>
      </c>
      <c r="M582" s="294">
        <f t="shared" ref="M582:M591" si="1422">+L582*$X$1</f>
        <v>3610</v>
      </c>
      <c r="N582" s="493">
        <f t="shared" si="1403"/>
        <v>3560</v>
      </c>
      <c r="O582" s="294">
        <f t="shared" ref="O582:O591" si="1423">+N582*$X$1</f>
        <v>3560</v>
      </c>
      <c r="P582" s="493">
        <f t="shared" si="1405"/>
        <v>3510</v>
      </c>
      <c r="Q582" s="294">
        <f t="shared" ref="Q582:Q591" si="1424">+P582*$X$1</f>
        <v>3510</v>
      </c>
      <c r="R582" s="493">
        <f t="shared" si="1407"/>
        <v>3470</v>
      </c>
      <c r="S582" s="294">
        <f t="shared" ref="S582:S591" si="1425">+R582*$X$1</f>
        <v>3470</v>
      </c>
      <c r="T582" s="493">
        <f t="shared" si="1409"/>
        <v>3440</v>
      </c>
      <c r="U582" s="294">
        <f t="shared" ref="U582:U591" si="1426">+T582*$X$1</f>
        <v>3440</v>
      </c>
      <c r="V582" s="493">
        <f t="shared" si="1411"/>
        <v>3410</v>
      </c>
      <c r="W582" s="294">
        <f t="shared" ref="W582:W591" si="1427">+V582*$X$1</f>
        <v>3410</v>
      </c>
      <c r="X582" s="147"/>
      <c r="Y582" s="148"/>
      <c r="Z582" s="148"/>
      <c r="AA582" s="148"/>
      <c r="AB582" s="420" t="s">
        <v>814</v>
      </c>
    </row>
    <row r="583" spans="1:34" ht="12.6" customHeight="1" x14ac:dyDescent="0.2">
      <c r="A583" s="18"/>
      <c r="B583" s="649" t="s">
        <v>298</v>
      </c>
      <c r="C583" s="650"/>
      <c r="D583" s="650"/>
      <c r="E583" s="651"/>
      <c r="F583" s="314">
        <v>6050</v>
      </c>
      <c r="G583" s="260"/>
      <c r="H583" s="623">
        <f t="shared" ref="H583:H588" si="1428">F583+1000</f>
        <v>7050</v>
      </c>
      <c r="I583" s="293">
        <f t="shared" ref="I583:I588" si="1429">+H583*$X$1</f>
        <v>7050</v>
      </c>
      <c r="J583" s="623">
        <f t="shared" si="1420"/>
        <v>6550</v>
      </c>
      <c r="K583" s="293">
        <f t="shared" si="1421"/>
        <v>6550</v>
      </c>
      <c r="L583" s="623">
        <f t="shared" si="1401"/>
        <v>6500</v>
      </c>
      <c r="M583" s="293">
        <f t="shared" si="1422"/>
        <v>6500</v>
      </c>
      <c r="N583" s="623">
        <f t="shared" si="1403"/>
        <v>6450</v>
      </c>
      <c r="O583" s="293">
        <f t="shared" si="1423"/>
        <v>6450</v>
      </c>
      <c r="P583" s="623">
        <f t="shared" si="1405"/>
        <v>6400</v>
      </c>
      <c r="Q583" s="293">
        <f t="shared" si="1424"/>
        <v>6400</v>
      </c>
      <c r="R583" s="623">
        <f t="shared" si="1407"/>
        <v>6360</v>
      </c>
      <c r="S583" s="293">
        <f t="shared" si="1425"/>
        <v>6360</v>
      </c>
      <c r="T583" s="623">
        <f t="shared" si="1409"/>
        <v>6330</v>
      </c>
      <c r="U583" s="293">
        <f t="shared" si="1426"/>
        <v>6330</v>
      </c>
      <c r="V583" s="623">
        <f t="shared" si="1411"/>
        <v>6300</v>
      </c>
      <c r="W583" s="293">
        <f t="shared" si="1427"/>
        <v>6300</v>
      </c>
      <c r="X583" s="147"/>
      <c r="Y583" s="148"/>
      <c r="Z583" s="148"/>
      <c r="AA583" s="148"/>
      <c r="AB583" s="420" t="s">
        <v>815</v>
      </c>
    </row>
    <row r="584" spans="1:34" ht="12.6" customHeight="1" x14ac:dyDescent="0.2">
      <c r="A584" s="18"/>
      <c r="B584" s="998" t="s">
        <v>299</v>
      </c>
      <c r="C584" s="999"/>
      <c r="D584" s="999"/>
      <c r="E584" s="1000"/>
      <c r="F584" s="419">
        <v>2835</v>
      </c>
      <c r="G584" s="313"/>
      <c r="H584" s="493">
        <f t="shared" si="1428"/>
        <v>3835</v>
      </c>
      <c r="I584" s="294">
        <f t="shared" si="1429"/>
        <v>3835</v>
      </c>
      <c r="J584" s="493">
        <f t="shared" si="1420"/>
        <v>3335</v>
      </c>
      <c r="K584" s="294">
        <f t="shared" si="1421"/>
        <v>3335</v>
      </c>
      <c r="L584" s="493">
        <f t="shared" si="1401"/>
        <v>3285</v>
      </c>
      <c r="M584" s="294">
        <f t="shared" si="1422"/>
        <v>3285</v>
      </c>
      <c r="N584" s="493">
        <f t="shared" si="1403"/>
        <v>3235</v>
      </c>
      <c r="O584" s="294">
        <f t="shared" si="1423"/>
        <v>3235</v>
      </c>
      <c r="P584" s="493">
        <f t="shared" si="1405"/>
        <v>3185</v>
      </c>
      <c r="Q584" s="294">
        <f t="shared" si="1424"/>
        <v>3185</v>
      </c>
      <c r="R584" s="493">
        <f t="shared" si="1407"/>
        <v>3145</v>
      </c>
      <c r="S584" s="294">
        <f t="shared" si="1425"/>
        <v>3145</v>
      </c>
      <c r="T584" s="493">
        <f t="shared" si="1409"/>
        <v>3115</v>
      </c>
      <c r="U584" s="294">
        <f t="shared" si="1426"/>
        <v>3115</v>
      </c>
      <c r="V584" s="493">
        <f t="shared" si="1411"/>
        <v>3085</v>
      </c>
      <c r="W584" s="294">
        <f t="shared" si="1427"/>
        <v>3085</v>
      </c>
      <c r="X584" s="147"/>
      <c r="Y584" s="148"/>
      <c r="Z584" s="148"/>
      <c r="AA584" s="148"/>
      <c r="AB584" s="420" t="s">
        <v>909</v>
      </c>
    </row>
    <row r="585" spans="1:34" ht="12.6" customHeight="1" x14ac:dyDescent="0.2">
      <c r="A585" s="18"/>
      <c r="B585" s="662" t="s">
        <v>300</v>
      </c>
      <c r="C585" s="678"/>
      <c r="D585" s="678"/>
      <c r="E585" s="678"/>
      <c r="F585" s="293">
        <v>2580</v>
      </c>
      <c r="G585" s="260"/>
      <c r="H585" s="623">
        <f t="shared" si="1428"/>
        <v>3580</v>
      </c>
      <c r="I585" s="293">
        <f t="shared" si="1429"/>
        <v>3580</v>
      </c>
      <c r="J585" s="623">
        <f t="shared" si="1420"/>
        <v>3080</v>
      </c>
      <c r="K585" s="293">
        <f t="shared" si="1421"/>
        <v>3080</v>
      </c>
      <c r="L585" s="623">
        <f t="shared" si="1401"/>
        <v>3030</v>
      </c>
      <c r="M585" s="293">
        <f t="shared" si="1422"/>
        <v>3030</v>
      </c>
      <c r="N585" s="623">
        <f t="shared" si="1403"/>
        <v>2980</v>
      </c>
      <c r="O585" s="293">
        <f t="shared" si="1423"/>
        <v>2980</v>
      </c>
      <c r="P585" s="623">
        <f t="shared" si="1405"/>
        <v>2930</v>
      </c>
      <c r="Q585" s="293">
        <f t="shared" si="1424"/>
        <v>2930</v>
      </c>
      <c r="R585" s="623">
        <f t="shared" si="1407"/>
        <v>2890</v>
      </c>
      <c r="S585" s="293">
        <f t="shared" si="1425"/>
        <v>2890</v>
      </c>
      <c r="T585" s="623">
        <f t="shared" si="1409"/>
        <v>2860</v>
      </c>
      <c r="U585" s="293">
        <f t="shared" si="1426"/>
        <v>2860</v>
      </c>
      <c r="V585" s="623">
        <f t="shared" si="1411"/>
        <v>2830</v>
      </c>
      <c r="W585" s="293">
        <f t="shared" si="1427"/>
        <v>2830</v>
      </c>
      <c r="X585" s="147"/>
      <c r="Y585" s="148"/>
      <c r="Z585" s="148"/>
      <c r="AA585" s="148"/>
      <c r="AB585" s="420" t="s">
        <v>817</v>
      </c>
    </row>
    <row r="586" spans="1:34" ht="12.6" customHeight="1" x14ac:dyDescent="0.2">
      <c r="A586" s="18"/>
      <c r="B586" s="666" t="s">
        <v>532</v>
      </c>
      <c r="C586" s="667"/>
      <c r="D586" s="667"/>
      <c r="E586" s="668"/>
      <c r="F586" s="328">
        <v>4570</v>
      </c>
      <c r="G586" s="313"/>
      <c r="H586" s="493">
        <f t="shared" si="1428"/>
        <v>5570</v>
      </c>
      <c r="I586" s="294">
        <f t="shared" si="1429"/>
        <v>5570</v>
      </c>
      <c r="J586" s="493">
        <f t="shared" si="1420"/>
        <v>5070</v>
      </c>
      <c r="K586" s="294">
        <f t="shared" si="1421"/>
        <v>5070</v>
      </c>
      <c r="L586" s="493">
        <f t="shared" si="1401"/>
        <v>5020</v>
      </c>
      <c r="M586" s="294">
        <f t="shared" si="1422"/>
        <v>5020</v>
      </c>
      <c r="N586" s="493">
        <f t="shared" si="1403"/>
        <v>4970</v>
      </c>
      <c r="O586" s="294">
        <f t="shared" si="1423"/>
        <v>4970</v>
      </c>
      <c r="P586" s="493">
        <f t="shared" si="1405"/>
        <v>4920</v>
      </c>
      <c r="Q586" s="294">
        <f t="shared" si="1424"/>
        <v>4920</v>
      </c>
      <c r="R586" s="493">
        <f t="shared" si="1407"/>
        <v>4880</v>
      </c>
      <c r="S586" s="294">
        <f t="shared" si="1425"/>
        <v>4880</v>
      </c>
      <c r="T586" s="493">
        <f t="shared" si="1409"/>
        <v>4850</v>
      </c>
      <c r="U586" s="294">
        <f t="shared" si="1426"/>
        <v>4850</v>
      </c>
      <c r="V586" s="493">
        <f t="shared" si="1411"/>
        <v>4820</v>
      </c>
      <c r="W586" s="294">
        <f t="shared" si="1427"/>
        <v>4820</v>
      </c>
      <c r="X586" s="147"/>
      <c r="Y586" s="148"/>
      <c r="Z586" s="148"/>
      <c r="AA586" s="148"/>
      <c r="AB586" s="420" t="s">
        <v>816</v>
      </c>
    </row>
    <row r="587" spans="1:34" ht="12.6" customHeight="1" x14ac:dyDescent="0.2">
      <c r="A587" s="18"/>
      <c r="B587" s="669" t="s">
        <v>798</v>
      </c>
      <c r="C587" s="670"/>
      <c r="D587" s="670"/>
      <c r="E587" s="671"/>
      <c r="F587" s="314">
        <v>7460</v>
      </c>
      <c r="G587" s="260"/>
      <c r="H587" s="623">
        <f t="shared" si="1428"/>
        <v>8460</v>
      </c>
      <c r="I587" s="293">
        <f t="shared" si="1429"/>
        <v>8460</v>
      </c>
      <c r="J587" s="623">
        <f t="shared" si="1420"/>
        <v>7960</v>
      </c>
      <c r="K587" s="293">
        <f t="shared" si="1421"/>
        <v>7960</v>
      </c>
      <c r="L587" s="623">
        <f t="shared" si="1401"/>
        <v>7910</v>
      </c>
      <c r="M587" s="293">
        <f t="shared" si="1422"/>
        <v>7910</v>
      </c>
      <c r="N587" s="623">
        <f t="shared" si="1403"/>
        <v>7860</v>
      </c>
      <c r="O587" s="293">
        <f t="shared" si="1423"/>
        <v>7860</v>
      </c>
      <c r="P587" s="623">
        <f t="shared" si="1405"/>
        <v>7810</v>
      </c>
      <c r="Q587" s="293">
        <f t="shared" si="1424"/>
        <v>7810</v>
      </c>
      <c r="R587" s="623">
        <f t="shared" si="1407"/>
        <v>7770</v>
      </c>
      <c r="S587" s="293">
        <f t="shared" si="1425"/>
        <v>7770</v>
      </c>
      <c r="T587" s="623">
        <f t="shared" si="1409"/>
        <v>7740</v>
      </c>
      <c r="U587" s="293">
        <f t="shared" si="1426"/>
        <v>7740</v>
      </c>
      <c r="V587" s="623">
        <f t="shared" si="1411"/>
        <v>7710</v>
      </c>
      <c r="W587" s="293">
        <f t="shared" si="1427"/>
        <v>7710</v>
      </c>
      <c r="X587" s="147"/>
      <c r="Y587" s="148"/>
      <c r="Z587" s="148"/>
      <c r="AA587" s="148"/>
      <c r="AB587" s="32"/>
    </row>
    <row r="588" spans="1:34" ht="12.6" customHeight="1" x14ac:dyDescent="0.2">
      <c r="A588" s="18"/>
      <c r="B588" s="646" t="s">
        <v>519</v>
      </c>
      <c r="C588" s="647"/>
      <c r="D588" s="647"/>
      <c r="E588" s="648"/>
      <c r="F588" s="328">
        <v>7102</v>
      </c>
      <c r="G588" s="313"/>
      <c r="H588" s="493">
        <f t="shared" si="1428"/>
        <v>8102</v>
      </c>
      <c r="I588" s="294">
        <f t="shared" si="1429"/>
        <v>8102</v>
      </c>
      <c r="J588" s="493">
        <f t="shared" si="1420"/>
        <v>7602</v>
      </c>
      <c r="K588" s="294">
        <f t="shared" si="1421"/>
        <v>7602</v>
      </c>
      <c r="L588" s="493">
        <f t="shared" si="1401"/>
        <v>7552</v>
      </c>
      <c r="M588" s="294">
        <f t="shared" si="1422"/>
        <v>7552</v>
      </c>
      <c r="N588" s="493">
        <f t="shared" si="1403"/>
        <v>7502</v>
      </c>
      <c r="O588" s="294">
        <f t="shared" si="1423"/>
        <v>7502</v>
      </c>
      <c r="P588" s="493">
        <f t="shared" si="1405"/>
        <v>7452</v>
      </c>
      <c r="Q588" s="294">
        <f t="shared" si="1424"/>
        <v>7452</v>
      </c>
      <c r="R588" s="493">
        <f t="shared" si="1407"/>
        <v>7412</v>
      </c>
      <c r="S588" s="294">
        <f t="shared" si="1425"/>
        <v>7412</v>
      </c>
      <c r="T588" s="493">
        <f t="shared" si="1409"/>
        <v>7382</v>
      </c>
      <c r="U588" s="294">
        <f t="shared" si="1426"/>
        <v>7382</v>
      </c>
      <c r="V588" s="493">
        <f t="shared" si="1411"/>
        <v>7352</v>
      </c>
      <c r="W588" s="294">
        <f t="shared" si="1427"/>
        <v>7352</v>
      </c>
      <c r="X588" s="147"/>
      <c r="Y588" s="148"/>
      <c r="Z588" s="148"/>
      <c r="AA588" s="148"/>
      <c r="AB588" s="32"/>
    </row>
    <row r="589" spans="1:34" ht="12.6" customHeight="1" x14ac:dyDescent="0.2">
      <c r="A589" s="4"/>
      <c r="B589" s="805" t="s">
        <v>466</v>
      </c>
      <c r="C589" s="650"/>
      <c r="D589" s="650"/>
      <c r="E589" s="651"/>
      <c r="F589" s="293">
        <v>1800</v>
      </c>
      <c r="G589" s="260"/>
      <c r="H589" s="598"/>
      <c r="I589" s="293"/>
      <c r="J589" s="623">
        <f t="shared" si="1420"/>
        <v>2300</v>
      </c>
      <c r="K589" s="293">
        <f t="shared" si="1421"/>
        <v>2300</v>
      </c>
      <c r="L589" s="623">
        <f t="shared" si="1401"/>
        <v>2250</v>
      </c>
      <c r="M589" s="293">
        <f t="shared" si="1422"/>
        <v>2250</v>
      </c>
      <c r="N589" s="623">
        <f t="shared" si="1403"/>
        <v>2200</v>
      </c>
      <c r="O589" s="293">
        <f t="shared" si="1423"/>
        <v>2200</v>
      </c>
      <c r="P589" s="623">
        <f t="shared" si="1405"/>
        <v>2150</v>
      </c>
      <c r="Q589" s="293">
        <f t="shared" si="1424"/>
        <v>2150</v>
      </c>
      <c r="R589" s="623">
        <f t="shared" si="1407"/>
        <v>2110</v>
      </c>
      <c r="S589" s="293">
        <f t="shared" si="1425"/>
        <v>2110</v>
      </c>
      <c r="T589" s="623">
        <f t="shared" si="1409"/>
        <v>2080</v>
      </c>
      <c r="U589" s="293">
        <f t="shared" si="1426"/>
        <v>2080</v>
      </c>
      <c r="V589" s="623">
        <f t="shared" si="1411"/>
        <v>2050</v>
      </c>
      <c r="W589" s="293">
        <f t="shared" si="1427"/>
        <v>2050</v>
      </c>
      <c r="X589" s="147"/>
      <c r="Y589" s="132"/>
      <c r="Z589" s="149"/>
      <c r="AA589" s="149"/>
      <c r="AB589" s="420" t="s">
        <v>465</v>
      </c>
    </row>
    <row r="590" spans="1:34" ht="12.6" customHeight="1" x14ac:dyDescent="0.2">
      <c r="A590" s="4"/>
      <c r="B590" s="809" t="s">
        <v>464</v>
      </c>
      <c r="C590" s="647"/>
      <c r="D590" s="647"/>
      <c r="E590" s="648"/>
      <c r="F590" s="294">
        <v>1800</v>
      </c>
      <c r="G590" s="313"/>
      <c r="H590" s="493"/>
      <c r="I590" s="294"/>
      <c r="J590" s="493">
        <f t="shared" si="1420"/>
        <v>2300</v>
      </c>
      <c r="K590" s="294">
        <f t="shared" si="1421"/>
        <v>2300</v>
      </c>
      <c r="L590" s="493">
        <f t="shared" si="1401"/>
        <v>2250</v>
      </c>
      <c r="M590" s="294">
        <f t="shared" si="1422"/>
        <v>2250</v>
      </c>
      <c r="N590" s="493">
        <f t="shared" si="1403"/>
        <v>2200</v>
      </c>
      <c r="O590" s="294">
        <f t="shared" si="1423"/>
        <v>2200</v>
      </c>
      <c r="P590" s="493">
        <f t="shared" si="1405"/>
        <v>2150</v>
      </c>
      <c r="Q590" s="294">
        <f t="shared" si="1424"/>
        <v>2150</v>
      </c>
      <c r="R590" s="493">
        <f t="shared" si="1407"/>
        <v>2110</v>
      </c>
      <c r="S590" s="294">
        <f t="shared" si="1425"/>
        <v>2110</v>
      </c>
      <c r="T590" s="493">
        <f t="shared" si="1409"/>
        <v>2080</v>
      </c>
      <c r="U590" s="294">
        <f t="shared" si="1426"/>
        <v>2080</v>
      </c>
      <c r="V590" s="493">
        <f t="shared" si="1411"/>
        <v>2050</v>
      </c>
      <c r="W590" s="294">
        <f t="shared" si="1427"/>
        <v>2050</v>
      </c>
      <c r="X590" s="147"/>
      <c r="Y590" s="132"/>
      <c r="Z590" s="149"/>
      <c r="AA590" s="149"/>
      <c r="AB590" s="420" t="s">
        <v>461</v>
      </c>
    </row>
    <row r="591" spans="1:34" ht="12.6" customHeight="1" x14ac:dyDescent="0.2">
      <c r="A591" s="4"/>
      <c r="B591" s="805" t="s">
        <v>462</v>
      </c>
      <c r="C591" s="650"/>
      <c r="D591" s="650"/>
      <c r="E591" s="651"/>
      <c r="F591" s="293">
        <v>2700</v>
      </c>
      <c r="G591" s="260"/>
      <c r="H591" s="598"/>
      <c r="I591" s="293"/>
      <c r="J591" s="623">
        <f t="shared" si="1420"/>
        <v>3200</v>
      </c>
      <c r="K591" s="293">
        <f t="shared" si="1421"/>
        <v>3200</v>
      </c>
      <c r="L591" s="623">
        <f t="shared" si="1401"/>
        <v>3150</v>
      </c>
      <c r="M591" s="293">
        <f t="shared" si="1422"/>
        <v>3150</v>
      </c>
      <c r="N591" s="623">
        <f t="shared" si="1403"/>
        <v>3100</v>
      </c>
      <c r="O591" s="293">
        <f t="shared" si="1423"/>
        <v>3100</v>
      </c>
      <c r="P591" s="623">
        <f t="shared" si="1405"/>
        <v>3050</v>
      </c>
      <c r="Q591" s="293">
        <f t="shared" si="1424"/>
        <v>3050</v>
      </c>
      <c r="R591" s="623">
        <f t="shared" si="1407"/>
        <v>3010</v>
      </c>
      <c r="S591" s="293">
        <f t="shared" si="1425"/>
        <v>3010</v>
      </c>
      <c r="T591" s="623">
        <f t="shared" si="1409"/>
        <v>2980</v>
      </c>
      <c r="U591" s="293">
        <f t="shared" si="1426"/>
        <v>2980</v>
      </c>
      <c r="V591" s="623">
        <f t="shared" si="1411"/>
        <v>2950</v>
      </c>
      <c r="W591" s="293">
        <f t="shared" si="1427"/>
        <v>2950</v>
      </c>
      <c r="X591" s="147"/>
      <c r="Y591" s="132"/>
      <c r="Z591" s="149"/>
      <c r="AA591" s="149"/>
      <c r="AB591" s="420" t="s">
        <v>463</v>
      </c>
    </row>
    <row r="592" spans="1:34" ht="12.6" customHeight="1" x14ac:dyDescent="0.2">
      <c r="A592" s="4"/>
      <c r="B592" s="809" t="s">
        <v>301</v>
      </c>
      <c r="C592" s="647"/>
      <c r="D592" s="647"/>
      <c r="E592" s="648"/>
      <c r="F592" s="329"/>
      <c r="G592" s="95"/>
      <c r="H592" s="94"/>
      <c r="I592" s="94"/>
      <c r="J592" s="94"/>
      <c r="K592" s="94"/>
      <c r="L592" s="94"/>
      <c r="M592" s="94"/>
      <c r="N592" s="94"/>
      <c r="O592" s="94"/>
      <c r="P592" s="94"/>
      <c r="Q592" s="94"/>
      <c r="R592" s="94"/>
      <c r="S592" s="94"/>
      <c r="T592" s="94"/>
      <c r="U592" s="94"/>
      <c r="V592" s="94"/>
      <c r="W592" s="94"/>
      <c r="X592" s="147"/>
      <c r="Y592" s="132"/>
      <c r="Z592" s="149"/>
      <c r="AA592" s="149"/>
      <c r="AB592" s="420" t="s">
        <v>302</v>
      </c>
    </row>
    <row r="593" spans="1:34" ht="12.6" customHeight="1" x14ac:dyDescent="0.2">
      <c r="A593" s="4"/>
      <c r="B593" s="805" t="s">
        <v>303</v>
      </c>
      <c r="C593" s="650"/>
      <c r="D593" s="650"/>
      <c r="E593" s="651"/>
      <c r="F593" s="239"/>
      <c r="G593" s="97"/>
      <c r="H593" s="239"/>
      <c r="I593" s="239"/>
      <c r="J593" s="239"/>
      <c r="K593" s="239"/>
      <c r="L593" s="239"/>
      <c r="M593" s="239"/>
      <c r="N593" s="239"/>
      <c r="O593" s="239"/>
      <c r="P593" s="239"/>
      <c r="Q593" s="239"/>
      <c r="R593" s="239"/>
      <c r="S593" s="239"/>
      <c r="T593" s="239"/>
      <c r="U593" s="239"/>
      <c r="V593" s="239"/>
      <c r="W593" s="239"/>
      <c r="X593" s="147"/>
      <c r="Y593" s="132"/>
      <c r="Z593" s="149"/>
      <c r="AA593" s="149"/>
      <c r="AB593" s="420"/>
    </row>
    <row r="594" spans="1:34" ht="12.6" customHeight="1" x14ac:dyDescent="0.2">
      <c r="A594" s="4"/>
      <c r="B594" s="797" t="s">
        <v>304</v>
      </c>
      <c r="C594" s="643"/>
      <c r="D594" s="643"/>
      <c r="E594" s="643"/>
      <c r="F594" s="94"/>
      <c r="G594" s="95"/>
      <c r="H594" s="94"/>
      <c r="I594" s="94"/>
      <c r="J594" s="94"/>
      <c r="K594" s="94"/>
      <c r="L594" s="94"/>
      <c r="M594" s="94"/>
      <c r="N594" s="94"/>
      <c r="O594" s="94"/>
      <c r="P594" s="94"/>
      <c r="Q594" s="94"/>
      <c r="R594" s="94"/>
      <c r="S594" s="94"/>
      <c r="T594" s="94"/>
      <c r="U594" s="94"/>
      <c r="V594" s="94"/>
      <c r="W594" s="94"/>
      <c r="X594" s="147"/>
      <c r="Y594" s="132"/>
      <c r="Z594" s="149"/>
      <c r="AA594" s="149"/>
      <c r="AB594" s="420">
        <v>730</v>
      </c>
    </row>
    <row r="595" spans="1:34" ht="12.6" customHeight="1" x14ac:dyDescent="0.2">
      <c r="A595" s="4"/>
      <c r="B595" s="765" t="s">
        <v>305</v>
      </c>
      <c r="C595" s="645"/>
      <c r="D595" s="645"/>
      <c r="E595" s="645"/>
      <c r="F595" s="239"/>
      <c r="G595" s="97"/>
      <c r="H595" s="239"/>
      <c r="I595" s="239"/>
      <c r="J595" s="239"/>
      <c r="K595" s="239"/>
      <c r="L595" s="239"/>
      <c r="M595" s="239"/>
      <c r="N595" s="239"/>
      <c r="O595" s="239"/>
      <c r="P595" s="239"/>
      <c r="Q595" s="239"/>
      <c r="R595" s="239"/>
      <c r="S595" s="239"/>
      <c r="T595" s="239"/>
      <c r="U595" s="239"/>
      <c r="V595" s="239"/>
      <c r="W595" s="239"/>
      <c r="X595" s="147"/>
      <c r="Y595" s="132"/>
      <c r="Z595" s="149"/>
      <c r="AA595" s="149"/>
      <c r="AB595" s="420">
        <v>731</v>
      </c>
    </row>
    <row r="596" spans="1:34" ht="12.6" customHeight="1" x14ac:dyDescent="0.2">
      <c r="A596" s="4"/>
      <c r="B596" s="797" t="s">
        <v>411</v>
      </c>
      <c r="C596" s="643"/>
      <c r="D596" s="643"/>
      <c r="E596" s="643"/>
      <c r="F596" s="94"/>
      <c r="G596" s="95"/>
      <c r="H596" s="94"/>
      <c r="I596" s="94"/>
      <c r="J596" s="94"/>
      <c r="K596" s="94"/>
      <c r="L596" s="94"/>
      <c r="M596" s="94"/>
      <c r="N596" s="94"/>
      <c r="O596" s="94"/>
      <c r="P596" s="94"/>
      <c r="Q596" s="94"/>
      <c r="R596" s="94"/>
      <c r="S596" s="94"/>
      <c r="T596" s="94"/>
      <c r="U596" s="94"/>
      <c r="V596" s="94"/>
      <c r="W596" s="94"/>
      <c r="X596" s="141"/>
      <c r="Y596" s="136"/>
      <c r="Z596" s="142"/>
      <c r="AA596" s="143"/>
      <c r="AB596" s="420">
        <v>735</v>
      </c>
    </row>
    <row r="597" spans="1:34" ht="12.6" customHeight="1" x14ac:dyDescent="0.2">
      <c r="A597" s="4"/>
      <c r="B597" s="765" t="s">
        <v>410</v>
      </c>
      <c r="C597" s="645"/>
      <c r="D597" s="645"/>
      <c r="E597" s="645"/>
      <c r="F597" s="239"/>
      <c r="G597" s="97"/>
      <c r="H597" s="239"/>
      <c r="I597" s="239"/>
      <c r="J597" s="239"/>
      <c r="K597" s="239"/>
      <c r="L597" s="239"/>
      <c r="M597" s="239"/>
      <c r="N597" s="239"/>
      <c r="O597" s="239"/>
      <c r="P597" s="239"/>
      <c r="Q597" s="239"/>
      <c r="R597" s="239"/>
      <c r="S597" s="239"/>
      <c r="T597" s="239"/>
      <c r="U597" s="239"/>
      <c r="V597" s="239"/>
      <c r="W597" s="239"/>
      <c r="X597" s="141"/>
      <c r="Y597" s="136"/>
      <c r="Z597" s="142"/>
      <c r="AA597" s="143"/>
      <c r="AB597" s="420">
        <v>736</v>
      </c>
    </row>
    <row r="598" spans="1:34" ht="12.6" customHeight="1" x14ac:dyDescent="0.2">
      <c r="A598" s="4"/>
      <c r="B598" s="797" t="s">
        <v>306</v>
      </c>
      <c r="C598" s="689"/>
      <c r="D598" s="689"/>
      <c r="E598" s="689"/>
      <c r="F598" s="101"/>
      <c r="G598" s="95"/>
      <c r="H598" s="94"/>
      <c r="I598" s="94"/>
      <c r="J598" s="94"/>
      <c r="K598" s="94"/>
      <c r="L598" s="94"/>
      <c r="M598" s="94"/>
      <c r="N598" s="94"/>
      <c r="O598" s="94"/>
      <c r="P598" s="94"/>
      <c r="Q598" s="94"/>
      <c r="R598" s="94"/>
      <c r="S598" s="94"/>
      <c r="T598" s="94"/>
      <c r="U598" s="94"/>
      <c r="V598" s="94"/>
      <c r="W598" s="94"/>
      <c r="X598" s="141"/>
      <c r="Y598" s="136"/>
      <c r="Z598" s="142"/>
      <c r="AA598" s="143"/>
      <c r="AB598" s="420">
        <v>986</v>
      </c>
    </row>
    <row r="599" spans="1:34" ht="12.6" customHeight="1" x14ac:dyDescent="0.2">
      <c r="A599" s="4"/>
      <c r="B599" s="765" t="s">
        <v>427</v>
      </c>
      <c r="C599" s="680"/>
      <c r="D599" s="680"/>
      <c r="E599" s="680"/>
      <c r="F599" s="239"/>
      <c r="G599" s="97"/>
      <c r="H599" s="239"/>
      <c r="I599" s="239"/>
      <c r="J599" s="239"/>
      <c r="K599" s="239"/>
      <c r="L599" s="239"/>
      <c r="M599" s="239"/>
      <c r="N599" s="239"/>
      <c r="O599" s="239"/>
      <c r="P599" s="239"/>
      <c r="Q599" s="239"/>
      <c r="R599" s="239"/>
      <c r="S599" s="239"/>
      <c r="T599" s="239"/>
      <c r="U599" s="239"/>
      <c r="V599" s="239"/>
      <c r="W599" s="239"/>
      <c r="X599" s="141"/>
      <c r="Y599" s="136"/>
      <c r="Z599" s="142"/>
      <c r="AA599" s="143"/>
      <c r="AB599" s="420"/>
    </row>
    <row r="600" spans="1:34" ht="12.6" customHeight="1" x14ac:dyDescent="0.2">
      <c r="A600" s="4"/>
      <c r="B600" s="797" t="s">
        <v>374</v>
      </c>
      <c r="C600" s="689"/>
      <c r="D600" s="689"/>
      <c r="E600" s="689"/>
      <c r="F600" s="101"/>
      <c r="G600" s="95"/>
      <c r="H600" s="94"/>
      <c r="I600" s="94"/>
      <c r="J600" s="94"/>
      <c r="K600" s="94"/>
      <c r="L600" s="94"/>
      <c r="M600" s="94"/>
      <c r="N600" s="94"/>
      <c r="O600" s="94"/>
      <c r="P600" s="94"/>
      <c r="Q600" s="94"/>
      <c r="R600" s="94"/>
      <c r="S600" s="94"/>
      <c r="T600" s="94"/>
      <c r="U600" s="94"/>
      <c r="V600" s="94"/>
      <c r="W600" s="94"/>
      <c r="X600" s="141"/>
      <c r="Y600" s="136"/>
      <c r="Z600" s="142"/>
      <c r="AA600" s="143"/>
      <c r="AB600" s="420">
        <v>987</v>
      </c>
    </row>
    <row r="601" spans="1:34" ht="12.6" customHeight="1" x14ac:dyDescent="0.2">
      <c r="A601" s="4"/>
      <c r="B601" s="765" t="s">
        <v>428</v>
      </c>
      <c r="C601" s="680"/>
      <c r="D601" s="680"/>
      <c r="E601" s="680"/>
      <c r="F601" s="239"/>
      <c r="G601" s="97"/>
      <c r="H601" s="239"/>
      <c r="I601" s="239"/>
      <c r="J601" s="239"/>
      <c r="K601" s="239"/>
      <c r="L601" s="239"/>
      <c r="M601" s="239"/>
      <c r="N601" s="239"/>
      <c r="O601" s="239"/>
      <c r="P601" s="239"/>
      <c r="Q601" s="239"/>
      <c r="R601" s="239"/>
      <c r="S601" s="239"/>
      <c r="T601" s="239"/>
      <c r="U601" s="239"/>
      <c r="V601" s="239"/>
      <c r="W601" s="239"/>
      <c r="X601" s="141"/>
      <c r="Y601" s="136"/>
      <c r="Z601" s="142"/>
      <c r="AA601" s="143"/>
      <c r="AB601" s="420"/>
    </row>
    <row r="602" spans="1:34" ht="12.6" customHeight="1" x14ac:dyDescent="0.2">
      <c r="A602" s="4"/>
      <c r="B602" s="797" t="s">
        <v>307</v>
      </c>
      <c r="C602" s="643"/>
      <c r="D602" s="643"/>
      <c r="E602" s="643"/>
      <c r="F602" s="94"/>
      <c r="G602" s="95"/>
      <c r="H602" s="94"/>
      <c r="I602" s="94"/>
      <c r="J602" s="94"/>
      <c r="K602" s="94"/>
      <c r="L602" s="94"/>
      <c r="M602" s="94"/>
      <c r="N602" s="94"/>
      <c r="O602" s="94"/>
      <c r="P602" s="94"/>
      <c r="Q602" s="94"/>
      <c r="R602" s="94"/>
      <c r="S602" s="94"/>
      <c r="T602" s="94"/>
      <c r="U602" s="94"/>
      <c r="V602" s="94"/>
      <c r="W602" s="94"/>
      <c r="X602" s="141"/>
      <c r="Y602" s="136"/>
      <c r="Z602" s="142"/>
      <c r="AA602" s="143"/>
      <c r="AB602" s="420">
        <v>989</v>
      </c>
    </row>
    <row r="603" spans="1:34" ht="12.6" customHeight="1" x14ac:dyDescent="0.2">
      <c r="A603" s="4"/>
      <c r="B603" s="765" t="s">
        <v>308</v>
      </c>
      <c r="C603" s="645"/>
      <c r="D603" s="645"/>
      <c r="E603" s="645"/>
      <c r="F603" s="239"/>
      <c r="G603" s="97"/>
      <c r="H603" s="239"/>
      <c r="I603" s="239"/>
      <c r="J603" s="239"/>
      <c r="K603" s="239"/>
      <c r="L603" s="239"/>
      <c r="M603" s="239"/>
      <c r="N603" s="239"/>
      <c r="O603" s="239"/>
      <c r="P603" s="239"/>
      <c r="Q603" s="239"/>
      <c r="R603" s="239"/>
      <c r="S603" s="239"/>
      <c r="T603" s="239"/>
      <c r="U603" s="239"/>
      <c r="V603" s="239"/>
      <c r="W603" s="239"/>
      <c r="X603" s="141"/>
      <c r="Y603" s="136"/>
      <c r="Z603" s="142"/>
      <c r="AA603" s="143"/>
      <c r="AB603" s="439" t="s">
        <v>309</v>
      </c>
    </row>
    <row r="604" spans="1:34" ht="12.6" customHeight="1" x14ac:dyDescent="0.2">
      <c r="A604" s="4"/>
      <c r="B604" s="797" t="s">
        <v>310</v>
      </c>
      <c r="C604" s="689"/>
      <c r="D604" s="689"/>
      <c r="E604" s="689"/>
      <c r="F604" s="94"/>
      <c r="G604" s="95"/>
      <c r="H604" s="94"/>
      <c r="I604" s="94"/>
      <c r="J604" s="94"/>
      <c r="K604" s="94"/>
      <c r="L604" s="94"/>
      <c r="M604" s="94"/>
      <c r="N604" s="94"/>
      <c r="O604" s="94"/>
      <c r="P604" s="94"/>
      <c r="Q604" s="94"/>
      <c r="R604" s="94"/>
      <c r="S604" s="94"/>
      <c r="T604" s="94"/>
      <c r="U604" s="94"/>
      <c r="V604" s="94"/>
      <c r="W604" s="94"/>
      <c r="X604" s="144"/>
      <c r="Y604" s="134"/>
      <c r="Z604" s="145"/>
      <c r="AA604" s="146"/>
      <c r="AB604" s="32"/>
    </row>
    <row r="605" spans="1:34" ht="12.75" customHeight="1" x14ac:dyDescent="0.2">
      <c r="A605" s="76"/>
      <c r="B605" s="109"/>
      <c r="C605" s="204"/>
      <c r="D605" s="204"/>
      <c r="E605" s="204"/>
      <c r="F605" s="130"/>
      <c r="G605" s="118"/>
      <c r="H605" s="118"/>
      <c r="I605" s="118"/>
      <c r="J605" s="118"/>
      <c r="K605" s="118"/>
      <c r="L605" s="118"/>
      <c r="M605" s="118"/>
      <c r="N605" s="118"/>
      <c r="O605" s="118"/>
      <c r="P605" s="118"/>
      <c r="Q605" s="118"/>
      <c r="R605" s="118"/>
      <c r="S605" s="118"/>
      <c r="T605" s="118"/>
      <c r="U605" s="118"/>
      <c r="V605" s="118"/>
      <c r="W605" s="118"/>
      <c r="X605" s="205"/>
      <c r="Y605" s="76"/>
      <c r="Z605" s="206"/>
      <c r="AA605" s="206"/>
      <c r="AB605" s="207"/>
    </row>
    <row r="606" spans="1:34" ht="13.5" customHeight="1" x14ac:dyDescent="0.2">
      <c r="B606" s="803" t="s">
        <v>311</v>
      </c>
      <c r="C606" s="804"/>
      <c r="D606" s="804"/>
      <c r="E606" s="804"/>
      <c r="F606" s="804"/>
      <c r="G606" s="804"/>
      <c r="H606" s="804"/>
      <c r="I606" s="804"/>
      <c r="J606" s="804"/>
      <c r="K606" s="804"/>
      <c r="L606" s="804"/>
      <c r="M606" s="804"/>
      <c r="N606" s="804"/>
      <c r="O606" s="804"/>
      <c r="P606" s="804"/>
      <c r="Q606" s="804"/>
      <c r="R606" s="804"/>
      <c r="S606" s="804"/>
      <c r="T606" s="843"/>
      <c r="U606" s="843"/>
      <c r="V606" s="844"/>
      <c r="W606" s="844"/>
      <c r="AB606" s="4"/>
    </row>
    <row r="607" spans="1:34" ht="12" customHeight="1" x14ac:dyDescent="0.2">
      <c r="B607" s="798" t="s">
        <v>11</v>
      </c>
      <c r="C607" s="798" t="s">
        <v>12</v>
      </c>
      <c r="D607" s="799"/>
      <c r="E607" s="799"/>
      <c r="F607" s="708" t="s">
        <v>293</v>
      </c>
      <c r="G607" s="708" t="s">
        <v>13</v>
      </c>
      <c r="H607" s="781" t="s">
        <v>838</v>
      </c>
      <c r="I607" s="781"/>
      <c r="J607" s="782"/>
      <c r="K607" s="782"/>
      <c r="L607" s="782"/>
      <c r="M607" s="782"/>
      <c r="N607" s="782"/>
      <c r="O607" s="782"/>
      <c r="P607" s="782"/>
      <c r="Q607" s="782"/>
      <c r="R607" s="782"/>
      <c r="S607" s="782"/>
      <c r="T607" s="782"/>
      <c r="U607" s="782"/>
      <c r="V607" s="782"/>
      <c r="W607" s="782"/>
      <c r="X607" s="771" t="s">
        <v>14</v>
      </c>
      <c r="Y607" s="783"/>
      <c r="Z607" s="783"/>
      <c r="AA607" s="784"/>
      <c r="AB607" s="779" t="s">
        <v>15</v>
      </c>
      <c r="AF607" s="777" t="s">
        <v>3</v>
      </c>
      <c r="AG607" s="778"/>
      <c r="AH607" s="778"/>
    </row>
    <row r="608" spans="1:34" ht="12" customHeight="1" x14ac:dyDescent="0.2">
      <c r="B608" s="799"/>
      <c r="C608" s="799"/>
      <c r="D608" s="799"/>
      <c r="E608" s="799"/>
      <c r="F608" s="709"/>
      <c r="G608" s="709"/>
      <c r="H608" s="509"/>
      <c r="I608" s="510" t="s">
        <v>581</v>
      </c>
      <c r="J608" s="509"/>
      <c r="K608" s="510" t="s">
        <v>294</v>
      </c>
      <c r="L608" s="510"/>
      <c r="M608" s="510" t="s">
        <v>295</v>
      </c>
      <c r="N608" s="510"/>
      <c r="O608" s="510" t="s">
        <v>296</v>
      </c>
      <c r="P608" s="510"/>
      <c r="Q608" s="510" t="s">
        <v>18</v>
      </c>
      <c r="R608" s="510"/>
      <c r="S608" s="510" t="s">
        <v>19</v>
      </c>
      <c r="T608" s="510"/>
      <c r="U608" s="510" t="s">
        <v>297</v>
      </c>
      <c r="V608" s="510"/>
      <c r="W608" s="510" t="s">
        <v>20</v>
      </c>
      <c r="X608" s="785"/>
      <c r="Y608" s="786"/>
      <c r="Z608" s="786"/>
      <c r="AA608" s="787"/>
      <c r="AB608" s="780"/>
    </row>
    <row r="609" spans="1:38" ht="12.6" customHeight="1" x14ac:dyDescent="0.2">
      <c r="B609" s="788" t="s">
        <v>782</v>
      </c>
      <c r="C609" s="788"/>
      <c r="D609" s="788"/>
      <c r="E609" s="788"/>
      <c r="F609" s="576">
        <f>21.73*X2</f>
        <v>22316.71</v>
      </c>
      <c r="G609" s="314">
        <f>+F609*$X$1</f>
        <v>22316.71</v>
      </c>
      <c r="H609" s="104">
        <f>F609+3000</f>
        <v>25316.71</v>
      </c>
      <c r="I609" s="314">
        <f t="shared" ref="I609" si="1430">+H609*$X$1</f>
        <v>25316.71</v>
      </c>
      <c r="J609" s="104">
        <f>F609+700</f>
        <v>23016.71</v>
      </c>
      <c r="K609" s="314">
        <f t="shared" ref="K609" si="1431">+J609*$X$1</f>
        <v>23016.71</v>
      </c>
      <c r="L609" s="104">
        <f>F609+400</f>
        <v>22716.71</v>
      </c>
      <c r="M609" s="314">
        <f t="shared" ref="M609" si="1432">+L609*$X$1</f>
        <v>22716.71</v>
      </c>
      <c r="N609" s="104">
        <f>F609+200</f>
        <v>22516.71</v>
      </c>
      <c r="O609" s="314">
        <f t="shared" ref="O609" si="1433">+N609*$X$1</f>
        <v>22516.71</v>
      </c>
      <c r="P609" s="104">
        <f>F609+160</f>
        <v>22476.71</v>
      </c>
      <c r="Q609" s="314">
        <f t="shared" ref="Q609" si="1434">+P609*$X$1</f>
        <v>22476.71</v>
      </c>
      <c r="R609" s="104">
        <f>F609+120</f>
        <v>22436.71</v>
      </c>
      <c r="S609" s="314">
        <f t="shared" ref="S609" si="1435">+R609*$X$1</f>
        <v>22436.71</v>
      </c>
      <c r="T609" s="104">
        <f>F609+80</f>
        <v>22396.71</v>
      </c>
      <c r="U609" s="314">
        <f t="shared" ref="U609" si="1436">+T609*$X$1</f>
        <v>22396.71</v>
      </c>
      <c r="V609" s="104">
        <f>F609+70</f>
        <v>22386.71</v>
      </c>
      <c r="W609" s="314">
        <f t="shared" ref="W609" si="1437">+V609*$X$1</f>
        <v>22386.71</v>
      </c>
      <c r="X609" s="488"/>
      <c r="Y609" s="138"/>
      <c r="Z609" s="136"/>
      <c r="AA609" s="139"/>
      <c r="AB609" s="440" t="s">
        <v>783</v>
      </c>
    </row>
    <row r="610" spans="1:38" ht="12.6" customHeight="1" x14ac:dyDescent="0.2">
      <c r="B610" s="797" t="s">
        <v>312</v>
      </c>
      <c r="C610" s="797"/>
      <c r="D610" s="797"/>
      <c r="E610" s="797"/>
      <c r="F610" s="479"/>
      <c r="G610" s="493"/>
      <c r="H610" s="106"/>
      <c r="I610" s="106"/>
      <c r="J610" s="493"/>
      <c r="K610" s="493"/>
      <c r="L610" s="493"/>
      <c r="M610" s="493"/>
      <c r="N610" s="116"/>
      <c r="O610" s="493"/>
      <c r="P610" s="493"/>
      <c r="Q610" s="493"/>
      <c r="R610" s="493"/>
      <c r="S610" s="493"/>
      <c r="T610" s="493"/>
      <c r="U610" s="493"/>
      <c r="V610" s="265"/>
      <c r="W610" s="486"/>
      <c r="X610" s="136"/>
      <c r="Y610" s="136"/>
      <c r="Z610" s="136"/>
      <c r="AA610" s="139"/>
      <c r="AB610" s="439" t="s">
        <v>313</v>
      </c>
    </row>
    <row r="611" spans="1:38" ht="12.6" customHeight="1" x14ac:dyDescent="0.2">
      <c r="B611" s="765" t="s">
        <v>314</v>
      </c>
      <c r="C611" s="765"/>
      <c r="D611" s="765"/>
      <c r="E611" s="765"/>
      <c r="F611" s="117"/>
      <c r="G611" s="574"/>
      <c r="H611" s="102"/>
      <c r="I611" s="102"/>
      <c r="J611" s="574"/>
      <c r="K611" s="574"/>
      <c r="L611" s="574"/>
      <c r="M611" s="574"/>
      <c r="N611" s="115"/>
      <c r="O611" s="574"/>
      <c r="P611" s="574"/>
      <c r="Q611" s="574"/>
      <c r="R611" s="574"/>
      <c r="S611" s="574"/>
      <c r="T611" s="574"/>
      <c r="U611" s="574"/>
      <c r="V611" s="577"/>
      <c r="W611" s="483"/>
      <c r="X611" s="136"/>
      <c r="Y611" s="136"/>
      <c r="Z611" s="136"/>
      <c r="AA611" s="139"/>
      <c r="AB611" s="439" t="s">
        <v>315</v>
      </c>
    </row>
    <row r="612" spans="1:38" ht="12.6" customHeight="1" x14ac:dyDescent="0.2">
      <c r="B612" s="869" t="s">
        <v>747</v>
      </c>
      <c r="C612" s="869"/>
      <c r="D612" s="869"/>
      <c r="E612" s="869"/>
      <c r="F612" s="481">
        <f>20.59*X2</f>
        <v>21145.93</v>
      </c>
      <c r="G612" s="294">
        <f>+F612*$X$1</f>
        <v>21145.93</v>
      </c>
      <c r="H612" s="493">
        <f>F612+2400</f>
        <v>23545.93</v>
      </c>
      <c r="I612" s="294">
        <f t="shared" ref="I612:I613" si="1438">+H612*$X$1</f>
        <v>23545.93</v>
      </c>
      <c r="J612" s="493">
        <f>F612+600</f>
        <v>21745.93</v>
      </c>
      <c r="K612" s="294">
        <f t="shared" ref="K612:K613" si="1439">+J612*$X$1</f>
        <v>21745.93</v>
      </c>
      <c r="L612" s="493">
        <f>F612+350</f>
        <v>21495.93</v>
      </c>
      <c r="M612" s="294">
        <f t="shared" ref="M612:M613" si="1440">+L612*$X$1</f>
        <v>21495.93</v>
      </c>
      <c r="N612" s="493">
        <f>F612+170</f>
        <v>21315.93</v>
      </c>
      <c r="O612" s="294">
        <f t="shared" ref="O612:O613" si="1441">+N612*$X$1</f>
        <v>21315.93</v>
      </c>
      <c r="P612" s="493">
        <f>F612+130</f>
        <v>21275.93</v>
      </c>
      <c r="Q612" s="294">
        <f t="shared" ref="Q612:Q613" si="1442">+P612*$X$1</f>
        <v>21275.93</v>
      </c>
      <c r="R612" s="493">
        <f>F612+90</f>
        <v>21235.93</v>
      </c>
      <c r="S612" s="294">
        <f t="shared" ref="S612:S613" si="1443">+R612*$X$1</f>
        <v>21235.93</v>
      </c>
      <c r="T612" s="493">
        <f>F612+75</f>
        <v>21220.93</v>
      </c>
      <c r="U612" s="294">
        <f t="shared" ref="U612:U613" si="1444">+T612*$X$1</f>
        <v>21220.93</v>
      </c>
      <c r="V612" s="493">
        <f>F612+64</f>
        <v>21209.93</v>
      </c>
      <c r="W612" s="294">
        <f t="shared" ref="W612:W613" si="1445">+V612*$X$1</f>
        <v>21209.93</v>
      </c>
      <c r="X612" s="475"/>
      <c r="Y612" s="138"/>
      <c r="Z612" s="136"/>
      <c r="AA612" s="139"/>
      <c r="AB612" s="439" t="s">
        <v>748</v>
      </c>
    </row>
    <row r="613" spans="1:38" ht="12.6" customHeight="1" x14ac:dyDescent="0.2">
      <c r="B613" s="765" t="s">
        <v>901</v>
      </c>
      <c r="C613" s="765"/>
      <c r="D613" s="765"/>
      <c r="E613" s="765"/>
      <c r="F613" s="480">
        <f>22.35*X2</f>
        <v>22953.45</v>
      </c>
      <c r="G613" s="293">
        <f>+F613*$X$1</f>
        <v>22953.45</v>
      </c>
      <c r="H613" s="104">
        <f>F613+3300</f>
        <v>26253.45</v>
      </c>
      <c r="I613" s="314">
        <f t="shared" si="1438"/>
        <v>26253.45</v>
      </c>
      <c r="J613" s="104">
        <f>F613+750</f>
        <v>23703.45</v>
      </c>
      <c r="K613" s="314">
        <f t="shared" si="1439"/>
        <v>23703.45</v>
      </c>
      <c r="L613" s="104">
        <f>F613+600</f>
        <v>23553.45</v>
      </c>
      <c r="M613" s="314">
        <f t="shared" si="1440"/>
        <v>23553.45</v>
      </c>
      <c r="N613" s="104">
        <f>F613+580</f>
        <v>23533.45</v>
      </c>
      <c r="O613" s="314">
        <f t="shared" si="1441"/>
        <v>23533.45</v>
      </c>
      <c r="P613" s="104">
        <f>F613+530</f>
        <v>23483.45</v>
      </c>
      <c r="Q613" s="314">
        <f t="shared" si="1442"/>
        <v>23483.45</v>
      </c>
      <c r="R613" s="104">
        <f>F613+490</f>
        <v>23443.45</v>
      </c>
      <c r="S613" s="314">
        <f t="shared" si="1443"/>
        <v>23443.45</v>
      </c>
      <c r="T613" s="104">
        <f>F613+450</f>
        <v>23403.45</v>
      </c>
      <c r="U613" s="314">
        <f t="shared" si="1444"/>
        <v>23403.45</v>
      </c>
      <c r="V613" s="104">
        <f>F613+400</f>
        <v>23353.45</v>
      </c>
      <c r="W613" s="314">
        <f t="shared" si="1445"/>
        <v>23353.45</v>
      </c>
      <c r="X613" s="571"/>
      <c r="Y613" s="138"/>
      <c r="Z613" s="136"/>
      <c r="AA613" s="139"/>
      <c r="AB613" s="439" t="s">
        <v>900</v>
      </c>
    </row>
    <row r="614" spans="1:38" ht="12.6" customHeight="1" x14ac:dyDescent="0.2">
      <c r="B614" s="869" t="s">
        <v>749</v>
      </c>
      <c r="C614" s="869"/>
      <c r="D614" s="869"/>
      <c r="E614" s="869"/>
      <c r="F614" s="481">
        <f>38.5*X2</f>
        <v>39539.5</v>
      </c>
      <c r="G614" s="294">
        <f>+F614*$X$1</f>
        <v>39539.5</v>
      </c>
      <c r="H614" s="493">
        <f>F614+2400</f>
        <v>41939.5</v>
      </c>
      <c r="I614" s="294">
        <f t="shared" ref="I614:I615" si="1446">+H614*$X$1</f>
        <v>41939.5</v>
      </c>
      <c r="J614" s="493">
        <f>F614+600</f>
        <v>40139.5</v>
      </c>
      <c r="K614" s="294">
        <f t="shared" ref="K614:K615" si="1447">+J614*$X$1</f>
        <v>40139.5</v>
      </c>
      <c r="L614" s="493">
        <f>F614+350</f>
        <v>39889.5</v>
      </c>
      <c r="M614" s="294">
        <f t="shared" ref="M614:M615" si="1448">+L614*$X$1</f>
        <v>39889.5</v>
      </c>
      <c r="N614" s="493">
        <f>F614+170</f>
        <v>39709.5</v>
      </c>
      <c r="O614" s="294">
        <f t="shared" ref="O614:O615" si="1449">+N614*$X$1</f>
        <v>39709.5</v>
      </c>
      <c r="P614" s="493">
        <f>F614+130</f>
        <v>39669.5</v>
      </c>
      <c r="Q614" s="294">
        <f t="shared" ref="Q614:Q615" si="1450">+P614*$X$1</f>
        <v>39669.5</v>
      </c>
      <c r="R614" s="493">
        <f>F614+90</f>
        <v>39629.5</v>
      </c>
      <c r="S614" s="294">
        <f t="shared" ref="S614:S615" si="1451">+R614*$X$1</f>
        <v>39629.5</v>
      </c>
      <c r="T614" s="493">
        <f>F614+75</f>
        <v>39614.5</v>
      </c>
      <c r="U614" s="294">
        <f t="shared" ref="U614:U615" si="1452">+T614*$X$1</f>
        <v>39614.5</v>
      </c>
      <c r="V614" s="493">
        <f>F614+64</f>
        <v>39603.5</v>
      </c>
      <c r="W614" s="294">
        <f t="shared" ref="W614:W615" si="1453">+V614*$X$1</f>
        <v>39603.5</v>
      </c>
      <c r="X614" s="475"/>
      <c r="Y614" s="138"/>
      <c r="Z614" s="136"/>
      <c r="AA614" s="139"/>
      <c r="AB614" s="439" t="s">
        <v>750</v>
      </c>
    </row>
    <row r="615" spans="1:38" ht="12.6" customHeight="1" x14ac:dyDescent="0.2">
      <c r="B615" s="869" t="s">
        <v>894</v>
      </c>
      <c r="C615" s="869"/>
      <c r="D615" s="869"/>
      <c r="E615" s="869"/>
      <c r="F615" s="480">
        <f>30.6*X2</f>
        <v>31426.2</v>
      </c>
      <c r="G615" s="293">
        <f>+F615*$X$1</f>
        <v>31426.2</v>
      </c>
      <c r="H615" s="104">
        <f>F615+4000</f>
        <v>35426.199999999997</v>
      </c>
      <c r="I615" s="314">
        <f t="shared" si="1446"/>
        <v>35426.199999999997</v>
      </c>
      <c r="J615" s="104">
        <f>F615+2000</f>
        <v>33426.199999999997</v>
      </c>
      <c r="K615" s="314">
        <f t="shared" si="1447"/>
        <v>33426.199999999997</v>
      </c>
      <c r="L615" s="104">
        <f>F615+1300</f>
        <v>32726.2</v>
      </c>
      <c r="M615" s="314">
        <f t="shared" si="1448"/>
        <v>32726.2</v>
      </c>
      <c r="N615" s="104">
        <f>F615+1150</f>
        <v>32576.2</v>
      </c>
      <c r="O615" s="314">
        <f t="shared" si="1449"/>
        <v>32576.2</v>
      </c>
      <c r="P615" s="104">
        <f>F615+990</f>
        <v>32416.2</v>
      </c>
      <c r="Q615" s="314">
        <f t="shared" si="1450"/>
        <v>32416.2</v>
      </c>
      <c r="R615" s="104">
        <f>F615+900</f>
        <v>32326.2</v>
      </c>
      <c r="S615" s="314">
        <f t="shared" si="1451"/>
        <v>32326.2</v>
      </c>
      <c r="T615" s="104">
        <f>F615+800</f>
        <v>32226.2</v>
      </c>
      <c r="U615" s="314">
        <f t="shared" si="1452"/>
        <v>32226.2</v>
      </c>
      <c r="V615" s="104">
        <f>F615+700</f>
        <v>32126.2</v>
      </c>
      <c r="W615" s="314">
        <f t="shared" si="1453"/>
        <v>32126.2</v>
      </c>
      <c r="X615" s="570"/>
      <c r="Y615" s="138"/>
      <c r="Z615" s="136"/>
      <c r="AA615" s="139"/>
      <c r="AB615" s="439" t="s">
        <v>917</v>
      </c>
    </row>
    <row r="616" spans="1:38" ht="12.6" customHeight="1" x14ac:dyDescent="0.2">
      <c r="B616" s="797" t="s">
        <v>316</v>
      </c>
      <c r="C616" s="797"/>
      <c r="D616" s="797"/>
      <c r="E616" s="797"/>
      <c r="F616" s="479"/>
      <c r="G616" s="478"/>
      <c r="H616" s="106"/>
      <c r="I616" s="106"/>
      <c r="J616" s="478"/>
      <c r="K616" s="478"/>
      <c r="L616" s="478"/>
      <c r="M616" s="478"/>
      <c r="N616" s="478"/>
      <c r="O616" s="478"/>
      <c r="P616" s="116"/>
      <c r="Q616" s="478"/>
      <c r="R616" s="116"/>
      <c r="S616" s="478"/>
      <c r="T616" s="116"/>
      <c r="U616" s="478"/>
      <c r="V616" s="265"/>
      <c r="W616" s="485"/>
      <c r="X616" s="167"/>
      <c r="Y616" s="167"/>
      <c r="Z616" s="167"/>
      <c r="AA616" s="168"/>
      <c r="AB616" s="439" t="s">
        <v>317</v>
      </c>
    </row>
    <row r="617" spans="1:38" ht="12.6" customHeight="1" x14ac:dyDescent="0.2">
      <c r="B617" s="765" t="s">
        <v>318</v>
      </c>
      <c r="C617" s="765"/>
      <c r="D617" s="765"/>
      <c r="E617" s="765"/>
      <c r="F617" s="117"/>
      <c r="G617" s="325"/>
      <c r="H617" s="102"/>
      <c r="I617" s="102"/>
      <c r="J617" s="325"/>
      <c r="K617" s="325"/>
      <c r="L617" s="325"/>
      <c r="M617" s="325"/>
      <c r="N617" s="325"/>
      <c r="O617" s="325"/>
      <c r="P617" s="115"/>
      <c r="Q617" s="325"/>
      <c r="R617" s="115"/>
      <c r="S617" s="325"/>
      <c r="T617" s="115"/>
      <c r="U617" s="325"/>
      <c r="V617" s="482"/>
      <c r="W617" s="484"/>
      <c r="X617" s="167"/>
      <c r="Y617" s="167"/>
      <c r="Z617" s="167"/>
      <c r="AA617" s="168"/>
      <c r="AB617" s="439" t="s">
        <v>319</v>
      </c>
    </row>
    <row r="618" spans="1:38" ht="12.6" customHeight="1" x14ac:dyDescent="0.2">
      <c r="B618" s="797" t="s">
        <v>320</v>
      </c>
      <c r="C618" s="797"/>
      <c r="D618" s="797"/>
      <c r="E618" s="797"/>
      <c r="F618" s="479"/>
      <c r="G618" s="478"/>
      <c r="H618" s="106"/>
      <c r="I618" s="106"/>
      <c r="J618" s="478"/>
      <c r="K618" s="478"/>
      <c r="L618" s="478"/>
      <c r="M618" s="478"/>
      <c r="N618" s="478"/>
      <c r="O618" s="478"/>
      <c r="P618" s="116"/>
      <c r="Q618" s="478"/>
      <c r="R618" s="116"/>
      <c r="S618" s="478"/>
      <c r="T618" s="116"/>
      <c r="U618" s="478"/>
      <c r="V618" s="265"/>
      <c r="W618" s="485"/>
      <c r="X618" s="138"/>
      <c r="Y618" s="138"/>
      <c r="Z618" s="138"/>
      <c r="AA618" s="138"/>
      <c r="AB618" s="439" t="s">
        <v>445</v>
      </c>
    </row>
    <row r="619" spans="1:38" ht="12.6" customHeight="1" x14ac:dyDescent="0.2">
      <c r="B619" s="765" t="s">
        <v>755</v>
      </c>
      <c r="C619" s="765"/>
      <c r="D619" s="765"/>
      <c r="E619" s="765"/>
      <c r="F619" s="480">
        <f>36*X2</f>
        <v>36972</v>
      </c>
      <c r="G619" s="293">
        <f t="shared" ref="G619:G636" si="1454">+F619*$X$1</f>
        <v>36972</v>
      </c>
      <c r="H619" s="325">
        <f>F619+2200</f>
        <v>39172</v>
      </c>
      <c r="I619" s="293">
        <f t="shared" ref="I619" si="1455">+H619*$X$1</f>
        <v>39172</v>
      </c>
      <c r="J619" s="325">
        <f>F619+500</f>
        <v>37472</v>
      </c>
      <c r="K619" s="293">
        <f t="shared" ref="K619" si="1456">+J619*$X$1</f>
        <v>37472</v>
      </c>
      <c r="L619" s="104">
        <f>F619+410</f>
        <v>37382</v>
      </c>
      <c r="M619" s="314">
        <f>+L619*$X$1</f>
        <v>37382</v>
      </c>
      <c r="N619" s="104">
        <f>F619+370</f>
        <v>37342</v>
      </c>
      <c r="O619" s="314">
        <f>+N619*$X$1</f>
        <v>37342</v>
      </c>
      <c r="P619" s="104">
        <f>F619+330</f>
        <v>37302</v>
      </c>
      <c r="Q619" s="314">
        <f>+P619*$X$1</f>
        <v>37302</v>
      </c>
      <c r="R619" s="104">
        <f>F619+290</f>
        <v>37262</v>
      </c>
      <c r="S619" s="314">
        <f>+R619*$X$1</f>
        <v>37262</v>
      </c>
      <c r="T619" s="325">
        <f>F619+240</f>
        <v>37212</v>
      </c>
      <c r="U619" s="293">
        <f t="shared" ref="U619" si="1457">+T619*$X$1</f>
        <v>37212</v>
      </c>
      <c r="V619" s="325">
        <f>F619+220</f>
        <v>37192</v>
      </c>
      <c r="W619" s="293">
        <f t="shared" ref="W619" si="1458">+V619*$X$1</f>
        <v>37192</v>
      </c>
      <c r="X619" s="477"/>
      <c r="Y619" s="138"/>
      <c r="Z619" s="136"/>
      <c r="AA619" s="139"/>
      <c r="AB619" s="439" t="s">
        <v>756</v>
      </c>
    </row>
    <row r="620" spans="1:38" s="1" customFormat="1" ht="12.6" customHeight="1" x14ac:dyDescent="0.2">
      <c r="A620" s="19"/>
      <c r="B620" s="642" t="s">
        <v>207</v>
      </c>
      <c r="C620" s="643"/>
      <c r="D620" s="643"/>
      <c r="E620" s="643"/>
      <c r="F620" s="294"/>
      <c r="G620" s="294"/>
      <c r="H620" s="493"/>
      <c r="I620" s="294"/>
      <c r="J620" s="90"/>
      <c r="K620" s="294"/>
      <c r="L620" s="493"/>
      <c r="M620" s="294"/>
      <c r="N620" s="493"/>
      <c r="O620" s="294"/>
      <c r="P620" s="493"/>
      <c r="Q620" s="294"/>
      <c r="R620" s="493"/>
      <c r="S620" s="294"/>
      <c r="T620" s="493"/>
      <c r="U620" s="294"/>
      <c r="V620" s="493"/>
      <c r="W620" s="294"/>
      <c r="X620" s="639"/>
      <c r="Y620" s="880"/>
      <c r="Z620" s="880"/>
      <c r="AA620" s="641"/>
      <c r="AB620" s="197">
        <v>965</v>
      </c>
      <c r="AC620" s="4"/>
      <c r="AD620" s="4"/>
      <c r="AE620" s="4"/>
      <c r="AF620" s="4"/>
      <c r="AG620" s="4"/>
      <c r="AH620" s="4"/>
      <c r="AI620" s="4"/>
      <c r="AJ620" s="4"/>
      <c r="AK620" s="4"/>
      <c r="AL620" s="4"/>
    </row>
    <row r="621" spans="1:38" s="1" customFormat="1" ht="12.6" customHeight="1" x14ac:dyDescent="0.2">
      <c r="A621" s="19"/>
      <c r="B621" s="649" t="s">
        <v>208</v>
      </c>
      <c r="C621" s="650"/>
      <c r="D621" s="650"/>
      <c r="E621" s="651"/>
      <c r="F621" s="293"/>
      <c r="G621" s="293"/>
      <c r="H621" s="291"/>
      <c r="I621" s="353"/>
      <c r="J621" s="72"/>
      <c r="K621" s="293"/>
      <c r="L621" s="325"/>
      <c r="M621" s="293"/>
      <c r="N621" s="325"/>
      <c r="O621" s="293"/>
      <c r="P621" s="325"/>
      <c r="Q621" s="293"/>
      <c r="R621" s="325"/>
      <c r="S621" s="293"/>
      <c r="T621" s="325"/>
      <c r="U621" s="293"/>
      <c r="V621" s="325"/>
      <c r="W621" s="293"/>
      <c r="X621" s="158"/>
      <c r="Y621" s="159"/>
      <c r="Z621" s="159"/>
      <c r="AA621" s="160"/>
      <c r="AB621" s="432">
        <v>967</v>
      </c>
      <c r="AC621" s="4"/>
      <c r="AD621" s="4"/>
      <c r="AE621" s="4"/>
      <c r="AF621" s="4"/>
      <c r="AG621" s="4"/>
      <c r="AH621" s="4"/>
      <c r="AI621" s="4"/>
      <c r="AJ621" s="4"/>
      <c r="AK621" s="4"/>
      <c r="AL621" s="4"/>
    </row>
    <row r="622" spans="1:38" s="1" customFormat="1" ht="12.6" customHeight="1" x14ac:dyDescent="0.2">
      <c r="A622" s="19"/>
      <c r="B622" s="646" t="s">
        <v>368</v>
      </c>
      <c r="C622" s="647"/>
      <c r="D622" s="647"/>
      <c r="E622" s="648"/>
      <c r="F622" s="294"/>
      <c r="G622" s="294"/>
      <c r="H622" s="462"/>
      <c r="I622" s="294"/>
      <c r="J622" s="90"/>
      <c r="K622" s="294"/>
      <c r="L622" s="462"/>
      <c r="M622" s="294"/>
      <c r="N622" s="462"/>
      <c r="O622" s="294"/>
      <c r="P622" s="462"/>
      <c r="Q622" s="294"/>
      <c r="R622" s="462"/>
      <c r="S622" s="294"/>
      <c r="T622" s="462"/>
      <c r="U622" s="294"/>
      <c r="V622" s="462"/>
      <c r="W622" s="294"/>
      <c r="X622" s="639"/>
      <c r="Y622" s="880"/>
      <c r="Z622" s="880"/>
      <c r="AA622" s="641"/>
      <c r="AB622" s="432">
        <v>968</v>
      </c>
      <c r="AC622" s="4"/>
      <c r="AD622" s="4"/>
      <c r="AE622" s="4"/>
      <c r="AF622" s="4"/>
      <c r="AG622" s="4"/>
      <c r="AH622" s="4"/>
      <c r="AI622" s="4"/>
      <c r="AJ622" s="4"/>
      <c r="AK622" s="4"/>
      <c r="AL622" s="4"/>
    </row>
    <row r="623" spans="1:38" s="1" customFormat="1" ht="12.6" customHeight="1" x14ac:dyDescent="0.2">
      <c r="A623" s="19"/>
      <c r="B623" s="644" t="s">
        <v>209</v>
      </c>
      <c r="C623" s="645"/>
      <c r="D623" s="645"/>
      <c r="E623" s="645"/>
      <c r="F623" s="293"/>
      <c r="G623" s="293"/>
      <c r="H623" s="325"/>
      <c r="I623" s="293"/>
      <c r="J623" s="72"/>
      <c r="K623" s="293"/>
      <c r="L623" s="325"/>
      <c r="M623" s="293"/>
      <c r="N623" s="325"/>
      <c r="O623" s="293"/>
      <c r="P623" s="325"/>
      <c r="Q623" s="293"/>
      <c r="R623" s="325"/>
      <c r="S623" s="293"/>
      <c r="T623" s="325"/>
      <c r="U623" s="293"/>
      <c r="V623" s="325"/>
      <c r="W623" s="293"/>
      <c r="X623" s="639"/>
      <c r="Y623" s="880"/>
      <c r="Z623" s="880"/>
      <c r="AA623" s="641"/>
      <c r="AB623" s="432">
        <v>969</v>
      </c>
      <c r="AC623" s="4"/>
      <c r="AD623" s="4"/>
      <c r="AE623" s="4"/>
      <c r="AF623" s="4"/>
      <c r="AG623" s="4"/>
      <c r="AH623" s="4"/>
      <c r="AI623" s="4"/>
      <c r="AJ623" s="4"/>
      <c r="AK623" s="4"/>
      <c r="AL623" s="4"/>
    </row>
    <row r="624" spans="1:38" s="1" customFormat="1" ht="12.6" customHeight="1" x14ac:dyDescent="0.2">
      <c r="A624" s="19"/>
      <c r="B624" s="646" t="s">
        <v>385</v>
      </c>
      <c r="C624" s="647"/>
      <c r="D624" s="647"/>
      <c r="E624" s="648"/>
      <c r="F624" s="294"/>
      <c r="G624" s="294"/>
      <c r="H624" s="101"/>
      <c r="I624" s="294"/>
      <c r="J624" s="90"/>
      <c r="K624" s="294"/>
      <c r="L624" s="462"/>
      <c r="M624" s="294"/>
      <c r="N624" s="462"/>
      <c r="O624" s="294"/>
      <c r="P624" s="462"/>
      <c r="Q624" s="294"/>
      <c r="R624" s="462"/>
      <c r="S624" s="294"/>
      <c r="T624" s="462"/>
      <c r="U624" s="294"/>
      <c r="V624" s="462"/>
      <c r="W624" s="294"/>
      <c r="X624" s="221"/>
      <c r="Y624" s="223"/>
      <c r="Z624" s="223"/>
      <c r="AA624" s="222"/>
      <c r="AB624" s="432" t="s">
        <v>472</v>
      </c>
      <c r="AC624" s="4"/>
      <c r="AD624" s="4"/>
      <c r="AE624" s="4"/>
      <c r="AF624" s="4"/>
      <c r="AG624" s="4"/>
      <c r="AH624" s="4"/>
      <c r="AI624" s="4"/>
      <c r="AJ624" s="4"/>
      <c r="AK624" s="4"/>
      <c r="AL624" s="4"/>
    </row>
    <row r="625" spans="1:38" s="1" customFormat="1" ht="12.6" customHeight="1" x14ac:dyDescent="0.2">
      <c r="A625" s="19"/>
      <c r="B625" s="644" t="s">
        <v>210</v>
      </c>
      <c r="C625" s="645"/>
      <c r="D625" s="645"/>
      <c r="E625" s="645"/>
      <c r="F625" s="293"/>
      <c r="G625" s="293"/>
      <c r="H625" s="407"/>
      <c r="I625" s="293"/>
      <c r="J625" s="72"/>
      <c r="K625" s="293"/>
      <c r="L625" s="325"/>
      <c r="M625" s="293"/>
      <c r="N625" s="325"/>
      <c r="O625" s="293"/>
      <c r="P625" s="325"/>
      <c r="Q625" s="293"/>
      <c r="R625" s="325"/>
      <c r="S625" s="293"/>
      <c r="T625" s="325"/>
      <c r="U625" s="293"/>
      <c r="V625" s="325"/>
      <c r="W625" s="293"/>
      <c r="X625" s="639"/>
      <c r="Y625" s="880"/>
      <c r="Z625" s="880"/>
      <c r="AA625" s="641"/>
      <c r="AB625" s="432">
        <v>970</v>
      </c>
      <c r="AC625" s="4"/>
      <c r="AD625" s="4"/>
      <c r="AE625" s="4"/>
      <c r="AF625" s="4"/>
      <c r="AG625" s="4"/>
      <c r="AH625" s="4"/>
      <c r="AI625" s="4"/>
      <c r="AJ625" s="4"/>
      <c r="AK625" s="4"/>
      <c r="AL625" s="4"/>
    </row>
    <row r="626" spans="1:38" s="1" customFormat="1" ht="12.6" customHeight="1" x14ac:dyDescent="0.2">
      <c r="A626" s="19"/>
      <c r="B626" s="642" t="s">
        <v>211</v>
      </c>
      <c r="C626" s="643"/>
      <c r="D626" s="643"/>
      <c r="E626" s="643"/>
      <c r="F626" s="294"/>
      <c r="G626" s="294"/>
      <c r="H626" s="101"/>
      <c r="I626" s="294"/>
      <c r="J626" s="90"/>
      <c r="K626" s="294"/>
      <c r="L626" s="462"/>
      <c r="M626" s="294"/>
      <c r="N626" s="462"/>
      <c r="O626" s="294"/>
      <c r="P626" s="462"/>
      <c r="Q626" s="294"/>
      <c r="R626" s="462"/>
      <c r="S626" s="294"/>
      <c r="T626" s="462"/>
      <c r="U626" s="294"/>
      <c r="V626" s="462"/>
      <c r="W626" s="294"/>
      <c r="X626" s="639"/>
      <c r="Y626" s="880"/>
      <c r="Z626" s="880"/>
      <c r="AA626" s="641"/>
      <c r="AB626" s="432">
        <v>971</v>
      </c>
      <c r="AC626" s="4"/>
      <c r="AD626" s="4"/>
      <c r="AE626" s="4"/>
      <c r="AF626" s="4"/>
      <c r="AG626" s="4"/>
      <c r="AH626" s="4"/>
      <c r="AI626" s="4"/>
      <c r="AJ626" s="4"/>
      <c r="AK626" s="4"/>
      <c r="AL626" s="4"/>
    </row>
    <row r="627" spans="1:38" s="1" customFormat="1" ht="12.6" customHeight="1" x14ac:dyDescent="0.2">
      <c r="A627" s="19"/>
      <c r="B627" s="649" t="s">
        <v>386</v>
      </c>
      <c r="C627" s="650"/>
      <c r="D627" s="650"/>
      <c r="E627" s="651"/>
      <c r="F627" s="293"/>
      <c r="G627" s="293"/>
      <c r="H627" s="407"/>
      <c r="I627" s="293"/>
      <c r="J627" s="72"/>
      <c r="K627" s="293"/>
      <c r="L627" s="325"/>
      <c r="M627" s="293"/>
      <c r="N627" s="325"/>
      <c r="O627" s="293"/>
      <c r="P627" s="325"/>
      <c r="Q627" s="293"/>
      <c r="R627" s="325"/>
      <c r="S627" s="293"/>
      <c r="T627" s="325"/>
      <c r="U627" s="293"/>
      <c r="V627" s="325"/>
      <c r="W627" s="293"/>
      <c r="X627" s="158"/>
      <c r="Y627" s="159"/>
      <c r="Z627" s="159"/>
      <c r="AA627" s="160"/>
      <c r="AB627" s="432">
        <v>972</v>
      </c>
      <c r="AC627" s="4"/>
      <c r="AD627" s="4"/>
      <c r="AE627" s="4"/>
      <c r="AF627" s="4"/>
      <c r="AG627" s="4"/>
      <c r="AH627" s="4"/>
      <c r="AI627" s="4"/>
      <c r="AJ627" s="4"/>
      <c r="AK627" s="4"/>
      <c r="AL627" s="4"/>
    </row>
    <row r="628" spans="1:38" s="1" customFormat="1" ht="12.6" customHeight="1" x14ac:dyDescent="0.2">
      <c r="A628" s="19"/>
      <c r="B628" s="642" t="s">
        <v>212</v>
      </c>
      <c r="C628" s="643"/>
      <c r="D628" s="643"/>
      <c r="E628" s="643"/>
      <c r="F628" s="94"/>
      <c r="G628" s="452"/>
      <c r="H628" s="285"/>
      <c r="I628" s="285"/>
      <c r="J628" s="90"/>
      <c r="K628" s="94"/>
      <c r="L628" s="94"/>
      <c r="M628" s="94"/>
      <c r="N628" s="94"/>
      <c r="O628" s="462"/>
      <c r="P628" s="462"/>
      <c r="Q628" s="462"/>
      <c r="R628" s="462"/>
      <c r="S628" s="462"/>
      <c r="T628" s="462"/>
      <c r="U628" s="462"/>
      <c r="V628" s="462"/>
      <c r="W628" s="462"/>
      <c r="X628" s="874"/>
      <c r="Y628" s="875"/>
      <c r="Z628" s="875"/>
      <c r="AA628" s="876"/>
      <c r="AB628" s="197">
        <v>980</v>
      </c>
      <c r="AC628" s="4"/>
      <c r="AD628" s="4"/>
      <c r="AE628" s="4"/>
      <c r="AF628" s="4"/>
      <c r="AG628" s="4"/>
      <c r="AH628" s="4"/>
      <c r="AI628" s="4"/>
      <c r="AJ628" s="4"/>
      <c r="AK628" s="4"/>
      <c r="AL628" s="4"/>
    </row>
    <row r="629" spans="1:38" s="1" customFormat="1" ht="12.6" customHeight="1" x14ac:dyDescent="0.2">
      <c r="A629" s="19"/>
      <c r="B629" s="644" t="s">
        <v>213</v>
      </c>
      <c r="C629" s="680"/>
      <c r="D629" s="680"/>
      <c r="E629" s="680"/>
      <c r="F629" s="104"/>
      <c r="G629" s="325"/>
      <c r="H629" s="286"/>
      <c r="I629" s="286"/>
      <c r="J629" s="72"/>
      <c r="K629" s="289"/>
      <c r="L629" s="289"/>
      <c r="M629" s="289"/>
      <c r="N629" s="289"/>
      <c r="O629" s="325"/>
      <c r="P629" s="325"/>
      <c r="Q629" s="325"/>
      <c r="R629" s="325"/>
      <c r="S629" s="325"/>
      <c r="T629" s="325"/>
      <c r="U629" s="325"/>
      <c r="V629" s="325"/>
      <c r="W629" s="325"/>
      <c r="X629" s="874"/>
      <c r="Y629" s="875"/>
      <c r="Z629" s="875"/>
      <c r="AA629" s="876"/>
      <c r="AB629" s="197">
        <v>981</v>
      </c>
      <c r="AC629" s="4"/>
      <c r="AD629" s="4"/>
      <c r="AE629" s="4"/>
      <c r="AF629" s="4"/>
      <c r="AG629" s="4"/>
      <c r="AH629" s="4"/>
      <c r="AI629" s="4"/>
      <c r="AJ629" s="4"/>
      <c r="AK629" s="4"/>
      <c r="AL629" s="4"/>
    </row>
    <row r="630" spans="1:38" s="1" customFormat="1" ht="12.6" customHeight="1" x14ac:dyDescent="0.2">
      <c r="A630" s="19"/>
      <c r="B630" s="646" t="s">
        <v>488</v>
      </c>
      <c r="C630" s="683"/>
      <c r="D630" s="683"/>
      <c r="E630" s="684"/>
      <c r="F630" s="103"/>
      <c r="G630" s="452"/>
      <c r="H630" s="285"/>
      <c r="I630" s="285"/>
      <c r="J630" s="90"/>
      <c r="K630" s="94"/>
      <c r="L630" s="94"/>
      <c r="M630" s="94"/>
      <c r="N630" s="94"/>
      <c r="O630" s="462"/>
      <c r="P630" s="462"/>
      <c r="Q630" s="462"/>
      <c r="R630" s="462"/>
      <c r="S630" s="462"/>
      <c r="T630" s="462"/>
      <c r="U630" s="462"/>
      <c r="V630" s="462"/>
      <c r="W630" s="462"/>
      <c r="X630" s="874"/>
      <c r="Y630" s="875"/>
      <c r="Z630" s="875"/>
      <c r="AA630" s="876"/>
      <c r="AB630" s="197">
        <v>982</v>
      </c>
      <c r="AC630" s="4"/>
      <c r="AD630" s="4"/>
      <c r="AE630" s="4"/>
      <c r="AF630" s="4"/>
      <c r="AG630" s="4"/>
      <c r="AH630" s="4"/>
      <c r="AI630" s="4"/>
      <c r="AJ630" s="4"/>
      <c r="AK630" s="4"/>
      <c r="AL630" s="4"/>
    </row>
    <row r="631" spans="1:38" s="1" customFormat="1" ht="12.6" customHeight="1" x14ac:dyDescent="0.2">
      <c r="A631" s="19"/>
      <c r="B631" s="649" t="s">
        <v>521</v>
      </c>
      <c r="C631" s="735"/>
      <c r="D631" s="735"/>
      <c r="E631" s="736"/>
      <c r="F631" s="104"/>
      <c r="G631" s="325"/>
      <c r="H631" s="291"/>
      <c r="I631" s="286"/>
      <c r="J631" s="72"/>
      <c r="K631" s="289"/>
      <c r="L631" s="289"/>
      <c r="M631" s="289"/>
      <c r="N631" s="289"/>
      <c r="O631" s="325"/>
      <c r="P631" s="325"/>
      <c r="Q631" s="325"/>
      <c r="R631" s="325"/>
      <c r="S631" s="325"/>
      <c r="T631" s="325"/>
      <c r="U631" s="325"/>
      <c r="V631" s="325"/>
      <c r="W631" s="325"/>
      <c r="X631" s="874"/>
      <c r="Y631" s="875"/>
      <c r="Z631" s="875"/>
      <c r="AA631" s="876"/>
      <c r="AB631" s="197">
        <v>983</v>
      </c>
      <c r="AC631" s="4"/>
      <c r="AD631" s="4"/>
      <c r="AE631" s="4"/>
      <c r="AF631" s="4"/>
      <c r="AG631" s="4"/>
      <c r="AH631" s="4"/>
      <c r="AI631" s="4"/>
      <c r="AJ631" s="4"/>
      <c r="AK631" s="4"/>
      <c r="AL631" s="4"/>
    </row>
    <row r="632" spans="1:38" s="1" customFormat="1" ht="12.6" customHeight="1" x14ac:dyDescent="0.2">
      <c r="A632" s="19"/>
      <c r="B632" s="646" t="s">
        <v>214</v>
      </c>
      <c r="C632" s="683"/>
      <c r="D632" s="683"/>
      <c r="E632" s="684"/>
      <c r="F632" s="94"/>
      <c r="G632" s="452"/>
      <c r="H632" s="285"/>
      <c r="I632" s="285"/>
      <c r="J632" s="90"/>
      <c r="K632" s="94"/>
      <c r="L632" s="94"/>
      <c r="M632" s="94"/>
      <c r="N632" s="94"/>
      <c r="O632" s="462"/>
      <c r="P632" s="462"/>
      <c r="Q632" s="462"/>
      <c r="R632" s="462"/>
      <c r="S632" s="462"/>
      <c r="T632" s="462"/>
      <c r="U632" s="462"/>
      <c r="V632" s="462"/>
      <c r="W632" s="462"/>
      <c r="X632" s="874"/>
      <c r="Y632" s="875"/>
      <c r="Z632" s="875"/>
      <c r="AA632" s="876"/>
      <c r="AB632" s="197">
        <v>984</v>
      </c>
      <c r="AC632" s="4"/>
      <c r="AD632" s="4"/>
      <c r="AE632" s="4"/>
      <c r="AF632" s="4"/>
      <c r="AG632" s="4"/>
      <c r="AH632" s="4"/>
      <c r="AI632" s="4"/>
      <c r="AJ632" s="4"/>
      <c r="AK632" s="4"/>
      <c r="AL632" s="4"/>
    </row>
    <row r="633" spans="1:38" s="1" customFormat="1" ht="12.6" customHeight="1" x14ac:dyDescent="0.2">
      <c r="A633" s="19"/>
      <c r="B633" s="649" t="s">
        <v>215</v>
      </c>
      <c r="C633" s="735"/>
      <c r="D633" s="735"/>
      <c r="E633" s="736"/>
      <c r="F633" s="317"/>
      <c r="G633" s="325"/>
      <c r="H633" s="291"/>
      <c r="I633" s="286"/>
      <c r="J633" s="72"/>
      <c r="K633" s="289"/>
      <c r="L633" s="289"/>
      <c r="M633" s="289"/>
      <c r="N633" s="289"/>
      <c r="O633" s="325"/>
      <c r="P633" s="325"/>
      <c r="Q633" s="325"/>
      <c r="R633" s="325"/>
      <c r="S633" s="325"/>
      <c r="T633" s="325"/>
      <c r="U633" s="325"/>
      <c r="V633" s="325"/>
      <c r="W633" s="325"/>
      <c r="X633" s="874"/>
      <c r="Y633" s="875"/>
      <c r="Z633" s="875"/>
      <c r="AA633" s="876"/>
      <c r="AB633" s="197">
        <v>985</v>
      </c>
      <c r="AC633" s="4"/>
      <c r="AD633" s="4"/>
      <c r="AE633" s="4"/>
      <c r="AF633" s="4"/>
      <c r="AG633" s="4"/>
      <c r="AH633" s="4"/>
      <c r="AI633" s="4"/>
      <c r="AJ633" s="4"/>
      <c r="AK633" s="4"/>
      <c r="AL633" s="4"/>
    </row>
    <row r="634" spans="1:38" ht="12.6" customHeight="1" x14ac:dyDescent="0.2">
      <c r="B634" s="797" t="s">
        <v>752</v>
      </c>
      <c r="C634" s="797"/>
      <c r="D634" s="797"/>
      <c r="E634" s="797"/>
      <c r="F634" s="481">
        <f>23*X2</f>
        <v>23621</v>
      </c>
      <c r="G634" s="294">
        <f t="shared" si="1454"/>
        <v>23621</v>
      </c>
      <c r="H634" s="265"/>
      <c r="I634" s="265"/>
      <c r="J634" s="478">
        <f>F634+700</f>
        <v>24321</v>
      </c>
      <c r="K634" s="294">
        <f t="shared" ref="K634:K635" si="1459">+J634*$X$1</f>
        <v>24321</v>
      </c>
      <c r="L634" s="478">
        <f>F634+400</f>
        <v>24021</v>
      </c>
      <c r="M634" s="294">
        <f t="shared" ref="M634:M635" si="1460">+L634*$X$1</f>
        <v>24021</v>
      </c>
      <c r="N634" s="478">
        <f>F634+250</f>
        <v>23871</v>
      </c>
      <c r="O634" s="294">
        <f t="shared" ref="O634:O635" si="1461">+N634*$X$1</f>
        <v>23871</v>
      </c>
      <c r="P634" s="478">
        <f>F634+210</f>
        <v>23831</v>
      </c>
      <c r="Q634" s="294">
        <f t="shared" ref="Q634:Q635" si="1462">+P634*$X$1</f>
        <v>23831</v>
      </c>
      <c r="R634" s="478">
        <f>F634+170</f>
        <v>23791</v>
      </c>
      <c r="S634" s="294">
        <f t="shared" ref="S634:S635" si="1463">+R634*$X$1</f>
        <v>23791</v>
      </c>
      <c r="T634" s="478">
        <f>F634+140</f>
        <v>23761</v>
      </c>
      <c r="U634" s="294">
        <f t="shared" ref="U634:U635" si="1464">+T634*$X$1</f>
        <v>23761</v>
      </c>
      <c r="V634" s="478">
        <f>F634+110</f>
        <v>23731</v>
      </c>
      <c r="W634" s="294">
        <f t="shared" ref="W634:W635" si="1465">+V634*$X$1</f>
        <v>23731</v>
      </c>
      <c r="X634" s="477"/>
      <c r="Y634" s="138"/>
      <c r="Z634" s="136"/>
      <c r="AA634" s="139"/>
      <c r="AB634" s="439" t="s">
        <v>751</v>
      </c>
    </row>
    <row r="635" spans="1:38" ht="12.6" customHeight="1" x14ac:dyDescent="0.2">
      <c r="B635" s="765" t="s">
        <v>902</v>
      </c>
      <c r="C635" s="765"/>
      <c r="D635" s="765"/>
      <c r="E635" s="765"/>
      <c r="F635" s="480">
        <f>23.6*X2</f>
        <v>24237.200000000001</v>
      </c>
      <c r="G635" s="293">
        <f t="shared" ref="G635" si="1466">+F635*$X$1</f>
        <v>24237.200000000001</v>
      </c>
      <c r="H635" s="267"/>
      <c r="I635" s="267"/>
      <c r="J635" s="636">
        <f>F635+700</f>
        <v>24937.200000000001</v>
      </c>
      <c r="K635" s="293">
        <f t="shared" ref="K635:K636" si="1467">+J635*$X$1</f>
        <v>24937.200000000001</v>
      </c>
      <c r="L635" s="636">
        <f>F635+400</f>
        <v>24637.200000000001</v>
      </c>
      <c r="M635" s="293">
        <f t="shared" ref="M635:M636" si="1468">+L635*$X$1</f>
        <v>24637.200000000001</v>
      </c>
      <c r="N635" s="636">
        <f>F635+250</f>
        <v>24487.200000000001</v>
      </c>
      <c r="O635" s="293">
        <f t="shared" ref="O635:O636" si="1469">+N635*$X$1</f>
        <v>24487.200000000001</v>
      </c>
      <c r="P635" s="636">
        <f>F635+210</f>
        <v>24447.200000000001</v>
      </c>
      <c r="Q635" s="293">
        <f t="shared" ref="Q635:Q636" si="1470">+P635*$X$1</f>
        <v>24447.200000000001</v>
      </c>
      <c r="R635" s="636">
        <f>F635+170</f>
        <v>24407.200000000001</v>
      </c>
      <c r="S635" s="293">
        <f t="shared" ref="S635:S636" si="1471">+R635*$X$1</f>
        <v>24407.200000000001</v>
      </c>
      <c r="T635" s="636">
        <f>F635+140</f>
        <v>24377.200000000001</v>
      </c>
      <c r="U635" s="293">
        <f t="shared" ref="U635:U636" si="1472">+T635*$X$1</f>
        <v>24377.200000000001</v>
      </c>
      <c r="V635" s="636">
        <f>F635+110</f>
        <v>24347.200000000001</v>
      </c>
      <c r="W635" s="293">
        <f t="shared" ref="W635:W636" si="1473">+V635*$X$1</f>
        <v>24347.200000000001</v>
      </c>
      <c r="X635" s="571"/>
      <c r="Y635" s="138"/>
      <c r="Z635" s="136"/>
      <c r="AA635" s="139"/>
      <c r="AB635" s="439" t="s">
        <v>903</v>
      </c>
    </row>
    <row r="636" spans="1:38" ht="12.6" customHeight="1" x14ac:dyDescent="0.2">
      <c r="B636" s="797" t="s">
        <v>753</v>
      </c>
      <c r="C636" s="797"/>
      <c r="D636" s="797"/>
      <c r="E636" s="797"/>
      <c r="F636" s="481">
        <f>36.297*X2</f>
        <v>37277.019</v>
      </c>
      <c r="G636" s="294">
        <f t="shared" si="1454"/>
        <v>37277.019</v>
      </c>
      <c r="H636" s="265"/>
      <c r="I636" s="265"/>
      <c r="J636" s="493">
        <f>F636+700</f>
        <v>37977.019</v>
      </c>
      <c r="K636" s="294">
        <f t="shared" si="1467"/>
        <v>37977.019</v>
      </c>
      <c r="L636" s="493">
        <f>F636+400</f>
        <v>37677.019</v>
      </c>
      <c r="M636" s="294">
        <f t="shared" si="1468"/>
        <v>37677.019</v>
      </c>
      <c r="N636" s="493">
        <f>F636+250</f>
        <v>37527.019</v>
      </c>
      <c r="O636" s="294">
        <f t="shared" si="1469"/>
        <v>37527.019</v>
      </c>
      <c r="P636" s="493">
        <f>F636+210</f>
        <v>37487.019</v>
      </c>
      <c r="Q636" s="294">
        <f t="shared" si="1470"/>
        <v>37487.019</v>
      </c>
      <c r="R636" s="493">
        <f>F636+170</f>
        <v>37447.019</v>
      </c>
      <c r="S636" s="294">
        <f t="shared" si="1471"/>
        <v>37447.019</v>
      </c>
      <c r="T636" s="493">
        <f>F636+140</f>
        <v>37417.019</v>
      </c>
      <c r="U636" s="294">
        <f t="shared" si="1472"/>
        <v>37417.019</v>
      </c>
      <c r="V636" s="493">
        <f>F636+110</f>
        <v>37387.019</v>
      </c>
      <c r="W636" s="294">
        <f t="shared" si="1473"/>
        <v>37387.019</v>
      </c>
      <c r="X636" s="477"/>
      <c r="Y636" s="138"/>
      <c r="Z636" s="136"/>
      <c r="AA636" s="139"/>
      <c r="AB636" s="439" t="s">
        <v>754</v>
      </c>
    </row>
    <row r="637" spans="1:38" ht="12.6" customHeight="1" x14ac:dyDescent="0.2">
      <c r="A637" s="208"/>
      <c r="B637" s="109"/>
      <c r="C637" s="443"/>
      <c r="D637" s="443"/>
      <c r="E637" s="443"/>
      <c r="F637" s="447"/>
      <c r="G637" s="345"/>
      <c r="H637" s="118"/>
      <c r="I637" s="345"/>
      <c r="J637" s="118"/>
      <c r="K637" s="345"/>
      <c r="L637" s="118"/>
      <c r="M637" s="345"/>
      <c r="N637" s="118"/>
      <c r="O637" s="345"/>
      <c r="P637" s="118"/>
      <c r="Q637" s="345"/>
      <c r="R637" s="118"/>
      <c r="S637" s="345"/>
      <c r="T637" s="118"/>
      <c r="U637" s="345"/>
      <c r="V637" s="76"/>
      <c r="W637" s="446"/>
      <c r="X637" s="444"/>
      <c r="Y637" s="444"/>
      <c r="Z637" s="444"/>
      <c r="AA637" s="444"/>
      <c r="AB637" s="448"/>
    </row>
    <row r="638" spans="1:38" ht="12.6" customHeight="1" x14ac:dyDescent="0.2">
      <c r="A638" s="208"/>
      <c r="B638" s="109"/>
      <c r="C638" s="592"/>
      <c r="D638" s="592"/>
      <c r="E638" s="592"/>
      <c r="F638" s="447"/>
      <c r="G638" s="345"/>
      <c r="H638" s="118"/>
      <c r="I638" s="345"/>
      <c r="J638" s="118"/>
      <c r="K638" s="345"/>
      <c r="L638" s="118"/>
      <c r="M638" s="345"/>
      <c r="N638" s="118"/>
      <c r="O638" s="345"/>
      <c r="P638" s="118"/>
      <c r="Q638" s="345"/>
      <c r="R638" s="118"/>
      <c r="S638" s="345"/>
      <c r="T638" s="118"/>
      <c r="U638" s="345"/>
      <c r="V638" s="76"/>
      <c r="W638" s="504"/>
      <c r="X638" s="596"/>
      <c r="Y638" s="596"/>
      <c r="Z638" s="596"/>
      <c r="AA638" s="596"/>
      <c r="AB638" s="448"/>
    </row>
    <row r="639" spans="1:38" ht="12.6" customHeight="1" x14ac:dyDescent="0.2">
      <c r="A639" s="208"/>
      <c r="B639" s="109"/>
      <c r="C639" s="592"/>
      <c r="D639" s="592"/>
      <c r="E639" s="592"/>
      <c r="F639" s="447"/>
      <c r="G639" s="345"/>
      <c r="H639" s="118"/>
      <c r="I639" s="345"/>
      <c r="J639" s="118"/>
      <c r="K639" s="345"/>
      <c r="L639" s="118"/>
      <c r="M639" s="345"/>
      <c r="N639" s="118"/>
      <c r="O639" s="345"/>
      <c r="P639" s="118"/>
      <c r="Q639" s="345"/>
      <c r="R639" s="118"/>
      <c r="S639" s="345"/>
      <c r="T639" s="118"/>
      <c r="U639" s="345"/>
      <c r="V639" s="76"/>
      <c r="W639" s="504"/>
      <c r="X639" s="596"/>
      <c r="Y639" s="596"/>
      <c r="Z639" s="596"/>
      <c r="AA639" s="596"/>
      <c r="AB639" s="448"/>
    </row>
    <row r="640" spans="1:38" ht="13.5" customHeight="1" x14ac:dyDescent="0.2">
      <c r="B640" s="803" t="s">
        <v>311</v>
      </c>
      <c r="C640" s="804"/>
      <c r="D640" s="804"/>
      <c r="E640" s="804"/>
      <c r="F640" s="804"/>
      <c r="G640" s="804"/>
      <c r="H640" s="804"/>
      <c r="I640" s="804"/>
      <c r="J640" s="804"/>
      <c r="K640" s="804"/>
      <c r="L640" s="804"/>
      <c r="M640" s="804"/>
      <c r="N640" s="804"/>
      <c r="O640" s="804"/>
      <c r="P640" s="804"/>
      <c r="Q640" s="804"/>
      <c r="R640" s="804"/>
      <c r="S640" s="804"/>
      <c r="T640" s="843"/>
      <c r="U640" s="843"/>
      <c r="V640" s="844"/>
      <c r="W640" s="844"/>
      <c r="AB640" s="4"/>
    </row>
    <row r="641" spans="1:38" ht="12" customHeight="1" x14ac:dyDescent="0.2">
      <c r="B641" s="798" t="s">
        <v>11</v>
      </c>
      <c r="C641" s="798" t="s">
        <v>12</v>
      </c>
      <c r="D641" s="799"/>
      <c r="E641" s="799"/>
      <c r="F641" s="708" t="s">
        <v>293</v>
      </c>
      <c r="G641" s="708" t="s">
        <v>13</v>
      </c>
      <c r="H641" s="781" t="s">
        <v>838</v>
      </c>
      <c r="I641" s="781"/>
      <c r="J641" s="782"/>
      <c r="K641" s="782"/>
      <c r="L641" s="782"/>
      <c r="M641" s="782"/>
      <c r="N641" s="782"/>
      <c r="O641" s="782"/>
      <c r="P641" s="782"/>
      <c r="Q641" s="782"/>
      <c r="R641" s="782"/>
      <c r="S641" s="782"/>
      <c r="T641" s="782"/>
      <c r="U641" s="782"/>
      <c r="V641" s="782"/>
      <c r="W641" s="782"/>
      <c r="X641" s="771" t="s">
        <v>14</v>
      </c>
      <c r="Y641" s="783"/>
      <c r="Z641" s="783"/>
      <c r="AA641" s="784"/>
      <c r="AB641" s="779" t="s">
        <v>15</v>
      </c>
      <c r="AF641" s="777" t="s">
        <v>3</v>
      </c>
      <c r="AG641" s="778"/>
      <c r="AH641" s="778"/>
    </row>
    <row r="642" spans="1:38" ht="12" customHeight="1" x14ac:dyDescent="0.2">
      <c r="B642" s="799"/>
      <c r="C642" s="799"/>
      <c r="D642" s="799"/>
      <c r="E642" s="799"/>
      <c r="F642" s="709"/>
      <c r="G642" s="709"/>
      <c r="H642" s="509"/>
      <c r="I642" s="510" t="s">
        <v>581</v>
      </c>
      <c r="J642" s="509"/>
      <c r="K642" s="510" t="s">
        <v>294</v>
      </c>
      <c r="L642" s="510"/>
      <c r="M642" s="510" t="s">
        <v>295</v>
      </c>
      <c r="N642" s="510"/>
      <c r="O642" s="510" t="s">
        <v>296</v>
      </c>
      <c r="P642" s="510"/>
      <c r="Q642" s="510" t="s">
        <v>18</v>
      </c>
      <c r="R642" s="510"/>
      <c r="S642" s="510" t="s">
        <v>19</v>
      </c>
      <c r="T642" s="510"/>
      <c r="U642" s="510" t="s">
        <v>297</v>
      </c>
      <c r="V642" s="510"/>
      <c r="W642" s="510" t="s">
        <v>20</v>
      </c>
      <c r="X642" s="785"/>
      <c r="Y642" s="786"/>
      <c r="Z642" s="786"/>
      <c r="AA642" s="787"/>
      <c r="AB642" s="780"/>
    </row>
    <row r="643" spans="1:38" s="1" customFormat="1" ht="12.6" customHeight="1" x14ac:dyDescent="0.2">
      <c r="A643" s="19"/>
      <c r="B643" s="649" t="s">
        <v>574</v>
      </c>
      <c r="C643" s="650"/>
      <c r="D643" s="650"/>
      <c r="E643" s="651"/>
      <c r="F643" s="487">
        <v>9116</v>
      </c>
      <c r="G643" s="295">
        <f>+F643*$X$1</f>
        <v>9116</v>
      </c>
      <c r="H643" s="574">
        <f>F643+2200</f>
        <v>11316</v>
      </c>
      <c r="I643" s="293">
        <f t="shared" ref="I643" si="1474">+H643*$X$1</f>
        <v>11316</v>
      </c>
      <c r="J643" s="72">
        <f>F643+500</f>
        <v>9616</v>
      </c>
      <c r="K643" s="293">
        <f>+J643*$X$1</f>
        <v>9616</v>
      </c>
      <c r="L643" s="574">
        <f>F643+250</f>
        <v>9366</v>
      </c>
      <c r="M643" s="293">
        <f>+L643*$X$1</f>
        <v>9366</v>
      </c>
      <c r="N643" s="574">
        <f t="shared" ref="N643:N648" si="1475">F643+100</f>
        <v>9216</v>
      </c>
      <c r="O643" s="293">
        <f>+N643*$X$1</f>
        <v>9216</v>
      </c>
      <c r="P643" s="574">
        <f t="shared" ref="P643:P648" si="1476">F643+80</f>
        <v>9196</v>
      </c>
      <c r="Q643" s="293">
        <f>+P643*$X$1</f>
        <v>9196</v>
      </c>
      <c r="R643" s="574">
        <f t="shared" ref="R643:R648" si="1477">F643+60</f>
        <v>9176</v>
      </c>
      <c r="S643" s="293">
        <f>+R643*$X$1</f>
        <v>9176</v>
      </c>
      <c r="T643" s="574">
        <f t="shared" ref="T643:T648" si="1478">F643+50</f>
        <v>9166</v>
      </c>
      <c r="U643" s="293">
        <f>+T643*$X$1</f>
        <v>9166</v>
      </c>
      <c r="V643" s="574">
        <f>F643+44</f>
        <v>9160</v>
      </c>
      <c r="W643" s="293">
        <f>+V643*$X$1</f>
        <v>9160</v>
      </c>
      <c r="X643" s="639"/>
      <c r="Y643" s="640"/>
      <c r="Z643" s="640"/>
      <c r="AA643" s="641"/>
      <c r="AB643" s="197">
        <v>1010</v>
      </c>
      <c r="AC643" s="4"/>
      <c r="AD643" s="4"/>
      <c r="AE643" s="4"/>
      <c r="AF643" s="4"/>
      <c r="AG643" s="4"/>
      <c r="AH643" s="129"/>
      <c r="AI643" s="4"/>
      <c r="AJ643" s="4"/>
      <c r="AK643" s="4"/>
      <c r="AL643" s="4"/>
    </row>
    <row r="644" spans="1:38" s="1" customFormat="1" ht="12.6" customHeight="1" x14ac:dyDescent="0.2">
      <c r="A644" s="19"/>
      <c r="B644" s="646" t="s">
        <v>575</v>
      </c>
      <c r="C644" s="647"/>
      <c r="D644" s="647"/>
      <c r="E644" s="648"/>
      <c r="F644" s="339">
        <v>20824</v>
      </c>
      <c r="G644" s="294">
        <f>+F644*$X$1</f>
        <v>20824</v>
      </c>
      <c r="H644" s="493">
        <f>F644+2200</f>
        <v>23024</v>
      </c>
      <c r="I644" s="294">
        <f t="shared" ref="I644" si="1479">+H644*$X$1</f>
        <v>23024</v>
      </c>
      <c r="J644" s="90">
        <f>F644+500</f>
        <v>21324</v>
      </c>
      <c r="K644" s="294">
        <f>+J644*$X$1</f>
        <v>21324</v>
      </c>
      <c r="L644" s="493">
        <f>F644+250</f>
        <v>21074</v>
      </c>
      <c r="M644" s="294">
        <f t="shared" ref="M644" si="1480">+L644*$X$1</f>
        <v>21074</v>
      </c>
      <c r="N644" s="493">
        <f t="shared" si="1475"/>
        <v>20924</v>
      </c>
      <c r="O644" s="294">
        <f t="shared" ref="O644" si="1481">+N644*$X$1</f>
        <v>20924</v>
      </c>
      <c r="P644" s="493">
        <f t="shared" si="1476"/>
        <v>20904</v>
      </c>
      <c r="Q644" s="294">
        <f t="shared" ref="Q644" si="1482">+P644*$X$1</f>
        <v>20904</v>
      </c>
      <c r="R644" s="493">
        <f t="shared" si="1477"/>
        <v>20884</v>
      </c>
      <c r="S644" s="294">
        <f t="shared" ref="S644" si="1483">+R644*$X$1</f>
        <v>20884</v>
      </c>
      <c r="T644" s="493">
        <f t="shared" si="1478"/>
        <v>20874</v>
      </c>
      <c r="U644" s="294">
        <f t="shared" ref="U644" si="1484">+T644*$X$1</f>
        <v>20874</v>
      </c>
      <c r="V644" s="493">
        <f>F644+44</f>
        <v>20868</v>
      </c>
      <c r="W644" s="294">
        <f t="shared" ref="W644" si="1485">+V644*$X$1</f>
        <v>20868</v>
      </c>
      <c r="X644" s="639"/>
      <c r="Y644" s="640"/>
      <c r="Z644" s="640"/>
      <c r="AA644" s="641"/>
      <c r="AB644" s="197">
        <v>1011</v>
      </c>
      <c r="AC644" s="4"/>
      <c r="AD644" s="4"/>
      <c r="AE644" s="4"/>
      <c r="AF644" s="4"/>
      <c r="AG644" s="4"/>
      <c r="AH644" s="129"/>
      <c r="AI644" s="4"/>
      <c r="AJ644" s="4"/>
      <c r="AK644" s="4"/>
      <c r="AL644" s="4"/>
    </row>
    <row r="645" spans="1:38" ht="12.6" customHeight="1" x14ac:dyDescent="0.2">
      <c r="B645" s="765" t="s">
        <v>680</v>
      </c>
      <c r="C645" s="765"/>
      <c r="D645" s="765"/>
      <c r="E645" s="765"/>
      <c r="F645" s="392">
        <f>3.04*X2</f>
        <v>3122.08</v>
      </c>
      <c r="G645" s="293">
        <f>+F645*$X$1</f>
        <v>3122.08</v>
      </c>
      <c r="H645" s="102"/>
      <c r="I645" s="102"/>
      <c r="J645" s="267"/>
      <c r="K645" s="267"/>
      <c r="L645" s="574">
        <f>F645+250</f>
        <v>3372.08</v>
      </c>
      <c r="M645" s="293">
        <f t="shared" ref="M645" si="1486">+L645*$X$1</f>
        <v>3372.08</v>
      </c>
      <c r="N645" s="574">
        <f t="shared" si="1475"/>
        <v>3222.08</v>
      </c>
      <c r="O645" s="293">
        <f t="shared" ref="O645" si="1487">+N645*$X$1</f>
        <v>3222.08</v>
      </c>
      <c r="P645" s="574">
        <f t="shared" si="1476"/>
        <v>3202.08</v>
      </c>
      <c r="Q645" s="293">
        <f t="shared" ref="Q645" si="1488">+P645*$X$1</f>
        <v>3202.08</v>
      </c>
      <c r="R645" s="574">
        <f t="shared" si="1477"/>
        <v>3182.08</v>
      </c>
      <c r="S645" s="293">
        <f t="shared" ref="S645" si="1489">+R645*$X$1</f>
        <v>3182.08</v>
      </c>
      <c r="T645" s="574">
        <f t="shared" si="1478"/>
        <v>3172.08</v>
      </c>
      <c r="U645" s="293">
        <f t="shared" ref="U645" si="1490">+T645*$X$1</f>
        <v>3172.08</v>
      </c>
      <c r="V645" s="574">
        <f>F645+44</f>
        <v>3166.08</v>
      </c>
      <c r="W645" s="293">
        <f t="shared" ref="W645" si="1491">+V645*$X$1</f>
        <v>3166.08</v>
      </c>
      <c r="X645" s="441"/>
      <c r="Y645" s="138"/>
      <c r="Z645" s="136"/>
      <c r="AA645" s="139"/>
      <c r="AB645" s="439" t="s">
        <v>681</v>
      </c>
    </row>
    <row r="646" spans="1:38" ht="12.6" customHeight="1" x14ac:dyDescent="0.2">
      <c r="B646" s="797" t="s">
        <v>686</v>
      </c>
      <c r="C646" s="797"/>
      <c r="D646" s="797"/>
      <c r="E646" s="797"/>
      <c r="F646" s="393">
        <f>11.3*X2</f>
        <v>11605.1</v>
      </c>
      <c r="G646" s="294">
        <f>+F646*$X$1</f>
        <v>11605.1</v>
      </c>
      <c r="H646" s="106"/>
      <c r="I646" s="106"/>
      <c r="J646" s="265"/>
      <c r="K646" s="265"/>
      <c r="L646" s="493">
        <f>F646+250</f>
        <v>11855.1</v>
      </c>
      <c r="M646" s="294">
        <f t="shared" ref="M646" si="1492">+L646*$X$1</f>
        <v>11855.1</v>
      </c>
      <c r="N646" s="493">
        <f t="shared" si="1475"/>
        <v>11705.1</v>
      </c>
      <c r="O646" s="294">
        <f t="shared" ref="O646" si="1493">+N646*$X$1</f>
        <v>11705.1</v>
      </c>
      <c r="P646" s="493">
        <f t="shared" si="1476"/>
        <v>11685.1</v>
      </c>
      <c r="Q646" s="294">
        <f t="shared" ref="Q646" si="1494">+P646*$X$1</f>
        <v>11685.1</v>
      </c>
      <c r="R646" s="493">
        <f t="shared" si="1477"/>
        <v>11665.1</v>
      </c>
      <c r="S646" s="294">
        <f t="shared" ref="S646" si="1495">+R646*$X$1</f>
        <v>11665.1</v>
      </c>
      <c r="T646" s="493">
        <f t="shared" si="1478"/>
        <v>11655.1</v>
      </c>
      <c r="U646" s="294">
        <f t="shared" ref="U646" si="1496">+T646*$X$1</f>
        <v>11655.1</v>
      </c>
      <c r="V646" s="493">
        <f>F646+44</f>
        <v>11649.1</v>
      </c>
      <c r="W646" s="294">
        <f t="shared" ref="W646" si="1497">+V646*$X$1</f>
        <v>11649.1</v>
      </c>
      <c r="X646" s="442"/>
      <c r="Y646" s="138"/>
      <c r="Z646" s="136"/>
      <c r="AA646" s="139"/>
      <c r="AB646" s="439" t="s">
        <v>687</v>
      </c>
    </row>
    <row r="647" spans="1:38" ht="12.6" customHeight="1" x14ac:dyDescent="0.2">
      <c r="B647" s="765" t="s">
        <v>509</v>
      </c>
      <c r="C647" s="765"/>
      <c r="D647" s="765"/>
      <c r="E647" s="765"/>
      <c r="F647" s="392">
        <f>4.7*X2</f>
        <v>4826.9000000000005</v>
      </c>
      <c r="G647" s="293">
        <f>+F647*$X$1</f>
        <v>4826.9000000000005</v>
      </c>
      <c r="H647" s="102"/>
      <c r="I647" s="102"/>
      <c r="J647" s="267"/>
      <c r="K647" s="267"/>
      <c r="L647" s="574">
        <f>F647+250</f>
        <v>5076.9000000000005</v>
      </c>
      <c r="M647" s="293">
        <f t="shared" ref="M647" si="1498">+L647*$X$1</f>
        <v>5076.9000000000005</v>
      </c>
      <c r="N647" s="574">
        <f t="shared" si="1475"/>
        <v>4926.9000000000005</v>
      </c>
      <c r="O647" s="293">
        <f t="shared" ref="O647" si="1499">+N647*$X$1</f>
        <v>4926.9000000000005</v>
      </c>
      <c r="P647" s="574">
        <f t="shared" si="1476"/>
        <v>4906.9000000000005</v>
      </c>
      <c r="Q647" s="293">
        <f t="shared" ref="Q647" si="1500">+P647*$X$1</f>
        <v>4906.9000000000005</v>
      </c>
      <c r="R647" s="574">
        <f t="shared" si="1477"/>
        <v>4886.9000000000005</v>
      </c>
      <c r="S647" s="293">
        <f t="shared" ref="S647" si="1501">+R647*$X$1</f>
        <v>4886.9000000000005</v>
      </c>
      <c r="T647" s="574">
        <f t="shared" si="1478"/>
        <v>4876.9000000000005</v>
      </c>
      <c r="U647" s="293">
        <f t="shared" ref="U647" si="1502">+T647*$X$1</f>
        <v>4876.9000000000005</v>
      </c>
      <c r="V647" s="574">
        <f>F647+44</f>
        <v>4870.9000000000005</v>
      </c>
      <c r="W647" s="293">
        <f t="shared" ref="W647" si="1503">+V647*$X$1</f>
        <v>4870.9000000000005</v>
      </c>
      <c r="X647" s="237"/>
      <c r="Y647" s="138"/>
      <c r="Z647" s="136"/>
      <c r="AA647" s="139"/>
      <c r="AB647" s="439" t="s">
        <v>439</v>
      </c>
    </row>
    <row r="648" spans="1:38" ht="12.6" customHeight="1" x14ac:dyDescent="0.2">
      <c r="A648" s="10"/>
      <c r="B648" s="870" t="s">
        <v>321</v>
      </c>
      <c r="C648" s="870"/>
      <c r="D648" s="870"/>
      <c r="E648" s="870"/>
      <c r="F648" s="393">
        <f>35.2*X2</f>
        <v>36150.400000000001</v>
      </c>
      <c r="G648" s="294">
        <f t="shared" ref="G648" si="1504">+F648*$X$1</f>
        <v>36150.400000000001</v>
      </c>
      <c r="H648" s="106"/>
      <c r="I648" s="106"/>
      <c r="J648" s="265"/>
      <c r="K648" s="265"/>
      <c r="L648" s="493">
        <f>F648+220</f>
        <v>36370.400000000001</v>
      </c>
      <c r="M648" s="294">
        <f t="shared" ref="M648" si="1505">+L648*$X$1</f>
        <v>36370.400000000001</v>
      </c>
      <c r="N648" s="493">
        <f t="shared" si="1475"/>
        <v>36250.400000000001</v>
      </c>
      <c r="O648" s="294">
        <f t="shared" ref="O648" si="1506">+N648*$X$1</f>
        <v>36250.400000000001</v>
      </c>
      <c r="P648" s="493">
        <f t="shared" si="1476"/>
        <v>36230.400000000001</v>
      </c>
      <c r="Q648" s="294">
        <f t="shared" ref="Q648" si="1507">+P648*$X$1</f>
        <v>36230.400000000001</v>
      </c>
      <c r="R648" s="493">
        <f t="shared" si="1477"/>
        <v>36210.400000000001</v>
      </c>
      <c r="S648" s="294">
        <f t="shared" ref="S648" si="1508">+R648*$X$1</f>
        <v>36210.400000000001</v>
      </c>
      <c r="T648" s="493">
        <f t="shared" si="1478"/>
        <v>36200.400000000001</v>
      </c>
      <c r="U648" s="294">
        <f t="shared" ref="U648" si="1509">+T648*$X$1</f>
        <v>36200.400000000001</v>
      </c>
      <c r="V648" s="493"/>
      <c r="W648" s="294"/>
      <c r="X648" s="136"/>
      <c r="Y648" s="140"/>
      <c r="Z648" s="136"/>
      <c r="AA648" s="139"/>
      <c r="AB648" s="439" t="s">
        <v>455</v>
      </c>
    </row>
    <row r="649" spans="1:38" ht="12.6" customHeight="1" x14ac:dyDescent="0.2">
      <c r="A649" s="10"/>
      <c r="B649" s="990" t="s">
        <v>454</v>
      </c>
      <c r="C649" s="990"/>
      <c r="D649" s="990"/>
      <c r="E649" s="990"/>
      <c r="F649" s="293"/>
      <c r="G649" s="293"/>
      <c r="H649" s="102"/>
      <c r="I649" s="102"/>
      <c r="J649" s="574"/>
      <c r="K649" s="293"/>
      <c r="L649" s="574"/>
      <c r="M649" s="293"/>
      <c r="N649" s="574"/>
      <c r="O649" s="293"/>
      <c r="P649" s="574"/>
      <c r="Q649" s="293"/>
      <c r="R649" s="574"/>
      <c r="S649" s="293"/>
      <c r="T649" s="574"/>
      <c r="U649" s="293"/>
      <c r="V649" s="565"/>
      <c r="W649" s="566"/>
      <c r="X649" s="136"/>
      <c r="Y649" s="140"/>
      <c r="Z649" s="136"/>
      <c r="AA649" s="139"/>
      <c r="AB649" s="439" t="s">
        <v>322</v>
      </c>
    </row>
    <row r="650" spans="1:38" s="1" customFormat="1" ht="12.6" customHeight="1" x14ac:dyDescent="0.2">
      <c r="A650" s="19"/>
      <c r="B650" s="637" t="s">
        <v>886</v>
      </c>
      <c r="C650" s="638"/>
      <c r="D650" s="638"/>
      <c r="E650" s="638"/>
      <c r="F650" s="339">
        <v>20176</v>
      </c>
      <c r="G650" s="294">
        <f t="shared" ref="G650" si="1510">+F650*$X$1</f>
        <v>20176</v>
      </c>
      <c r="H650" s="493"/>
      <c r="I650" s="294"/>
      <c r="J650" s="90">
        <f>F650+500</f>
        <v>20676</v>
      </c>
      <c r="K650" s="294">
        <f>+J650*$X$1</f>
        <v>20676</v>
      </c>
      <c r="L650" s="493">
        <f>F650+250</f>
        <v>20426</v>
      </c>
      <c r="M650" s="294">
        <f t="shared" ref="M650" si="1511">+L650*$X$1</f>
        <v>20426</v>
      </c>
      <c r="N650" s="493">
        <f>F650+100</f>
        <v>20276</v>
      </c>
      <c r="O650" s="294">
        <f t="shared" ref="O650" si="1512">+N650*$X$1</f>
        <v>20276</v>
      </c>
      <c r="P650" s="493">
        <f>F650+80</f>
        <v>20256</v>
      </c>
      <c r="Q650" s="294">
        <f t="shared" ref="Q650" si="1513">+P650*$X$1</f>
        <v>20256</v>
      </c>
      <c r="R650" s="493">
        <f>F650+60</f>
        <v>20236</v>
      </c>
      <c r="S650" s="294">
        <f t="shared" ref="S650" si="1514">+R650*$X$1</f>
        <v>20236</v>
      </c>
      <c r="T650" s="493">
        <f>F650+50</f>
        <v>20226</v>
      </c>
      <c r="U650" s="294">
        <f t="shared" ref="U650" si="1515">+T650*$X$1</f>
        <v>20226</v>
      </c>
      <c r="V650" s="493"/>
      <c r="W650" s="294"/>
      <c r="X650" s="639"/>
      <c r="Y650" s="640"/>
      <c r="Z650" s="640"/>
      <c r="AA650" s="641"/>
      <c r="AB650" s="197" t="s">
        <v>884</v>
      </c>
      <c r="AC650" s="4"/>
      <c r="AD650" s="4"/>
      <c r="AE650" s="4"/>
      <c r="AF650" s="4"/>
      <c r="AG650" s="4"/>
      <c r="AH650" s="129"/>
      <c r="AI650" s="4"/>
      <c r="AJ650" s="4"/>
      <c r="AK650" s="4"/>
      <c r="AL650" s="4"/>
    </row>
    <row r="651" spans="1:38" s="1" customFormat="1" ht="12.6" customHeight="1" x14ac:dyDescent="0.2">
      <c r="A651" s="19"/>
      <c r="B651" s="637" t="s">
        <v>887</v>
      </c>
      <c r="C651" s="638"/>
      <c r="D651" s="638"/>
      <c r="E651" s="638"/>
      <c r="F651" s="340">
        <v>11058</v>
      </c>
      <c r="G651" s="293">
        <f t="shared" ref="G651" si="1516">+F651*$X$1</f>
        <v>11058</v>
      </c>
      <c r="H651" s="574"/>
      <c r="I651" s="293"/>
      <c r="J651" s="72">
        <f>F651+500</f>
        <v>11558</v>
      </c>
      <c r="K651" s="293">
        <f>+J651*$X$1</f>
        <v>11558</v>
      </c>
      <c r="L651" s="574">
        <f>F651+250</f>
        <v>11308</v>
      </c>
      <c r="M651" s="293">
        <f t="shared" ref="M651" si="1517">+L651*$X$1</f>
        <v>11308</v>
      </c>
      <c r="N651" s="574">
        <f>F651+100</f>
        <v>11158</v>
      </c>
      <c r="O651" s="293">
        <f t="shared" ref="O651" si="1518">+N651*$X$1</f>
        <v>11158</v>
      </c>
      <c r="P651" s="574">
        <f>F651+80</f>
        <v>11138</v>
      </c>
      <c r="Q651" s="293">
        <f t="shared" ref="Q651" si="1519">+P651*$X$1</f>
        <v>11138</v>
      </c>
      <c r="R651" s="574">
        <f>F651+60</f>
        <v>11118</v>
      </c>
      <c r="S651" s="293">
        <f t="shared" ref="S651" si="1520">+R651*$X$1</f>
        <v>11118</v>
      </c>
      <c r="T651" s="574">
        <f>F651+50</f>
        <v>11108</v>
      </c>
      <c r="U651" s="293">
        <f t="shared" ref="U651" si="1521">+T651*$X$1</f>
        <v>11108</v>
      </c>
      <c r="V651" s="574"/>
      <c r="W651" s="293"/>
      <c r="X651" s="639"/>
      <c r="Y651" s="640"/>
      <c r="Z651" s="640"/>
      <c r="AA651" s="641"/>
      <c r="AB651" s="197" t="s">
        <v>885</v>
      </c>
      <c r="AC651" s="4"/>
      <c r="AD651" s="4"/>
      <c r="AE651" s="4"/>
      <c r="AF651" s="4"/>
      <c r="AG651" s="4"/>
      <c r="AH651" s="129"/>
      <c r="AI651" s="4"/>
      <c r="AJ651" s="4"/>
      <c r="AK651" s="4"/>
      <c r="AL651" s="4"/>
    </row>
    <row r="652" spans="1:38" ht="12.6" customHeight="1" x14ac:dyDescent="0.2">
      <c r="A652" s="208"/>
      <c r="B652" s="797" t="s">
        <v>554</v>
      </c>
      <c r="C652" s="643"/>
      <c r="D652" s="643"/>
      <c r="E652" s="643"/>
      <c r="F652" s="339">
        <v>14100</v>
      </c>
      <c r="G652" s="294">
        <f t="shared" ref="G652" si="1522">+F652*$X$1</f>
        <v>14100</v>
      </c>
      <c r="H652" s="265"/>
      <c r="I652" s="265"/>
      <c r="J652" s="493">
        <f t="shared" ref="J652:J660" si="1523">F652+500</f>
        <v>14600</v>
      </c>
      <c r="K652" s="294">
        <f t="shared" ref="K652:K654" si="1524">+J652*$X$1</f>
        <v>14600</v>
      </c>
      <c r="L652" s="493">
        <f>F652+410</f>
        <v>14510</v>
      </c>
      <c r="M652" s="294">
        <f>+L652*$X$1</f>
        <v>14510</v>
      </c>
      <c r="N652" s="493">
        <f>F652+370</f>
        <v>14470</v>
      </c>
      <c r="O652" s="294">
        <f>+N652*$X$1</f>
        <v>14470</v>
      </c>
      <c r="P652" s="493">
        <f>F652+330</f>
        <v>14430</v>
      </c>
      <c r="Q652" s="294">
        <f>+P652*$X$1</f>
        <v>14430</v>
      </c>
      <c r="R652" s="493">
        <f>F652+290</f>
        <v>14390</v>
      </c>
      <c r="S652" s="294">
        <f>+R652*$X$1</f>
        <v>14390</v>
      </c>
      <c r="T652" s="493">
        <f>F652+240</f>
        <v>14340</v>
      </c>
      <c r="U652" s="294">
        <f t="shared" ref="U652" si="1525">+T652*$X$1</f>
        <v>14340</v>
      </c>
      <c r="V652" s="567"/>
      <c r="W652" s="294"/>
      <c r="X652" s="316"/>
      <c r="Y652" s="316"/>
      <c r="Z652" s="316"/>
      <c r="AA652" s="316"/>
      <c r="AB652" s="439" t="s">
        <v>688</v>
      </c>
    </row>
    <row r="653" spans="1:38" ht="12.6" customHeight="1" x14ac:dyDescent="0.2">
      <c r="A653" s="208"/>
      <c r="B653" s="788" t="s">
        <v>435</v>
      </c>
      <c r="C653" s="789"/>
      <c r="D653" s="789"/>
      <c r="E653" s="789"/>
      <c r="F653" s="340">
        <v>15920</v>
      </c>
      <c r="G653" s="293">
        <f t="shared" ref="G653:G658" si="1526">+F653*$X$1</f>
        <v>15920</v>
      </c>
      <c r="H653" s="267"/>
      <c r="I653" s="267"/>
      <c r="J653" s="574"/>
      <c r="K653" s="293"/>
      <c r="L653" s="574">
        <f>F653+250</f>
        <v>16170</v>
      </c>
      <c r="M653" s="293">
        <f t="shared" ref="M653" si="1527">+L653*$X$1</f>
        <v>16170</v>
      </c>
      <c r="N653" s="574">
        <f>F653+100</f>
        <v>16020</v>
      </c>
      <c r="O653" s="293">
        <f t="shared" ref="O653" si="1528">+N653*$X$1</f>
        <v>16020</v>
      </c>
      <c r="P653" s="574">
        <f>F653+80</f>
        <v>16000</v>
      </c>
      <c r="Q653" s="293">
        <f t="shared" ref="Q653" si="1529">+P653*$X$1</f>
        <v>16000</v>
      </c>
      <c r="R653" s="574">
        <f>F653+60</f>
        <v>15980</v>
      </c>
      <c r="S653" s="293">
        <f t="shared" ref="S653" si="1530">+R653*$X$1</f>
        <v>15980</v>
      </c>
      <c r="T653" s="574">
        <f>F653+50</f>
        <v>15970</v>
      </c>
      <c r="U653" s="293">
        <f t="shared" ref="U653" si="1531">+T653*$X$1</f>
        <v>15970</v>
      </c>
      <c r="V653" s="574"/>
      <c r="W653" s="293"/>
      <c r="X653" s="156"/>
      <c r="Y653" s="156"/>
      <c r="Z653" s="156"/>
      <c r="AA653" s="156"/>
      <c r="AB653" s="439" t="s">
        <v>438</v>
      </c>
    </row>
    <row r="654" spans="1:38" ht="12.6" customHeight="1" x14ac:dyDescent="0.2">
      <c r="A654" s="208"/>
      <c r="B654" s="808" t="s">
        <v>553</v>
      </c>
      <c r="C654" s="695"/>
      <c r="D654" s="695"/>
      <c r="E654" s="695"/>
      <c r="F654" s="339">
        <v>21780</v>
      </c>
      <c r="G654" s="294">
        <f t="shared" ref="G654:G655" si="1532">+F654*$X$1</f>
        <v>21780</v>
      </c>
      <c r="H654" s="493">
        <f>F654+2400</f>
        <v>24180</v>
      </c>
      <c r="I654" s="294">
        <f t="shared" ref="I654" si="1533">+H654*$X$1</f>
        <v>24180</v>
      </c>
      <c r="J654" s="493">
        <f t="shared" si="1523"/>
        <v>22280</v>
      </c>
      <c r="K654" s="294">
        <f t="shared" si="1524"/>
        <v>22280</v>
      </c>
      <c r="L654" s="493">
        <f>F654+250</f>
        <v>22030</v>
      </c>
      <c r="M654" s="294">
        <f t="shared" ref="M654:M655" si="1534">+L654*$X$1</f>
        <v>22030</v>
      </c>
      <c r="N654" s="493">
        <f>F654+100</f>
        <v>21880</v>
      </c>
      <c r="O654" s="294">
        <f t="shared" ref="O654:O655" si="1535">+N654*$X$1</f>
        <v>21880</v>
      </c>
      <c r="P654" s="493">
        <f>F654+80</f>
        <v>21860</v>
      </c>
      <c r="Q654" s="294">
        <f t="shared" ref="Q654:Q655" si="1536">+P654*$X$1</f>
        <v>21860</v>
      </c>
      <c r="R654" s="493">
        <f>F654+60</f>
        <v>21840</v>
      </c>
      <c r="S654" s="294">
        <f t="shared" ref="S654:S655" si="1537">+R654*$X$1</f>
        <v>21840</v>
      </c>
      <c r="T654" s="493">
        <f>F654+50</f>
        <v>21830</v>
      </c>
      <c r="U654" s="294">
        <f t="shared" ref="U654:U660" si="1538">+T654*$X$1</f>
        <v>21830</v>
      </c>
      <c r="V654" s="493"/>
      <c r="W654" s="294"/>
      <c r="X654" s="316"/>
      <c r="Y654" s="316"/>
      <c r="Z654" s="316"/>
      <c r="AA654" s="316"/>
      <c r="AB654" s="439" t="s">
        <v>555</v>
      </c>
    </row>
    <row r="655" spans="1:38" ht="12.6" customHeight="1" x14ac:dyDescent="0.2">
      <c r="A655" s="208"/>
      <c r="B655" s="788" t="s">
        <v>785</v>
      </c>
      <c r="C655" s="789"/>
      <c r="D655" s="789"/>
      <c r="E655" s="789"/>
      <c r="F655" s="340">
        <v>16570</v>
      </c>
      <c r="G655" s="293">
        <f t="shared" si="1532"/>
        <v>16570</v>
      </c>
      <c r="H655" s="574">
        <f>F655+2400</f>
        <v>18970</v>
      </c>
      <c r="I655" s="293">
        <f t="shared" ref="I655" si="1539">+H655*$X$1</f>
        <v>18970</v>
      </c>
      <c r="J655" s="574">
        <f t="shared" ref="J655" si="1540">F655+500</f>
        <v>17070</v>
      </c>
      <c r="K655" s="293">
        <f t="shared" ref="K655" si="1541">+J655*$X$1</f>
        <v>17070</v>
      </c>
      <c r="L655" s="574">
        <f>F655+250</f>
        <v>16820</v>
      </c>
      <c r="M655" s="293">
        <f t="shared" si="1534"/>
        <v>16820</v>
      </c>
      <c r="N655" s="574">
        <f>F655+100</f>
        <v>16670</v>
      </c>
      <c r="O655" s="293">
        <f t="shared" si="1535"/>
        <v>16670</v>
      </c>
      <c r="P655" s="574">
        <f>F655+80</f>
        <v>16650</v>
      </c>
      <c r="Q655" s="293">
        <f t="shared" si="1536"/>
        <v>16650</v>
      </c>
      <c r="R655" s="574">
        <f>F655+60</f>
        <v>16630</v>
      </c>
      <c r="S655" s="293">
        <f t="shared" si="1537"/>
        <v>16630</v>
      </c>
      <c r="T655" s="574">
        <f>F655+50</f>
        <v>16620</v>
      </c>
      <c r="U655" s="293">
        <f t="shared" si="1538"/>
        <v>16620</v>
      </c>
      <c r="V655" s="574"/>
      <c r="W655" s="293"/>
      <c r="X655" s="490"/>
      <c r="Y655" s="490"/>
      <c r="Z655" s="490"/>
      <c r="AA655" s="490"/>
      <c r="AB655" s="439" t="s">
        <v>786</v>
      </c>
    </row>
    <row r="656" spans="1:38" ht="12.6" customHeight="1" x14ac:dyDescent="0.2">
      <c r="A656" s="208"/>
      <c r="B656" s="808" t="s">
        <v>434</v>
      </c>
      <c r="C656" s="695"/>
      <c r="D656" s="695"/>
      <c r="E656" s="695"/>
      <c r="F656" s="339">
        <v>16540</v>
      </c>
      <c r="G656" s="294">
        <f t="shared" si="1526"/>
        <v>16540</v>
      </c>
      <c r="H656" s="265"/>
      <c r="I656" s="265"/>
      <c r="J656" s="493">
        <f t="shared" si="1523"/>
        <v>17040</v>
      </c>
      <c r="K656" s="294">
        <f t="shared" ref="K656:K660" si="1542">+J656*$X$1</f>
        <v>17040</v>
      </c>
      <c r="L656" s="103">
        <f>F656+410</f>
        <v>16950</v>
      </c>
      <c r="M656" s="328">
        <f>+L656*$X$1</f>
        <v>16950</v>
      </c>
      <c r="N656" s="103">
        <f>F656+370</f>
        <v>16910</v>
      </c>
      <c r="O656" s="328">
        <f>+N656*$X$1</f>
        <v>16910</v>
      </c>
      <c r="P656" s="103">
        <f>F656+330</f>
        <v>16870</v>
      </c>
      <c r="Q656" s="328">
        <f>+P656*$X$1</f>
        <v>16870</v>
      </c>
      <c r="R656" s="103">
        <f>F656+290</f>
        <v>16830</v>
      </c>
      <c r="S656" s="328">
        <f>+R656*$X$1</f>
        <v>16830</v>
      </c>
      <c r="T656" s="493">
        <f>F656+240</f>
        <v>16780</v>
      </c>
      <c r="U656" s="294">
        <f t="shared" si="1538"/>
        <v>16780</v>
      </c>
      <c r="V656" s="541"/>
      <c r="W656" s="294"/>
      <c r="X656" s="156"/>
      <c r="Y656" s="156"/>
      <c r="Z656" s="156"/>
      <c r="AA656" s="156"/>
      <c r="AB656" s="439" t="s">
        <v>437</v>
      </c>
    </row>
    <row r="657" spans="1:35" ht="12.6" customHeight="1" x14ac:dyDescent="0.2">
      <c r="A657" s="208"/>
      <c r="B657" s="788" t="s">
        <v>556</v>
      </c>
      <c r="C657" s="789"/>
      <c r="D657" s="789"/>
      <c r="E657" s="789"/>
      <c r="F657" s="392">
        <f>15.3*X2</f>
        <v>15713.1</v>
      </c>
      <c r="G657" s="293">
        <f t="shared" ref="G657" si="1543">+F657*$X$1</f>
        <v>15713.1</v>
      </c>
      <c r="H657" s="267"/>
      <c r="I657" s="267"/>
      <c r="J657" s="574">
        <f t="shared" si="1523"/>
        <v>16213.1</v>
      </c>
      <c r="K657" s="293">
        <f t="shared" si="1542"/>
        <v>16213.1</v>
      </c>
      <c r="L657" s="104">
        <f>F657+410</f>
        <v>16123.1</v>
      </c>
      <c r="M657" s="314">
        <f>+L657*$X$1</f>
        <v>16123.1</v>
      </c>
      <c r="N657" s="104">
        <f>F657+370</f>
        <v>16083.1</v>
      </c>
      <c r="O657" s="314">
        <f>+N657*$X$1</f>
        <v>16083.1</v>
      </c>
      <c r="P657" s="104">
        <f>F657+330</f>
        <v>16043.1</v>
      </c>
      <c r="Q657" s="314">
        <f>+P657*$X$1</f>
        <v>16043.1</v>
      </c>
      <c r="R657" s="104">
        <f>F657+290</f>
        <v>16003.1</v>
      </c>
      <c r="S657" s="314">
        <f>+R657*$X$1</f>
        <v>16003.1</v>
      </c>
      <c r="T657" s="574">
        <f>F657+240</f>
        <v>15953.1</v>
      </c>
      <c r="U657" s="293">
        <f t="shared" si="1538"/>
        <v>15953.1</v>
      </c>
      <c r="V657" s="318"/>
      <c r="W657" s="293"/>
      <c r="X657" s="319"/>
      <c r="Y657" s="319"/>
      <c r="Z657" s="319"/>
      <c r="AA657" s="319"/>
      <c r="AB657" s="439" t="s">
        <v>689</v>
      </c>
    </row>
    <row r="658" spans="1:35" ht="12.6" customHeight="1" x14ac:dyDescent="0.2">
      <c r="A658" s="208"/>
      <c r="B658" s="808" t="s">
        <v>485</v>
      </c>
      <c r="C658" s="695"/>
      <c r="D658" s="695"/>
      <c r="E658" s="695"/>
      <c r="F658" s="393">
        <f>9.65*X2</f>
        <v>9910.5500000000011</v>
      </c>
      <c r="G658" s="294">
        <f t="shared" si="1526"/>
        <v>9910.5500000000011</v>
      </c>
      <c r="H658" s="265"/>
      <c r="I658" s="265"/>
      <c r="J658" s="493">
        <f t="shared" si="1523"/>
        <v>10410.550000000001</v>
      </c>
      <c r="K658" s="294">
        <f t="shared" si="1542"/>
        <v>10410.550000000001</v>
      </c>
      <c r="L658" s="103">
        <f>F658+410</f>
        <v>10320.550000000001</v>
      </c>
      <c r="M658" s="328">
        <f>+L658*$X$1</f>
        <v>10320.550000000001</v>
      </c>
      <c r="N658" s="103">
        <f>F658+370</f>
        <v>10280.550000000001</v>
      </c>
      <c r="O658" s="328">
        <f>+N658*$X$1</f>
        <v>10280.550000000001</v>
      </c>
      <c r="P658" s="103">
        <f>F658+330</f>
        <v>10240.550000000001</v>
      </c>
      <c r="Q658" s="328">
        <f>+P658*$X$1</f>
        <v>10240.550000000001</v>
      </c>
      <c r="R658" s="103">
        <f>F658+290</f>
        <v>10200.550000000001</v>
      </c>
      <c r="S658" s="328">
        <f>+R658*$X$1</f>
        <v>10200.550000000001</v>
      </c>
      <c r="T658" s="493">
        <f>F658+240</f>
        <v>10150.550000000001</v>
      </c>
      <c r="U658" s="294">
        <f t="shared" si="1538"/>
        <v>10150.550000000001</v>
      </c>
      <c r="V658" s="493"/>
      <c r="W658" s="294"/>
      <c r="X658" s="156"/>
      <c r="Y658" s="156"/>
      <c r="Z658" s="156"/>
      <c r="AA658" s="156"/>
      <c r="AB658" s="439" t="s">
        <v>668</v>
      </c>
    </row>
    <row r="659" spans="1:35" ht="12.6" customHeight="1" x14ac:dyDescent="0.2">
      <c r="A659" s="208"/>
      <c r="B659" s="788" t="s">
        <v>692</v>
      </c>
      <c r="C659" s="789"/>
      <c r="D659" s="789"/>
      <c r="E659" s="789"/>
      <c r="F659" s="392">
        <f>16.76*X2</f>
        <v>17212.52</v>
      </c>
      <c r="G659" s="293">
        <f t="shared" ref="G659" si="1544">+F659*$X$1</f>
        <v>17212.52</v>
      </c>
      <c r="H659" s="267"/>
      <c r="I659" s="267"/>
      <c r="J659" s="574">
        <f t="shared" si="1523"/>
        <v>17712.52</v>
      </c>
      <c r="K659" s="293">
        <f t="shared" si="1542"/>
        <v>17712.52</v>
      </c>
      <c r="L659" s="104">
        <f>F659+410</f>
        <v>17622.52</v>
      </c>
      <c r="M659" s="314">
        <f>+L659*$X$1</f>
        <v>17622.52</v>
      </c>
      <c r="N659" s="104">
        <f>F659+370</f>
        <v>17582.52</v>
      </c>
      <c r="O659" s="314">
        <f>+N659*$X$1</f>
        <v>17582.52</v>
      </c>
      <c r="P659" s="104">
        <f>F659+330</f>
        <v>17542.52</v>
      </c>
      <c r="Q659" s="314">
        <f>+P659*$X$1</f>
        <v>17542.52</v>
      </c>
      <c r="R659" s="104">
        <f>F659+290</f>
        <v>17502.52</v>
      </c>
      <c r="S659" s="314">
        <f>+R659*$X$1</f>
        <v>17502.52</v>
      </c>
      <c r="T659" s="574">
        <f>F659+240</f>
        <v>17452.52</v>
      </c>
      <c r="U659" s="293">
        <f t="shared" si="1538"/>
        <v>17452.52</v>
      </c>
      <c r="V659" s="574"/>
      <c r="W659" s="293"/>
      <c r="X659" s="408"/>
      <c r="Y659" s="408"/>
      <c r="Z659" s="408"/>
      <c r="AA659" s="408"/>
      <c r="AB659" s="439" t="s">
        <v>669</v>
      </c>
    </row>
    <row r="660" spans="1:35" ht="12.6" customHeight="1" x14ac:dyDescent="0.2">
      <c r="A660" s="208"/>
      <c r="B660" s="808" t="s">
        <v>484</v>
      </c>
      <c r="C660" s="695"/>
      <c r="D660" s="695"/>
      <c r="E660" s="695"/>
      <c r="F660" s="393">
        <f>12.57*X2</f>
        <v>12909.39</v>
      </c>
      <c r="G660" s="294">
        <f t="shared" ref="G660" si="1545">+F660*$X$1</f>
        <v>12909.39</v>
      </c>
      <c r="H660" s="265"/>
      <c r="I660" s="265"/>
      <c r="J660" s="493">
        <f t="shared" si="1523"/>
        <v>13409.39</v>
      </c>
      <c r="K660" s="294">
        <f t="shared" si="1542"/>
        <v>13409.39</v>
      </c>
      <c r="L660" s="103">
        <f>F660+410</f>
        <v>13319.39</v>
      </c>
      <c r="M660" s="328">
        <f>+L660*$X$1</f>
        <v>13319.39</v>
      </c>
      <c r="N660" s="103">
        <f>F660+370</f>
        <v>13279.39</v>
      </c>
      <c r="O660" s="328">
        <f>+N660*$X$1</f>
        <v>13279.39</v>
      </c>
      <c r="P660" s="103">
        <f>F660+330</f>
        <v>13239.39</v>
      </c>
      <c r="Q660" s="328">
        <f>+P660*$X$1</f>
        <v>13239.39</v>
      </c>
      <c r="R660" s="103">
        <f>F660+290</f>
        <v>13199.39</v>
      </c>
      <c r="S660" s="328">
        <f>+R660*$X$1</f>
        <v>13199.39</v>
      </c>
      <c r="T660" s="493">
        <f>F660+240</f>
        <v>13149.39</v>
      </c>
      <c r="U660" s="294">
        <f t="shared" si="1538"/>
        <v>13149.39</v>
      </c>
      <c r="V660" s="493"/>
      <c r="W660" s="294"/>
      <c r="X660" s="156"/>
      <c r="Y660" s="156"/>
      <c r="Z660" s="156"/>
      <c r="AA660" s="156"/>
      <c r="AB660" s="439" t="s">
        <v>670</v>
      </c>
    </row>
    <row r="661" spans="1:35" ht="14.25" customHeight="1" x14ac:dyDescent="0.2">
      <c r="A661" s="208"/>
      <c r="B661" s="109"/>
      <c r="C661" s="559"/>
      <c r="D661" s="559"/>
      <c r="E661" s="559"/>
      <c r="F661" s="447"/>
      <c r="G661" s="345"/>
      <c r="H661" s="118"/>
      <c r="I661" s="345"/>
      <c r="J661" s="118"/>
      <c r="K661" s="345"/>
      <c r="L661" s="118"/>
      <c r="M661" s="345"/>
      <c r="N661" s="118"/>
      <c r="O661" s="345"/>
      <c r="P661" s="118"/>
      <c r="Q661" s="345"/>
      <c r="R661" s="118"/>
      <c r="S661" s="345"/>
      <c r="T661" s="118"/>
      <c r="U661" s="345"/>
      <c r="V661" s="76"/>
      <c r="W661" s="504"/>
      <c r="X661" s="558"/>
      <c r="Y661" s="558"/>
      <c r="Z661" s="558"/>
      <c r="AA661" s="558"/>
      <c r="AB661" s="448"/>
    </row>
    <row r="662" spans="1:35" ht="20.25" customHeight="1" x14ac:dyDescent="0.2">
      <c r="A662" s="28"/>
      <c r="B662" s="962" t="s">
        <v>323</v>
      </c>
      <c r="C662" s="963"/>
      <c r="D662" s="963"/>
      <c r="E662" s="963"/>
      <c r="F662" s="963"/>
      <c r="G662" s="963"/>
      <c r="H662" s="963"/>
      <c r="I662" s="963"/>
      <c r="J662" s="963"/>
      <c r="K662" s="963"/>
      <c r="L662" s="963"/>
      <c r="M662" s="963"/>
      <c r="N662" s="963"/>
      <c r="O662" s="963"/>
      <c r="P662" s="963"/>
      <c r="Q662" s="963"/>
      <c r="R662" s="963"/>
      <c r="S662" s="963"/>
      <c r="T662" s="963"/>
      <c r="U662" s="963"/>
      <c r="V662" s="963"/>
      <c r="W662" s="964"/>
      <c r="AF662" s="777"/>
      <c r="AG662" s="778"/>
      <c r="AH662" s="778"/>
    </row>
    <row r="663" spans="1:35" ht="12.6" customHeight="1" x14ac:dyDescent="0.2">
      <c r="A663" s="18"/>
      <c r="B663" s="1206"/>
      <c r="C663" s="1207"/>
      <c r="D663" s="1207"/>
      <c r="E663" s="1207"/>
      <c r="F663" s="1207"/>
      <c r="G663" s="1208"/>
      <c r="H663" s="525"/>
      <c r="I663" s="526" t="s">
        <v>295</v>
      </c>
      <c r="J663" s="526"/>
      <c r="K663" s="526" t="s">
        <v>17</v>
      </c>
      <c r="L663" s="526"/>
      <c r="M663" s="526" t="s">
        <v>18</v>
      </c>
      <c r="N663" s="526"/>
      <c r="O663" s="526" t="s">
        <v>19</v>
      </c>
      <c r="P663" s="526"/>
      <c r="Q663" s="526" t="s">
        <v>297</v>
      </c>
      <c r="R663" s="526"/>
      <c r="S663" s="526" t="s">
        <v>20</v>
      </c>
      <c r="T663" s="526"/>
      <c r="U663" s="526" t="s">
        <v>21</v>
      </c>
      <c r="V663" s="526"/>
      <c r="W663" s="526" t="s">
        <v>22</v>
      </c>
    </row>
    <row r="664" spans="1:35" ht="12.6" customHeight="1" x14ac:dyDescent="0.2">
      <c r="A664" s="983"/>
      <c r="B664" s="991" t="s">
        <v>526</v>
      </c>
      <c r="C664" s="992"/>
      <c r="D664" s="992"/>
      <c r="E664" s="992"/>
      <c r="F664" s="992"/>
      <c r="G664" s="993"/>
      <c r="H664" s="301"/>
      <c r="I664" s="409"/>
      <c r="J664" s="410"/>
      <c r="K664" s="376"/>
      <c r="L664" s="300">
        <v>90</v>
      </c>
      <c r="M664" s="376">
        <f>+L664*$X$1</f>
        <v>90</v>
      </c>
      <c r="N664" s="493">
        <v>50</v>
      </c>
      <c r="O664" s="376">
        <f>+N664*$X$1</f>
        <v>50</v>
      </c>
      <c r="P664" s="493">
        <v>40</v>
      </c>
      <c r="Q664" s="376">
        <f>+P664*$X$1</f>
        <v>40</v>
      </c>
      <c r="R664" s="493">
        <v>35</v>
      </c>
      <c r="S664" s="376">
        <f>+R664*$X$1</f>
        <v>35</v>
      </c>
      <c r="T664" s="493">
        <v>31</v>
      </c>
      <c r="U664" s="377">
        <f>+T664*$X$1</f>
        <v>31</v>
      </c>
      <c r="V664" s="493">
        <v>28</v>
      </c>
      <c r="W664" s="376">
        <f>+V664*$X$1</f>
        <v>28</v>
      </c>
    </row>
    <row r="665" spans="1:35" ht="12.6" customHeight="1" x14ac:dyDescent="0.2">
      <c r="A665" s="983"/>
      <c r="B665" s="965" t="s">
        <v>324</v>
      </c>
      <c r="C665" s="966"/>
      <c r="D665" s="966"/>
      <c r="E665" s="966"/>
      <c r="F665" s="966"/>
      <c r="G665" s="967"/>
      <c r="H665" s="76"/>
      <c r="I665" s="411"/>
      <c r="J665" s="412">
        <v>180</v>
      </c>
      <c r="K665" s="378">
        <f>+J665*$X$1</f>
        <v>180</v>
      </c>
      <c r="L665" s="413">
        <v>120</v>
      </c>
      <c r="M665" s="414">
        <f>+L665*$X$1</f>
        <v>120</v>
      </c>
      <c r="N665" s="113">
        <v>70</v>
      </c>
      <c r="O665" s="414">
        <f>+N665*$X$1</f>
        <v>70</v>
      </c>
      <c r="P665" s="113">
        <v>60</v>
      </c>
      <c r="Q665" s="414">
        <f>+P665*$X$1</f>
        <v>60</v>
      </c>
      <c r="R665" s="113">
        <v>50</v>
      </c>
      <c r="S665" s="414">
        <f>+R665*$X$1</f>
        <v>50</v>
      </c>
      <c r="T665" s="113">
        <v>45</v>
      </c>
      <c r="U665" s="414">
        <f>+T665*$X$1</f>
        <v>45</v>
      </c>
      <c r="V665" s="113">
        <v>40</v>
      </c>
      <c r="W665" s="414">
        <f>+V665*$X$1</f>
        <v>40</v>
      </c>
    </row>
    <row r="666" spans="1:35" ht="12.6" customHeight="1" x14ac:dyDescent="0.2">
      <c r="A666" s="983"/>
      <c r="B666" s="991" t="s">
        <v>527</v>
      </c>
      <c r="C666" s="992"/>
      <c r="D666" s="992"/>
      <c r="E666" s="992"/>
      <c r="F666" s="992"/>
      <c r="G666" s="993"/>
      <c r="H666" s="300"/>
      <c r="I666" s="376"/>
      <c r="J666" s="300"/>
      <c r="K666" s="376"/>
      <c r="L666" s="300">
        <v>90</v>
      </c>
      <c r="M666" s="376">
        <f>+L666*$X$1</f>
        <v>90</v>
      </c>
      <c r="N666" s="493">
        <v>70</v>
      </c>
      <c r="O666" s="376">
        <f>+N666*$X$1</f>
        <v>70</v>
      </c>
      <c r="P666" s="493">
        <v>65</v>
      </c>
      <c r="Q666" s="376">
        <f>+P666*$X$1</f>
        <v>65</v>
      </c>
      <c r="R666" s="493">
        <v>55</v>
      </c>
      <c r="S666" s="376">
        <f>+R666*$X$1</f>
        <v>55</v>
      </c>
      <c r="T666" s="493">
        <v>50</v>
      </c>
      <c r="U666" s="377">
        <f>+T666*$X$1</f>
        <v>50</v>
      </c>
      <c r="V666" s="493">
        <v>45</v>
      </c>
      <c r="W666" s="376">
        <f>+V666*$X$1</f>
        <v>45</v>
      </c>
    </row>
    <row r="667" spans="1:35" ht="12.6" customHeight="1" x14ac:dyDescent="0.2">
      <c r="A667" s="983"/>
      <c r="B667" s="994" t="s">
        <v>525</v>
      </c>
      <c r="C667" s="995"/>
      <c r="D667" s="995"/>
      <c r="E667" s="995"/>
      <c r="F667" s="995"/>
      <c r="G667" s="996"/>
      <c r="H667" s="415">
        <v>300</v>
      </c>
      <c r="I667" s="378">
        <f>+H667*$X$1</f>
        <v>300</v>
      </c>
      <c r="J667" s="415">
        <v>220</v>
      </c>
      <c r="K667" s="378">
        <f>+J667*$X$1</f>
        <v>220</v>
      </c>
      <c r="L667" s="415">
        <v>170</v>
      </c>
      <c r="M667" s="378">
        <f>+L667*$X$1</f>
        <v>170</v>
      </c>
      <c r="N667" s="508">
        <v>150</v>
      </c>
      <c r="O667" s="378">
        <f>+N667*$X$1</f>
        <v>150</v>
      </c>
      <c r="P667" s="508">
        <v>130</v>
      </c>
      <c r="Q667" s="378">
        <f>+P667*$X$1</f>
        <v>130</v>
      </c>
      <c r="R667" s="508">
        <v>110</v>
      </c>
      <c r="S667" s="378">
        <f>+R667*$X$1</f>
        <v>110</v>
      </c>
      <c r="T667" s="508">
        <v>95</v>
      </c>
      <c r="U667" s="414">
        <f>+T667*$X$1</f>
        <v>95</v>
      </c>
      <c r="V667" s="508">
        <v>80</v>
      </c>
      <c r="W667" s="378">
        <f>+V667*$X$1</f>
        <v>80</v>
      </c>
    </row>
    <row r="668" spans="1:35" ht="12.75" customHeight="1" x14ac:dyDescent="0.2">
      <c r="A668" s="983"/>
      <c r="B668" s="840" t="s">
        <v>876</v>
      </c>
      <c r="C668" s="841"/>
      <c r="D668" s="841"/>
      <c r="E668" s="841"/>
      <c r="F668" s="841"/>
      <c r="G668" s="841"/>
      <c r="H668" s="841"/>
      <c r="I668" s="841"/>
      <c r="J668" s="841"/>
      <c r="K668" s="841"/>
      <c r="L668" s="841"/>
      <c r="M668" s="841"/>
      <c r="N668" s="841"/>
      <c r="O668" s="841"/>
      <c r="P668" s="841"/>
      <c r="Q668" s="841"/>
      <c r="R668" s="841"/>
      <c r="S668" s="841"/>
      <c r="T668" s="841"/>
      <c r="U668" s="841"/>
      <c r="V668" s="841"/>
      <c r="W668" s="842"/>
    </row>
    <row r="669" spans="1:35" ht="13.5" customHeight="1" x14ac:dyDescent="0.2">
      <c r="A669" s="983"/>
      <c r="B669" s="814" t="s">
        <v>597</v>
      </c>
      <c r="C669" s="815"/>
      <c r="D669" s="815"/>
      <c r="E669" s="815"/>
      <c r="F669" s="815"/>
      <c r="G669" s="816"/>
      <c r="H669" s="960"/>
      <c r="I669" s="829" t="s">
        <v>295</v>
      </c>
      <c r="J669" s="960"/>
      <c r="K669" s="829" t="s">
        <v>17</v>
      </c>
      <c r="L669" s="829"/>
      <c r="M669" s="829" t="s">
        <v>18</v>
      </c>
      <c r="N669" s="829"/>
      <c r="O669" s="829" t="s">
        <v>19</v>
      </c>
      <c r="P669" s="829"/>
      <c r="Q669" s="829" t="s">
        <v>297</v>
      </c>
      <c r="R669" s="829"/>
      <c r="S669" s="829" t="s">
        <v>20</v>
      </c>
      <c r="T669" s="829"/>
      <c r="U669" s="829" t="s">
        <v>21</v>
      </c>
      <c r="V669" s="829"/>
      <c r="W669" s="829" t="s">
        <v>22</v>
      </c>
    </row>
    <row r="670" spans="1:35" ht="11.25" customHeight="1" x14ac:dyDescent="0.2">
      <c r="A670" s="983"/>
      <c r="B670" s="817"/>
      <c r="C670" s="818"/>
      <c r="D670" s="818"/>
      <c r="E670" s="818"/>
      <c r="F670" s="818"/>
      <c r="G670" s="819"/>
      <c r="H670" s="961"/>
      <c r="I670" s="968"/>
      <c r="J670" s="961"/>
      <c r="K670" s="968"/>
      <c r="L670" s="830"/>
      <c r="M670" s="830"/>
      <c r="N670" s="830"/>
      <c r="O670" s="830"/>
      <c r="P670" s="830"/>
      <c r="Q670" s="830"/>
      <c r="R670" s="830"/>
      <c r="S670" s="830"/>
      <c r="T670" s="830"/>
      <c r="U670" s="830"/>
      <c r="V670" s="830"/>
      <c r="W670" s="830"/>
      <c r="AB670" s="60"/>
      <c r="AC670" s="60"/>
      <c r="AD670" s="60"/>
      <c r="AE670" s="60"/>
      <c r="AF670" s="60"/>
      <c r="AG670" s="60"/>
      <c r="AH670" s="60"/>
      <c r="AI670" s="60"/>
    </row>
    <row r="671" spans="1:35" ht="12.6" customHeight="1" x14ac:dyDescent="0.2">
      <c r="A671" s="983"/>
      <c r="B671" s="845" t="s">
        <v>595</v>
      </c>
      <c r="C671" s="846"/>
      <c r="D671" s="846"/>
      <c r="E671" s="846"/>
      <c r="F671" s="846"/>
      <c r="G671" s="847"/>
      <c r="H671" s="302">
        <v>510</v>
      </c>
      <c r="I671" s="379">
        <f>+H671*$X$1</f>
        <v>510</v>
      </c>
      <c r="J671" s="90">
        <v>410</v>
      </c>
      <c r="K671" s="379">
        <f>+J671*$X$1</f>
        <v>410</v>
      </c>
      <c r="L671" s="493">
        <v>360</v>
      </c>
      <c r="M671" s="376">
        <f>+L671*$X$1</f>
        <v>360</v>
      </c>
      <c r="N671" s="493">
        <v>320</v>
      </c>
      <c r="O671" s="376">
        <f>+N671*$X$1</f>
        <v>320</v>
      </c>
      <c r="P671" s="493">
        <v>270</v>
      </c>
      <c r="Q671" s="376">
        <f>+P671*$X$1</f>
        <v>270</v>
      </c>
      <c r="R671" s="493">
        <v>250</v>
      </c>
      <c r="S671" s="376">
        <f>+R671*$X$1</f>
        <v>250</v>
      </c>
      <c r="T671" s="493">
        <v>230</v>
      </c>
      <c r="U671" s="376">
        <f>+T671*$X$1</f>
        <v>230</v>
      </c>
      <c r="V671" s="493">
        <v>220</v>
      </c>
      <c r="W671" s="376">
        <f>+V671*$X$1</f>
        <v>220</v>
      </c>
    </row>
    <row r="672" spans="1:35" ht="12.6" customHeight="1" x14ac:dyDescent="0.2">
      <c r="A672" s="983"/>
      <c r="B672" s="984" t="s">
        <v>592</v>
      </c>
      <c r="C672" s="985"/>
      <c r="D672" s="985"/>
      <c r="E672" s="985"/>
      <c r="F672" s="985"/>
      <c r="G672" s="986"/>
      <c r="H672" s="93">
        <v>570</v>
      </c>
      <c r="I672" s="416">
        <f>+H672*$X$1</f>
        <v>570</v>
      </c>
      <c r="J672" s="72">
        <v>480</v>
      </c>
      <c r="K672" s="416">
        <f>+J672*$X$1</f>
        <v>480</v>
      </c>
      <c r="L672" s="508">
        <v>450</v>
      </c>
      <c r="M672" s="378">
        <f>+L672*$X$1</f>
        <v>450</v>
      </c>
      <c r="N672" s="508">
        <v>410</v>
      </c>
      <c r="O672" s="378">
        <f>+N672*$X$1</f>
        <v>410</v>
      </c>
      <c r="P672" s="508">
        <v>380</v>
      </c>
      <c r="Q672" s="378">
        <f>+P672*$X$1</f>
        <v>380</v>
      </c>
      <c r="R672" s="508">
        <v>350</v>
      </c>
      <c r="S672" s="378">
        <f>+R672*$X$1</f>
        <v>350</v>
      </c>
      <c r="T672" s="508">
        <v>330</v>
      </c>
      <c r="U672" s="378">
        <f>+T672*$X$1</f>
        <v>330</v>
      </c>
      <c r="V672" s="508">
        <v>310</v>
      </c>
      <c r="W672" s="378">
        <f>+V672*$X$1</f>
        <v>310</v>
      </c>
    </row>
    <row r="673" spans="1:28" ht="12.6" customHeight="1" x14ac:dyDescent="0.2">
      <c r="A673" s="983"/>
      <c r="B673" s="845" t="s">
        <v>594</v>
      </c>
      <c r="C673" s="846"/>
      <c r="D673" s="846"/>
      <c r="E673" s="846"/>
      <c r="F673" s="846"/>
      <c r="G673" s="847"/>
      <c r="H673" s="302">
        <v>780</v>
      </c>
      <c r="I673" s="379">
        <f>+H673*$X$1</f>
        <v>780</v>
      </c>
      <c r="J673" s="90">
        <v>700</v>
      </c>
      <c r="K673" s="379">
        <f>+J673*$X$1</f>
        <v>700</v>
      </c>
      <c r="L673" s="493">
        <v>600</v>
      </c>
      <c r="M673" s="376">
        <f>+L673*$X$1</f>
        <v>600</v>
      </c>
      <c r="N673" s="493">
        <v>550</v>
      </c>
      <c r="O673" s="376">
        <f>+N673*$X$1</f>
        <v>550</v>
      </c>
      <c r="P673" s="493">
        <v>510</v>
      </c>
      <c r="Q673" s="376">
        <f>+P673*$X$1</f>
        <v>510</v>
      </c>
      <c r="R673" s="493">
        <v>490</v>
      </c>
      <c r="S673" s="376">
        <f>+R673*$X$1</f>
        <v>490</v>
      </c>
      <c r="T673" s="493">
        <v>480</v>
      </c>
      <c r="U673" s="376">
        <f>+T673*$X$1</f>
        <v>480</v>
      </c>
      <c r="V673" s="493">
        <v>460</v>
      </c>
      <c r="W673" s="376">
        <f>+V673*$X$1</f>
        <v>460</v>
      </c>
    </row>
    <row r="674" spans="1:28" ht="12.6" customHeight="1" x14ac:dyDescent="0.2">
      <c r="A674" s="983"/>
      <c r="B674" s="984" t="s">
        <v>593</v>
      </c>
      <c r="C674" s="985"/>
      <c r="D674" s="985"/>
      <c r="E674" s="985"/>
      <c r="F674" s="985"/>
      <c r="G674" s="986"/>
      <c r="H674" s="93">
        <v>1060</v>
      </c>
      <c r="I674" s="523">
        <f>+H674*$X$1</f>
        <v>1060</v>
      </c>
      <c r="J674" s="72">
        <v>920</v>
      </c>
      <c r="K674" s="524">
        <f>+J674*$X$1</f>
        <v>920</v>
      </c>
      <c r="L674" s="508">
        <v>800</v>
      </c>
      <c r="M674" s="378">
        <f>+L674*$X$1</f>
        <v>800</v>
      </c>
      <c r="N674" s="508">
        <v>740</v>
      </c>
      <c r="O674" s="378">
        <f>+N674*$X$1</f>
        <v>740</v>
      </c>
      <c r="P674" s="508">
        <v>710</v>
      </c>
      <c r="Q674" s="378">
        <f>+P674*$X$1</f>
        <v>710</v>
      </c>
      <c r="R674" s="508">
        <v>690</v>
      </c>
      <c r="S674" s="378">
        <f>+R674*$X$1</f>
        <v>690</v>
      </c>
      <c r="T674" s="508">
        <v>670</v>
      </c>
      <c r="U674" s="378">
        <f>+T674*$X$1</f>
        <v>670</v>
      </c>
      <c r="V674" s="508">
        <v>650</v>
      </c>
      <c r="W674" s="378">
        <f>+V674*$X$1</f>
        <v>650</v>
      </c>
    </row>
    <row r="675" spans="1:28" ht="8.25" customHeight="1" x14ac:dyDescent="0.2">
      <c r="A675" s="208"/>
      <c r="B675" s="209"/>
      <c r="C675" s="209"/>
      <c r="D675" s="209"/>
      <c r="E675" s="209"/>
      <c r="F675" s="210"/>
      <c r="G675" s="210"/>
      <c r="H675" s="76"/>
      <c r="I675" s="211"/>
      <c r="J675" s="211"/>
      <c r="K675" s="211"/>
      <c r="L675" s="211"/>
      <c r="M675" s="211"/>
      <c r="N675" s="211"/>
      <c r="O675" s="211"/>
      <c r="P675" s="211"/>
      <c r="Q675" s="211"/>
      <c r="R675" s="211"/>
      <c r="S675" s="211"/>
      <c r="T675" s="211"/>
      <c r="U675" s="211"/>
      <c r="V675" s="76"/>
      <c r="W675" s="203"/>
      <c r="X675" s="202"/>
      <c r="Y675" s="202"/>
      <c r="Z675" s="202"/>
      <c r="AA675" s="202"/>
      <c r="AB675" s="212"/>
    </row>
    <row r="676" spans="1:28" ht="13.5" customHeight="1" x14ac:dyDescent="0.2">
      <c r="B676" s="867" t="s">
        <v>533</v>
      </c>
      <c r="C676" s="868"/>
      <c r="D676" s="868"/>
      <c r="E676" s="868"/>
      <c r="F676" s="868"/>
      <c r="G676" s="868"/>
      <c r="H676" s="868"/>
      <c r="I676" s="868"/>
      <c r="J676" s="868"/>
      <c r="K676" s="70" t="s">
        <v>528</v>
      </c>
      <c r="L676" s="71">
        <v>26</v>
      </c>
      <c r="M676" s="375">
        <f>+L676*$X$1</f>
        <v>26</v>
      </c>
      <c r="N676" s="69"/>
      <c r="O676" s="70" t="s">
        <v>529</v>
      </c>
      <c r="P676" s="71">
        <v>24</v>
      </c>
      <c r="Q676" s="375">
        <f>+P676*$X$1</f>
        <v>24</v>
      </c>
      <c r="R676" s="47"/>
      <c r="S676" s="47"/>
      <c r="T676" s="47"/>
      <c r="U676" s="47"/>
      <c r="V676" s="47"/>
      <c r="W676" s="47"/>
    </row>
    <row r="677" spans="1:28" ht="13.5" customHeight="1" x14ac:dyDescent="0.2">
      <c r="B677" s="50"/>
      <c r="C677" s="176"/>
      <c r="D677" s="176"/>
      <c r="E677" s="176"/>
      <c r="F677" s="176"/>
      <c r="G677" s="176"/>
      <c r="H677" s="176"/>
      <c r="I677" s="176"/>
      <c r="J677" s="176"/>
      <c r="K677" s="51"/>
      <c r="L677" s="52"/>
      <c r="M677" s="53"/>
      <c r="N677" s="47"/>
      <c r="O677" s="51"/>
      <c r="P677" s="52"/>
      <c r="Q677" s="53"/>
      <c r="R677" s="47"/>
      <c r="S677" s="47"/>
      <c r="T677" s="47"/>
      <c r="U677" s="47"/>
      <c r="V677" s="47"/>
      <c r="W677" s="47"/>
    </row>
    <row r="678" spans="1:28" x14ac:dyDescent="0.2">
      <c r="B678" s="3"/>
      <c r="C678" s="865" t="s">
        <v>325</v>
      </c>
      <c r="D678" s="866"/>
      <c r="E678" s="866"/>
      <c r="F678" s="866"/>
      <c r="G678" s="866"/>
      <c r="H678" s="866"/>
      <c r="I678" s="866"/>
      <c r="J678" s="4"/>
      <c r="K678" s="4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7"/>
      <c r="W678" s="7"/>
    </row>
    <row r="679" spans="1:28" ht="12.6" customHeight="1" x14ac:dyDescent="0.2">
      <c r="B679" s="3"/>
      <c r="C679" s="957" t="s">
        <v>326</v>
      </c>
      <c r="D679" s="958"/>
      <c r="E679" s="958"/>
      <c r="F679" s="958"/>
      <c r="G679" s="959"/>
      <c r="H679" s="449"/>
      <c r="I679" s="445"/>
      <c r="J679" s="4"/>
      <c r="K679" s="4"/>
      <c r="L679" s="37"/>
      <c r="M679" s="3"/>
      <c r="N679" s="3"/>
      <c r="O679" s="3"/>
      <c r="P679" s="3"/>
      <c r="Q679" s="3"/>
      <c r="R679" s="3"/>
      <c r="S679" s="3"/>
      <c r="T679" s="3"/>
      <c r="U679" s="3"/>
      <c r="V679" s="7"/>
      <c r="W679" s="7"/>
    </row>
    <row r="680" spans="1:28" ht="12.6" customHeight="1" x14ac:dyDescent="0.2">
      <c r="B680" s="3"/>
      <c r="C680" s="862" t="s">
        <v>327</v>
      </c>
      <c r="D680" s="863"/>
      <c r="E680" s="863"/>
      <c r="F680" s="863"/>
      <c r="G680" s="864"/>
      <c r="H680" s="42"/>
      <c r="I680" s="450"/>
      <c r="J680" s="4"/>
      <c r="K680" s="4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7"/>
      <c r="W680" s="7"/>
    </row>
    <row r="681" spans="1:28" ht="12.6" customHeight="1" x14ac:dyDescent="0.2">
      <c r="B681" s="3"/>
      <c r="C681" s="862" t="s">
        <v>328</v>
      </c>
      <c r="D681" s="863"/>
      <c r="E681" s="863"/>
      <c r="F681" s="863"/>
      <c r="G681" s="864"/>
      <c r="H681" s="44"/>
      <c r="I681" s="374"/>
      <c r="J681" s="4"/>
      <c r="K681" s="4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7"/>
      <c r="W681" s="7"/>
    </row>
    <row r="682" spans="1:28" ht="15.95" customHeight="1" x14ac:dyDescent="0.2">
      <c r="B682" s="3"/>
      <c r="C682" s="848" t="s">
        <v>590</v>
      </c>
      <c r="D682" s="815"/>
      <c r="E682" s="815"/>
      <c r="F682" s="815"/>
      <c r="G682" s="815"/>
      <c r="H682" s="849"/>
      <c r="I682" s="850"/>
      <c r="J682" s="4"/>
      <c r="K682" s="4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7"/>
      <c r="W682" s="7"/>
    </row>
    <row r="683" spans="1:28" ht="15.75" customHeight="1" x14ac:dyDescent="0.2">
      <c r="B683" s="3"/>
      <c r="C683" s="817"/>
      <c r="D683" s="818"/>
      <c r="E683" s="818"/>
      <c r="F683" s="818"/>
      <c r="G683" s="818"/>
      <c r="H683" s="851"/>
      <c r="I683" s="852"/>
      <c r="J683" s="4"/>
      <c r="K683" s="4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7"/>
      <c r="W683" s="7"/>
    </row>
    <row r="684" spans="1:28" ht="14.25" customHeight="1" thickBot="1" x14ac:dyDescent="0.25">
      <c r="B684" s="4"/>
      <c r="C684" s="49"/>
      <c r="D684" s="49"/>
      <c r="E684" s="49"/>
      <c r="F684" s="49"/>
      <c r="G684" s="49"/>
      <c r="H684" s="43"/>
      <c r="I684" s="351"/>
      <c r="J684" s="4"/>
      <c r="K684" s="4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7"/>
      <c r="W684" s="7"/>
    </row>
    <row r="685" spans="1:28" ht="13.5" customHeight="1" x14ac:dyDescent="0.2">
      <c r="B685" s="820" t="s">
        <v>859</v>
      </c>
      <c r="C685" s="821"/>
      <c r="D685" s="821"/>
      <c r="E685" s="821"/>
      <c r="F685" s="821"/>
      <c r="G685" s="821"/>
      <c r="H685" s="821"/>
      <c r="I685" s="821"/>
      <c r="J685" s="821"/>
      <c r="K685" s="821"/>
      <c r="L685" s="821"/>
      <c r="M685" s="821"/>
      <c r="N685" s="821"/>
      <c r="O685" s="821"/>
      <c r="P685" s="821"/>
      <c r="Q685" s="821"/>
      <c r="R685" s="821"/>
      <c r="S685" s="821"/>
      <c r="T685" s="821"/>
      <c r="U685" s="821"/>
      <c r="V685" s="821"/>
      <c r="W685" s="822"/>
    </row>
    <row r="686" spans="1:28" ht="13.5" customHeight="1" x14ac:dyDescent="0.2">
      <c r="B686" s="823"/>
      <c r="C686" s="824"/>
      <c r="D686" s="824"/>
      <c r="E686" s="824"/>
      <c r="F686" s="824"/>
      <c r="G686" s="824"/>
      <c r="H686" s="824"/>
      <c r="I686" s="824"/>
      <c r="J686" s="824"/>
      <c r="K686" s="824"/>
      <c r="L686" s="824"/>
      <c r="M686" s="824"/>
      <c r="N686" s="824"/>
      <c r="O686" s="824"/>
      <c r="P686" s="824"/>
      <c r="Q686" s="824"/>
      <c r="R686" s="824"/>
      <c r="S686" s="824"/>
      <c r="T686" s="824"/>
      <c r="U686" s="824"/>
      <c r="V686" s="824"/>
      <c r="W686" s="825"/>
    </row>
    <row r="687" spans="1:28" ht="13.5" customHeight="1" thickBot="1" x14ac:dyDescent="0.25">
      <c r="B687" s="826"/>
      <c r="C687" s="827"/>
      <c r="D687" s="827"/>
      <c r="E687" s="827"/>
      <c r="F687" s="827"/>
      <c r="G687" s="827"/>
      <c r="H687" s="827"/>
      <c r="I687" s="827"/>
      <c r="J687" s="827"/>
      <c r="K687" s="827"/>
      <c r="L687" s="827"/>
      <c r="M687" s="827"/>
      <c r="N687" s="827"/>
      <c r="O687" s="827"/>
      <c r="P687" s="827"/>
      <c r="Q687" s="827"/>
      <c r="R687" s="827"/>
      <c r="S687" s="827"/>
      <c r="T687" s="827"/>
      <c r="U687" s="827"/>
      <c r="V687" s="827"/>
      <c r="W687" s="828"/>
    </row>
    <row r="688" spans="1:28" ht="12.6" customHeight="1" x14ac:dyDescent="0.2">
      <c r="B688" s="4"/>
      <c r="C688" s="41"/>
      <c r="D688" s="41"/>
      <c r="E688" s="41"/>
      <c r="F688" s="41"/>
      <c r="G688" s="41"/>
      <c r="H688" s="43"/>
      <c r="I688" s="43"/>
      <c r="J688" s="4"/>
      <c r="K688" s="4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7"/>
      <c r="W688" s="7"/>
    </row>
    <row r="689" spans="2:34" ht="23.25" customHeight="1" x14ac:dyDescent="0.2">
      <c r="B689" s="3"/>
      <c r="C689" s="834" t="s">
        <v>690</v>
      </c>
      <c r="D689" s="835"/>
      <c r="E689" s="835"/>
      <c r="F689" s="835"/>
      <c r="G689" s="835"/>
      <c r="H689" s="835"/>
      <c r="I689" s="836"/>
      <c r="J689" s="45"/>
      <c r="K689" s="45"/>
      <c r="L689" s="45"/>
      <c r="M689" s="45"/>
      <c r="N689" s="45"/>
      <c r="O689" s="45"/>
      <c r="P689" s="45"/>
      <c r="Q689" s="45"/>
      <c r="R689" s="45"/>
      <c r="S689" s="45"/>
      <c r="T689" s="45"/>
      <c r="U689" s="45"/>
      <c r="V689" s="45"/>
      <c r="W689" s="45"/>
      <c r="X689" s="45"/>
      <c r="AF689" s="777" t="s">
        <v>3</v>
      </c>
      <c r="AG689" s="778"/>
      <c r="AH689" s="778"/>
    </row>
    <row r="690" spans="2:34" ht="12.95" customHeight="1" x14ac:dyDescent="0.2">
      <c r="B690" s="3"/>
      <c r="C690" s="853"/>
      <c r="D690" s="854"/>
      <c r="E690" s="854"/>
      <c r="F690" s="854"/>
      <c r="G690" s="854"/>
      <c r="H690" s="854"/>
      <c r="I690" s="855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7"/>
      <c r="W690" s="7"/>
    </row>
    <row r="691" spans="2:34" ht="12.95" customHeight="1" x14ac:dyDescent="0.2">
      <c r="B691" s="3"/>
      <c r="C691" s="856"/>
      <c r="D691" s="857"/>
      <c r="E691" s="857"/>
      <c r="F691" s="857"/>
      <c r="G691" s="857"/>
      <c r="H691" s="857"/>
      <c r="I691" s="858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7"/>
      <c r="W691" s="7"/>
    </row>
    <row r="692" spans="2:34" ht="12.95" customHeight="1" x14ac:dyDescent="0.2">
      <c r="B692" s="3"/>
      <c r="C692" s="856"/>
      <c r="D692" s="857"/>
      <c r="E692" s="857"/>
      <c r="F692" s="857"/>
      <c r="G692" s="857"/>
      <c r="H692" s="857"/>
      <c r="I692" s="858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7"/>
      <c r="W692" s="7"/>
    </row>
    <row r="693" spans="2:34" ht="12.95" customHeight="1" x14ac:dyDescent="0.2">
      <c r="B693" s="3"/>
      <c r="C693" s="856"/>
      <c r="D693" s="857"/>
      <c r="E693" s="857"/>
      <c r="F693" s="857"/>
      <c r="G693" s="857"/>
      <c r="H693" s="857"/>
      <c r="I693" s="858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7"/>
      <c r="W693" s="7"/>
    </row>
    <row r="694" spans="2:34" ht="12.95" customHeight="1" x14ac:dyDescent="0.2">
      <c r="B694" s="3"/>
      <c r="C694" s="856"/>
      <c r="D694" s="857"/>
      <c r="E694" s="857"/>
      <c r="F694" s="857"/>
      <c r="G694" s="857"/>
      <c r="H694" s="857"/>
      <c r="I694" s="858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7"/>
      <c r="W694" s="7"/>
    </row>
    <row r="695" spans="2:34" ht="12.95" customHeight="1" x14ac:dyDescent="0.2">
      <c r="B695" s="3"/>
      <c r="C695" s="856"/>
      <c r="D695" s="857"/>
      <c r="E695" s="857"/>
      <c r="F695" s="857"/>
      <c r="G695" s="857"/>
      <c r="H695" s="857"/>
      <c r="I695" s="858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7"/>
      <c r="W695" s="7"/>
    </row>
    <row r="696" spans="2:34" ht="10.5" customHeight="1" x14ac:dyDescent="0.2">
      <c r="B696" s="3"/>
      <c r="C696" s="859"/>
      <c r="D696" s="860"/>
      <c r="E696" s="860"/>
      <c r="F696" s="860"/>
      <c r="G696" s="860"/>
      <c r="H696" s="860"/>
      <c r="I696" s="861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7"/>
      <c r="W696" s="7"/>
    </row>
    <row r="697" spans="2:34" ht="12.6" customHeight="1" x14ac:dyDescent="0.2">
      <c r="B697" s="3"/>
      <c r="C697" s="837" t="s">
        <v>429</v>
      </c>
      <c r="D697" s="837"/>
      <c r="E697" s="838"/>
      <c r="F697" s="838"/>
      <c r="G697" s="839"/>
      <c r="H697" s="44">
        <v>1200</v>
      </c>
      <c r="I697" s="378">
        <f>+H697*$X$1</f>
        <v>1200</v>
      </c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7"/>
      <c r="W697" s="7"/>
    </row>
    <row r="698" spans="2:34" ht="12.6" customHeight="1" x14ac:dyDescent="0.2">
      <c r="B698" s="3"/>
      <c r="C698" s="837" t="s">
        <v>691</v>
      </c>
      <c r="D698" s="837"/>
      <c r="E698" s="838"/>
      <c r="F698" s="838"/>
      <c r="G698" s="839"/>
      <c r="H698" s="44">
        <v>1100</v>
      </c>
      <c r="I698" s="378">
        <f>+H698*$X$1</f>
        <v>1100</v>
      </c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7"/>
      <c r="W698" s="7"/>
    </row>
    <row r="699" spans="2:34" ht="12.6" customHeight="1" x14ac:dyDescent="0.2">
      <c r="B699" s="3"/>
      <c r="C699" s="48"/>
      <c r="D699" s="46"/>
      <c r="E699" s="46"/>
      <c r="F699" s="46"/>
      <c r="G699" s="41"/>
      <c r="H699" s="43"/>
      <c r="I699" s="4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7"/>
      <c r="W699" s="7"/>
    </row>
    <row r="700" spans="2:34" ht="18" customHeight="1" x14ac:dyDescent="0.2">
      <c r="B700" s="916" t="s">
        <v>591</v>
      </c>
      <c r="C700" s="917"/>
      <c r="D700" s="917"/>
      <c r="E700" s="917"/>
      <c r="F700" s="917"/>
      <c r="G700" s="917"/>
      <c r="H700" s="917"/>
      <c r="I700" s="917"/>
      <c r="J700" s="917"/>
      <c r="K700" s="917"/>
      <c r="L700" s="917"/>
      <c r="M700" s="917"/>
      <c r="N700" s="917"/>
      <c r="O700" s="917"/>
      <c r="P700" s="917"/>
      <c r="Q700" s="917"/>
      <c r="R700" s="917"/>
      <c r="S700" s="917"/>
      <c r="T700" s="917"/>
      <c r="U700" s="917"/>
      <c r="V700" s="917"/>
      <c r="W700" s="918"/>
    </row>
    <row r="701" spans="2:34" ht="12.6" customHeight="1" x14ac:dyDescent="0.2">
      <c r="B701" s="26"/>
      <c r="C701" s="27"/>
      <c r="D701" s="27"/>
      <c r="E701" s="27"/>
      <c r="F701" s="27"/>
      <c r="G701" s="27"/>
      <c r="H701" s="27"/>
      <c r="I701" s="27"/>
      <c r="J701" s="27"/>
      <c r="K701" s="27"/>
      <c r="L701" s="27"/>
      <c r="M701" s="27"/>
      <c r="N701" s="27"/>
      <c r="O701" s="27"/>
      <c r="P701" s="27"/>
      <c r="Q701" s="27"/>
      <c r="R701" s="27"/>
      <c r="S701" s="27"/>
      <c r="T701" s="27"/>
      <c r="U701" s="27"/>
      <c r="V701" s="27"/>
      <c r="W701" s="27"/>
    </row>
    <row r="702" spans="2:34" ht="15.75" customHeight="1" x14ac:dyDescent="0.2">
      <c r="B702" s="914" t="s">
        <v>329</v>
      </c>
      <c r="C702" s="915"/>
      <c r="D702" s="915"/>
      <c r="E702" s="915"/>
      <c r="F702" s="915"/>
      <c r="G702" s="915"/>
      <c r="H702" s="915"/>
      <c r="I702" s="915"/>
      <c r="J702" s="915"/>
      <c r="K702" s="915"/>
      <c r="L702" s="915"/>
      <c r="M702" s="915"/>
      <c r="N702" s="915"/>
      <c r="O702" s="915"/>
      <c r="P702" s="915"/>
      <c r="Q702" s="915"/>
      <c r="R702" s="915"/>
      <c r="S702" s="915"/>
      <c r="T702" s="915"/>
      <c r="U702" s="915"/>
      <c r="V702" s="915"/>
      <c r="W702" s="915"/>
    </row>
    <row r="703" spans="2:34" ht="15.75" customHeight="1" x14ac:dyDescent="0.2">
      <c r="B703" s="914" t="s">
        <v>330</v>
      </c>
      <c r="C703" s="915"/>
      <c r="D703" s="915"/>
      <c r="E703" s="915"/>
      <c r="F703" s="915"/>
      <c r="G703" s="915"/>
      <c r="H703" s="915"/>
      <c r="I703" s="915"/>
      <c r="J703" s="915"/>
      <c r="K703" s="915"/>
      <c r="L703" s="915"/>
      <c r="M703" s="915"/>
      <c r="N703" s="915"/>
      <c r="O703" s="915"/>
      <c r="P703" s="915"/>
      <c r="Q703" s="915"/>
      <c r="R703" s="915"/>
      <c r="S703" s="915"/>
      <c r="T703" s="915"/>
      <c r="U703" s="915"/>
      <c r="V703" s="915"/>
      <c r="W703" s="915"/>
      <c r="AF703" s="777"/>
      <c r="AG703" s="778"/>
      <c r="AH703" s="778"/>
    </row>
    <row r="704" spans="2:34" ht="15.75" customHeight="1" x14ac:dyDescent="0.2">
      <c r="B704" s="914" t="s">
        <v>331</v>
      </c>
      <c r="C704" s="915"/>
      <c r="D704" s="915"/>
      <c r="E704" s="915"/>
      <c r="F704" s="915"/>
      <c r="G704" s="915"/>
      <c r="H704" s="915"/>
      <c r="I704" s="915"/>
      <c r="J704" s="915"/>
      <c r="K704" s="915"/>
      <c r="L704" s="915"/>
      <c r="M704" s="915"/>
      <c r="N704" s="915"/>
      <c r="O704" s="915"/>
      <c r="P704" s="915"/>
      <c r="Q704" s="915"/>
      <c r="R704" s="915"/>
      <c r="S704" s="915"/>
      <c r="T704" s="915"/>
      <c r="U704" s="915"/>
      <c r="V704" s="915"/>
      <c r="W704" s="915"/>
    </row>
    <row r="705" spans="2:24" ht="12.6" customHeight="1" x14ac:dyDescent="0.2">
      <c r="B705" s="11"/>
      <c r="C705" s="12"/>
      <c r="D705" s="12"/>
      <c r="E705" s="12"/>
      <c r="F705" s="12"/>
      <c r="G705" s="12"/>
      <c r="H705" s="12"/>
      <c r="I705" s="12"/>
      <c r="J705" s="12"/>
      <c r="K705" s="12"/>
      <c r="L705" s="12"/>
      <c r="M705" s="12"/>
      <c r="N705" s="12"/>
      <c r="O705" s="12"/>
      <c r="P705" s="12"/>
      <c r="Q705" s="12"/>
      <c r="R705" s="12"/>
      <c r="S705" s="12"/>
      <c r="T705" s="12"/>
      <c r="U705" s="12"/>
      <c r="V705" s="12"/>
      <c r="W705" s="12"/>
    </row>
    <row r="706" spans="2:24" ht="18" customHeight="1" thickBot="1" x14ac:dyDescent="0.25">
      <c r="B706" s="954" t="s">
        <v>332</v>
      </c>
      <c r="C706" s="955"/>
      <c r="D706" s="955"/>
      <c r="E706" s="955"/>
      <c r="F706" s="955"/>
      <c r="G706" s="955"/>
      <c r="H706" s="955"/>
      <c r="I706" s="955"/>
      <c r="J706" s="955"/>
      <c r="K706" s="955"/>
      <c r="L706" s="955"/>
      <c r="M706" s="955"/>
      <c r="N706" s="955"/>
      <c r="O706" s="955"/>
      <c r="P706" s="955"/>
      <c r="Q706" s="955"/>
      <c r="R706" s="955"/>
      <c r="S706" s="955"/>
      <c r="T706" s="955"/>
      <c r="U706" s="955"/>
      <c r="V706" s="955"/>
      <c r="W706" s="956"/>
    </row>
    <row r="707" spans="2:24" x14ac:dyDescent="0.2">
      <c r="B707" s="943" t="s">
        <v>333</v>
      </c>
      <c r="C707" s="944"/>
      <c r="D707" s="944"/>
      <c r="E707" s="944"/>
      <c r="F707" s="944"/>
      <c r="G707" s="944"/>
      <c r="H707" s="944"/>
      <c r="I707" s="944"/>
      <c r="J707" s="944"/>
      <c r="K707" s="944"/>
      <c r="L707" s="944"/>
      <c r="M707" s="944"/>
      <c r="N707" s="945"/>
      <c r="O707" s="945"/>
      <c r="P707" s="945"/>
      <c r="Q707" s="945"/>
      <c r="R707" s="945"/>
      <c r="S707" s="945"/>
      <c r="T707" s="945"/>
      <c r="U707" s="945"/>
      <c r="V707" s="945"/>
      <c r="W707" s="946"/>
    </row>
    <row r="708" spans="2:24" ht="12.75" customHeight="1" x14ac:dyDescent="0.2">
      <c r="B708" s="947"/>
      <c r="C708" s="944"/>
      <c r="D708" s="944"/>
      <c r="E708" s="944"/>
      <c r="F708" s="944"/>
      <c r="G708" s="944"/>
      <c r="H708" s="944"/>
      <c r="I708" s="944"/>
      <c r="J708" s="944"/>
      <c r="K708" s="944"/>
      <c r="L708" s="944"/>
      <c r="M708" s="944"/>
      <c r="N708" s="945"/>
      <c r="O708" s="945"/>
      <c r="P708" s="945"/>
      <c r="Q708" s="945"/>
      <c r="R708" s="945"/>
      <c r="S708" s="945"/>
      <c r="T708" s="945"/>
      <c r="U708" s="945"/>
      <c r="V708" s="945"/>
      <c r="W708" s="946"/>
    </row>
    <row r="709" spans="2:24" x14ac:dyDescent="0.2">
      <c r="B709" s="947"/>
      <c r="C709" s="944"/>
      <c r="D709" s="944"/>
      <c r="E709" s="944"/>
      <c r="F709" s="944"/>
      <c r="G709" s="944"/>
      <c r="H709" s="944"/>
      <c r="I709" s="944"/>
      <c r="J709" s="944"/>
      <c r="K709" s="944"/>
      <c r="L709" s="944"/>
      <c r="M709" s="944"/>
      <c r="N709" s="945"/>
      <c r="O709" s="945"/>
      <c r="P709" s="945"/>
      <c r="Q709" s="945"/>
      <c r="R709" s="945"/>
      <c r="S709" s="945"/>
      <c r="T709" s="945"/>
      <c r="U709" s="945"/>
      <c r="V709" s="945"/>
      <c r="W709" s="946"/>
    </row>
    <row r="710" spans="2:24" x14ac:dyDescent="0.2">
      <c r="B710" s="948"/>
      <c r="C710" s="949"/>
      <c r="D710" s="949"/>
      <c r="E710" s="949"/>
      <c r="F710" s="949"/>
      <c r="G710" s="949"/>
      <c r="H710" s="949"/>
      <c r="I710" s="949"/>
      <c r="J710" s="949"/>
      <c r="K710" s="949"/>
      <c r="L710" s="949"/>
      <c r="M710" s="949"/>
      <c r="N710" s="950"/>
      <c r="O710" s="950"/>
      <c r="P710" s="950"/>
      <c r="Q710" s="950"/>
      <c r="R710" s="950"/>
      <c r="S710" s="950"/>
      <c r="T710" s="950"/>
      <c r="U710" s="950"/>
      <c r="V710" s="950"/>
      <c r="W710" s="951"/>
    </row>
    <row r="711" spans="2:24" ht="12.6" customHeight="1" x14ac:dyDescent="0.2">
      <c r="B711" s="214"/>
      <c r="C711" s="214"/>
      <c r="D711" s="214"/>
      <c r="E711" s="214"/>
      <c r="F711" s="214"/>
      <c r="G711" s="214"/>
      <c r="H711" s="214"/>
      <c r="I711" s="214"/>
      <c r="J711" s="214"/>
      <c r="K711" s="214"/>
      <c r="L711" s="214"/>
      <c r="M711" s="215"/>
      <c r="N711" s="63"/>
      <c r="O711" s="63"/>
      <c r="P711" s="63"/>
      <c r="Q711" s="63"/>
      <c r="R711" s="63"/>
      <c r="S711" s="63"/>
      <c r="T711" s="63"/>
      <c r="U711" s="63"/>
      <c r="V711" s="63"/>
      <c r="W711" s="63"/>
    </row>
    <row r="712" spans="2:24" ht="12.6" customHeight="1" x14ac:dyDescent="0.2">
      <c r="B712" s="214"/>
      <c r="C712" s="214"/>
      <c r="D712" s="214"/>
      <c r="E712" s="214"/>
      <c r="F712" s="214"/>
      <c r="G712" s="214"/>
      <c r="H712" s="214"/>
      <c r="I712" s="214"/>
      <c r="J712" s="214"/>
      <c r="K712" s="214"/>
      <c r="L712" s="214"/>
      <c r="M712" s="215"/>
      <c r="N712" s="63"/>
      <c r="O712" s="63"/>
      <c r="P712" s="63"/>
      <c r="Q712" s="63"/>
      <c r="R712" s="63"/>
      <c r="S712" s="63"/>
      <c r="T712" s="63"/>
      <c r="U712" s="63"/>
      <c r="V712" s="63"/>
      <c r="W712" s="63"/>
    </row>
    <row r="713" spans="2:24" ht="12.6" customHeight="1" x14ac:dyDescent="0.2">
      <c r="B713" s="214"/>
      <c r="C713" s="214"/>
      <c r="D713" s="214"/>
      <c r="E713" s="214"/>
      <c r="F713" s="214"/>
      <c r="G713" s="214"/>
      <c r="H713" s="214"/>
      <c r="I713" s="214"/>
      <c r="J713" s="214"/>
      <c r="K713" s="214"/>
      <c r="L713" s="214"/>
      <c r="M713" s="215"/>
      <c r="N713" s="63"/>
      <c r="O713" s="63"/>
      <c r="P713" s="63"/>
      <c r="Q713" s="63"/>
      <c r="R713" s="63"/>
      <c r="S713" s="63"/>
      <c r="T713" s="63"/>
      <c r="U713" s="63"/>
      <c r="V713" s="63"/>
      <c r="W713" s="63"/>
    </row>
    <row r="714" spans="2:24" ht="12.6" customHeight="1" x14ac:dyDescent="0.2">
      <c r="B714" s="214"/>
      <c r="C714" s="214"/>
      <c r="D714" s="214"/>
      <c r="E714" s="214"/>
      <c r="F714" s="214"/>
      <c r="G714" s="214"/>
      <c r="H714" s="214"/>
      <c r="I714" s="214"/>
      <c r="J714" s="214"/>
      <c r="K714" s="214"/>
      <c r="L714" s="214"/>
      <c r="M714" s="215"/>
      <c r="N714" s="63"/>
      <c r="O714" s="63"/>
      <c r="P714" s="63"/>
      <c r="Q714" s="63"/>
      <c r="R714" s="63"/>
      <c r="S714" s="63"/>
      <c r="T714" s="63"/>
      <c r="U714" s="63"/>
      <c r="V714" s="63"/>
      <c r="W714" s="63"/>
    </row>
    <row r="715" spans="2:24" ht="12.6" customHeight="1" x14ac:dyDescent="0.2">
      <c r="B715" s="238"/>
      <c r="C715" s="238"/>
      <c r="D715" s="238"/>
      <c r="E715" s="238"/>
      <c r="F715" s="238"/>
      <c r="G715" s="238"/>
      <c r="H715" s="238"/>
      <c r="I715" s="238"/>
      <c r="J715" s="238"/>
      <c r="K715" s="238"/>
      <c r="L715" s="238"/>
      <c r="M715" s="238"/>
      <c r="N715" s="238"/>
      <c r="O715" s="238"/>
      <c r="P715" s="238"/>
      <c r="Q715" s="238"/>
      <c r="R715" s="238"/>
      <c r="S715" s="238"/>
      <c r="T715" s="238"/>
      <c r="U715" s="238"/>
      <c r="V715" s="238"/>
      <c r="W715" s="238"/>
      <c r="X715" s="66"/>
    </row>
    <row r="716" spans="2:24" x14ac:dyDescent="0.2">
      <c r="B716" s="952" t="s">
        <v>334</v>
      </c>
      <c r="C716" s="953"/>
      <c r="D716" s="953"/>
      <c r="E716" s="953"/>
      <c r="F716" s="953"/>
      <c r="G716" s="953"/>
      <c r="H716" s="953"/>
      <c r="I716" s="953"/>
      <c r="J716" s="953"/>
      <c r="K716" s="953"/>
      <c r="L716" s="953"/>
      <c r="M716" s="953"/>
      <c r="N716" s="953"/>
      <c r="O716" s="953"/>
      <c r="P716" s="953"/>
      <c r="Q716" s="953"/>
      <c r="R716" s="953"/>
      <c r="S716" s="953"/>
      <c r="T716" s="953"/>
      <c r="U716" s="953"/>
      <c r="V716" s="953"/>
      <c r="W716" s="953"/>
    </row>
    <row r="717" spans="2:24" x14ac:dyDescent="0.2">
      <c r="B717" s="953"/>
      <c r="C717" s="953"/>
      <c r="D717" s="953"/>
      <c r="E717" s="953"/>
      <c r="F717" s="953"/>
      <c r="G717" s="953"/>
      <c r="H717" s="953"/>
      <c r="I717" s="953"/>
      <c r="J717" s="953"/>
      <c r="K717" s="953"/>
      <c r="L717" s="953"/>
      <c r="M717" s="953"/>
      <c r="N717" s="953"/>
      <c r="O717" s="953"/>
      <c r="P717" s="953"/>
      <c r="Q717" s="953"/>
      <c r="R717" s="953"/>
      <c r="S717" s="953"/>
      <c r="T717" s="953"/>
      <c r="U717" s="953"/>
      <c r="V717" s="953"/>
      <c r="W717" s="953"/>
    </row>
    <row r="718" spans="2:24" x14ac:dyDescent="0.2">
      <c r="B718" s="938" t="s">
        <v>335</v>
      </c>
      <c r="C718" s="915"/>
      <c r="D718" s="915"/>
      <c r="E718" s="915"/>
      <c r="F718" s="915"/>
      <c r="G718" s="915"/>
      <c r="H718" s="915"/>
      <c r="I718" s="915"/>
      <c r="J718" s="915"/>
      <c r="K718" s="915"/>
      <c r="L718" s="915"/>
      <c r="M718" s="915"/>
      <c r="N718" s="915"/>
      <c r="O718" s="915"/>
      <c r="P718" s="915"/>
      <c r="Q718" s="915"/>
      <c r="R718" s="915"/>
      <c r="S718" s="915"/>
      <c r="T718" s="915"/>
      <c r="U718" s="915"/>
      <c r="V718" s="915"/>
      <c r="W718" s="915"/>
    </row>
    <row r="719" spans="2:24" x14ac:dyDescent="0.2">
      <c r="B719" s="620"/>
      <c r="C719" s="619"/>
      <c r="D719" s="619"/>
      <c r="E719" s="619"/>
      <c r="F719" s="619"/>
      <c r="G719" s="619"/>
      <c r="H719" s="619"/>
      <c r="I719" s="619"/>
      <c r="J719" s="619"/>
      <c r="K719" s="619"/>
      <c r="L719" s="619"/>
      <c r="M719" s="619"/>
      <c r="N719" s="619"/>
      <c r="O719" s="619"/>
      <c r="P719" s="619"/>
      <c r="Q719" s="619"/>
      <c r="R719" s="619"/>
      <c r="S719" s="619"/>
      <c r="T719" s="619"/>
      <c r="U719" s="619"/>
      <c r="V719" s="619"/>
      <c r="W719" s="619"/>
    </row>
    <row r="720" spans="2:24" ht="12.75" customHeight="1" thickBot="1" x14ac:dyDescent="0.25">
      <c r="B720" s="935" t="s">
        <v>336</v>
      </c>
      <c r="C720" s="936"/>
      <c r="D720" s="936"/>
      <c r="E720" s="936"/>
      <c r="F720" s="936"/>
      <c r="G720" s="936"/>
      <c r="H720" s="936"/>
      <c r="I720" s="936"/>
      <c r="J720" s="936"/>
      <c r="K720" s="936"/>
      <c r="L720" s="936"/>
      <c r="M720" s="936"/>
      <c r="N720" s="936"/>
      <c r="O720" s="936"/>
      <c r="P720" s="936"/>
      <c r="Q720" s="936"/>
      <c r="R720" s="936"/>
      <c r="S720" s="936"/>
      <c r="T720" s="936"/>
      <c r="U720" s="936"/>
      <c r="V720" s="936"/>
      <c r="W720" s="937"/>
    </row>
    <row r="721" spans="2:26" ht="15" customHeight="1" x14ac:dyDescent="0.2">
      <c r="B721" s="911" t="s">
        <v>391</v>
      </c>
      <c r="C721" s="912"/>
      <c r="D721" s="912"/>
      <c r="E721" s="912"/>
      <c r="F721" s="912"/>
      <c r="G721" s="912"/>
      <c r="H721" s="912"/>
      <c r="I721" s="912"/>
      <c r="J721" s="912"/>
      <c r="K721" s="912"/>
      <c r="L721" s="912"/>
      <c r="M721" s="912"/>
      <c r="N721" s="912"/>
      <c r="O721" s="912"/>
      <c r="P721" s="912"/>
      <c r="Q721" s="912"/>
      <c r="R721" s="912"/>
      <c r="S721" s="912"/>
      <c r="T721" s="912"/>
      <c r="U721" s="912"/>
      <c r="V721" s="912"/>
      <c r="W721" s="913"/>
    </row>
    <row r="722" spans="2:26" ht="12.6" customHeight="1" thickBot="1" x14ac:dyDescent="0.25">
      <c r="B722" s="238"/>
      <c r="C722" s="238"/>
      <c r="D722" s="238"/>
      <c r="E722" s="238"/>
      <c r="F722" s="238"/>
      <c r="G722" s="238"/>
      <c r="H722" s="238"/>
      <c r="I722" s="238"/>
      <c r="J722" s="238"/>
      <c r="K722" s="238"/>
      <c r="L722" s="238"/>
      <c r="M722" s="238"/>
      <c r="N722" s="238"/>
      <c r="O722" s="238"/>
      <c r="P722" s="238"/>
      <c r="Q722" s="238"/>
      <c r="R722" s="238"/>
      <c r="S722" s="238"/>
      <c r="T722" s="238"/>
      <c r="U722" s="238"/>
      <c r="V722" s="238"/>
      <c r="W722" s="238"/>
      <c r="X722" s="66"/>
    </row>
    <row r="723" spans="2:26" ht="90" customHeight="1" x14ac:dyDescent="0.2">
      <c r="B723" s="939"/>
      <c r="C723" s="940"/>
      <c r="D723" s="940"/>
      <c r="E723" s="940"/>
      <c r="F723" s="940"/>
      <c r="G723" s="940"/>
      <c r="H723" s="940"/>
      <c r="I723" s="940"/>
      <c r="J723" s="940"/>
      <c r="K723" s="941"/>
      <c r="L723" s="941"/>
      <c r="M723" s="941"/>
      <c r="N723" s="941"/>
      <c r="O723" s="941"/>
      <c r="P723" s="941"/>
      <c r="Q723" s="941"/>
      <c r="R723" s="941"/>
      <c r="S723" s="941"/>
      <c r="T723" s="941"/>
      <c r="U723" s="941"/>
      <c r="V723" s="941"/>
      <c r="W723" s="942"/>
    </row>
    <row r="724" spans="2:26" ht="12.6" customHeight="1" x14ac:dyDescent="0.25">
      <c r="B724" s="12"/>
      <c r="C724" s="12"/>
      <c r="D724" s="12"/>
      <c r="E724" s="12"/>
      <c r="F724" s="12"/>
      <c r="G724" s="12"/>
      <c r="H724" s="12"/>
      <c r="I724" s="12"/>
      <c r="J724" s="12"/>
      <c r="K724" s="12"/>
      <c r="L724" s="12"/>
      <c r="M724" s="12"/>
      <c r="N724" s="12"/>
      <c r="O724" s="12"/>
      <c r="P724" s="12"/>
      <c r="Q724" s="12"/>
      <c r="R724" s="12"/>
      <c r="S724" s="12"/>
      <c r="T724" s="12"/>
      <c r="U724" s="12"/>
      <c r="V724" s="12"/>
      <c r="W724" s="12"/>
      <c r="Z724" s="34"/>
    </row>
    <row r="725" spans="2:26" ht="8.25" customHeight="1" x14ac:dyDescent="0.2">
      <c r="B725" s="919" t="s">
        <v>337</v>
      </c>
      <c r="C725" s="920"/>
      <c r="D725" s="920"/>
      <c r="E725" s="920"/>
      <c r="F725" s="920"/>
      <c r="G725" s="920"/>
      <c r="H725" s="920"/>
      <c r="I725" s="920"/>
      <c r="J725" s="920"/>
      <c r="K725" s="921"/>
      <c r="L725" s="921"/>
      <c r="M725" s="921"/>
      <c r="N725" s="921"/>
      <c r="O725" s="921"/>
      <c r="P725" s="921"/>
      <c r="Q725" s="921"/>
      <c r="R725" s="921"/>
      <c r="S725" s="921"/>
      <c r="T725" s="921"/>
      <c r="U725" s="921"/>
      <c r="V725" s="921"/>
      <c r="W725" s="922"/>
    </row>
    <row r="726" spans="2:26" ht="12.75" customHeight="1" x14ac:dyDescent="0.2">
      <c r="B726" s="923"/>
      <c r="C726" s="924"/>
      <c r="D726" s="924"/>
      <c r="E726" s="924"/>
      <c r="F726" s="924"/>
      <c r="G726" s="924"/>
      <c r="H726" s="924"/>
      <c r="I726" s="924"/>
      <c r="J726" s="924"/>
      <c r="K726" s="925"/>
      <c r="L726" s="925"/>
      <c r="M726" s="925"/>
      <c r="N726" s="925"/>
      <c r="O726" s="925"/>
      <c r="P726" s="925"/>
      <c r="Q726" s="925"/>
      <c r="R726" s="925"/>
      <c r="S726" s="925"/>
      <c r="T726" s="925"/>
      <c r="U726" s="925"/>
      <c r="V726" s="925"/>
      <c r="W726" s="926"/>
    </row>
    <row r="727" spans="2:26" x14ac:dyDescent="0.2">
      <c r="B727" s="927"/>
      <c r="C727" s="928"/>
      <c r="D727" s="928"/>
      <c r="E727" s="928"/>
      <c r="F727" s="928"/>
      <c r="G727" s="928"/>
      <c r="H727" s="928"/>
      <c r="I727" s="928"/>
      <c r="J727" s="928"/>
      <c r="K727" s="925"/>
      <c r="L727" s="925"/>
      <c r="M727" s="925"/>
      <c r="N727" s="925"/>
      <c r="O727" s="925"/>
      <c r="P727" s="925"/>
      <c r="Q727" s="925"/>
      <c r="R727" s="925"/>
      <c r="S727" s="925"/>
      <c r="T727" s="925"/>
      <c r="U727" s="925"/>
      <c r="V727" s="925"/>
      <c r="W727" s="926"/>
    </row>
    <row r="728" spans="2:26" x14ac:dyDescent="0.2">
      <c r="B728" s="927"/>
      <c r="C728" s="928"/>
      <c r="D728" s="928"/>
      <c r="E728" s="928"/>
      <c r="F728" s="928"/>
      <c r="G728" s="928"/>
      <c r="H728" s="928"/>
      <c r="I728" s="928"/>
      <c r="J728" s="928"/>
      <c r="K728" s="925"/>
      <c r="L728" s="925"/>
      <c r="M728" s="925"/>
      <c r="N728" s="925"/>
      <c r="O728" s="925"/>
      <c r="P728" s="925"/>
      <c r="Q728" s="925"/>
      <c r="R728" s="925"/>
      <c r="S728" s="925"/>
      <c r="T728" s="925"/>
      <c r="U728" s="925"/>
      <c r="V728" s="925"/>
      <c r="W728" s="926"/>
    </row>
    <row r="729" spans="2:26" x14ac:dyDescent="0.2">
      <c r="B729" s="927"/>
      <c r="C729" s="928"/>
      <c r="D729" s="928"/>
      <c r="E729" s="928"/>
      <c r="F729" s="928"/>
      <c r="G729" s="928"/>
      <c r="H729" s="928"/>
      <c r="I729" s="928"/>
      <c r="J729" s="928"/>
      <c r="K729" s="925"/>
      <c r="L729" s="925"/>
      <c r="M729" s="925"/>
      <c r="N729" s="925"/>
      <c r="O729" s="925"/>
      <c r="P729" s="925"/>
      <c r="Q729" s="925"/>
      <c r="R729" s="925"/>
      <c r="S729" s="925"/>
      <c r="T729" s="925"/>
      <c r="U729" s="925"/>
      <c r="V729" s="925"/>
      <c r="W729" s="926"/>
    </row>
    <row r="730" spans="2:26" x14ac:dyDescent="0.2">
      <c r="B730" s="927"/>
      <c r="C730" s="928"/>
      <c r="D730" s="928"/>
      <c r="E730" s="928"/>
      <c r="F730" s="928"/>
      <c r="G730" s="928"/>
      <c r="H730" s="928"/>
      <c r="I730" s="928"/>
      <c r="J730" s="928"/>
      <c r="K730" s="925"/>
      <c r="L730" s="925"/>
      <c r="M730" s="925"/>
      <c r="N730" s="925"/>
      <c r="O730" s="925"/>
      <c r="P730" s="925"/>
      <c r="Q730" s="925"/>
      <c r="R730" s="925"/>
      <c r="S730" s="925"/>
      <c r="T730" s="925"/>
      <c r="U730" s="925"/>
      <c r="V730" s="925"/>
      <c r="W730" s="926"/>
    </row>
    <row r="731" spans="2:26" x14ac:dyDescent="0.2">
      <c r="B731" s="929"/>
      <c r="C731" s="930"/>
      <c r="D731" s="930"/>
      <c r="E731" s="930"/>
      <c r="F731" s="930"/>
      <c r="G731" s="930"/>
      <c r="H731" s="930"/>
      <c r="I731" s="930"/>
      <c r="J731" s="930"/>
      <c r="K731" s="930"/>
      <c r="L731" s="930"/>
      <c r="M731" s="930"/>
      <c r="N731" s="930"/>
      <c r="O731" s="930"/>
      <c r="P731" s="930"/>
      <c r="Q731" s="930"/>
      <c r="R731" s="930"/>
      <c r="S731" s="930"/>
      <c r="T731" s="930"/>
      <c r="U731" s="930"/>
      <c r="V731" s="930"/>
      <c r="W731" s="931"/>
    </row>
    <row r="732" spans="2:26" x14ac:dyDescent="0.2">
      <c r="B732" s="932"/>
      <c r="C732" s="933"/>
      <c r="D732" s="933"/>
      <c r="E732" s="933"/>
      <c r="F732" s="933"/>
      <c r="G732" s="933"/>
      <c r="H732" s="933"/>
      <c r="I732" s="933"/>
      <c r="J732" s="933"/>
      <c r="K732" s="933"/>
      <c r="L732" s="933"/>
      <c r="M732" s="933"/>
      <c r="N732" s="933"/>
      <c r="O732" s="933"/>
      <c r="P732" s="933"/>
      <c r="Q732" s="933"/>
      <c r="R732" s="933"/>
      <c r="S732" s="933"/>
      <c r="T732" s="933"/>
      <c r="U732" s="933"/>
      <c r="V732" s="933"/>
      <c r="W732" s="934"/>
    </row>
    <row r="733" spans="2:26" ht="12.6" customHeight="1" x14ac:dyDescent="0.2">
      <c r="B733" s="3"/>
      <c r="C733" s="3"/>
      <c r="D733" s="3"/>
      <c r="E733" s="4"/>
      <c r="F733" s="4"/>
      <c r="G733" s="4"/>
      <c r="H733" s="4"/>
      <c r="I733" s="4"/>
      <c r="J733" s="4"/>
      <c r="K733" s="4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7"/>
      <c r="W733" s="7"/>
    </row>
    <row r="734" spans="2:26" ht="18.75" customHeight="1" x14ac:dyDescent="0.2">
      <c r="B734" s="908" t="s">
        <v>338</v>
      </c>
      <c r="C734" s="909"/>
      <c r="D734" s="909"/>
      <c r="E734" s="909"/>
      <c r="F734" s="909"/>
      <c r="G734" s="909"/>
      <c r="H734" s="909"/>
      <c r="I734" s="909"/>
      <c r="J734" s="909"/>
      <c r="K734" s="909"/>
      <c r="L734" s="909"/>
      <c r="M734" s="909"/>
      <c r="N734" s="909"/>
      <c r="O734" s="909"/>
      <c r="P734" s="909"/>
      <c r="Q734" s="909"/>
      <c r="R734" s="909"/>
      <c r="S734" s="909"/>
      <c r="T734" s="909"/>
      <c r="U734" s="909"/>
      <c r="V734" s="909"/>
      <c r="W734" s="910"/>
    </row>
    <row r="735" spans="2:26" x14ac:dyDescent="0.2">
      <c r="B735" s="3"/>
      <c r="C735" s="3"/>
      <c r="D735" s="3"/>
      <c r="E735" s="4"/>
      <c r="F735" s="4"/>
      <c r="G735" s="4"/>
      <c r="H735" s="4"/>
      <c r="I735" s="4"/>
      <c r="J735" s="4"/>
      <c r="K735" s="4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7"/>
      <c r="W735" s="7"/>
    </row>
    <row r="736" spans="2:26" x14ac:dyDescent="0.2">
      <c r="B736" s="3"/>
      <c r="C736" s="3"/>
      <c r="D736" s="3"/>
      <c r="E736" s="4"/>
      <c r="F736" s="4"/>
      <c r="G736" s="4"/>
      <c r="H736" s="4"/>
      <c r="I736" s="4"/>
      <c r="J736" s="4"/>
      <c r="K736" s="4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7"/>
      <c r="W736" s="7"/>
    </row>
    <row r="737" spans="2:23" x14ac:dyDescent="0.2">
      <c r="B737" s="3"/>
      <c r="C737" s="3"/>
      <c r="D737" s="3"/>
      <c r="E737" s="4"/>
      <c r="F737" s="4"/>
      <c r="G737" s="4"/>
      <c r="H737" s="4"/>
      <c r="I737" s="4"/>
      <c r="J737" s="4"/>
      <c r="K737" s="4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7"/>
      <c r="W737" s="7"/>
    </row>
    <row r="738" spans="2:23" x14ac:dyDescent="0.2">
      <c r="B738" s="3"/>
      <c r="C738" s="3"/>
      <c r="D738" s="3"/>
      <c r="E738" s="4"/>
      <c r="F738" s="4"/>
      <c r="G738" s="4"/>
      <c r="H738" s="4"/>
      <c r="I738" s="4"/>
      <c r="J738" s="4"/>
      <c r="K738" s="4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7"/>
      <c r="W738" s="7"/>
    </row>
    <row r="739" spans="2:23" x14ac:dyDescent="0.2">
      <c r="B739" s="3"/>
      <c r="C739" s="3"/>
      <c r="D739" s="3"/>
      <c r="E739" s="4"/>
      <c r="F739" s="4"/>
      <c r="G739" s="4"/>
      <c r="H739" s="4"/>
      <c r="I739" s="4"/>
      <c r="J739" s="4"/>
      <c r="K739" s="4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7"/>
      <c r="W739" s="7"/>
    </row>
    <row r="740" spans="2:23" x14ac:dyDescent="0.2">
      <c r="B740" s="3"/>
      <c r="C740" s="3"/>
      <c r="D740" s="3"/>
      <c r="E740" s="4"/>
      <c r="F740" s="4"/>
      <c r="G740" s="4"/>
      <c r="H740" s="4"/>
      <c r="I740" s="4"/>
      <c r="J740" s="4"/>
      <c r="K740" s="4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7"/>
      <c r="W740" s="7"/>
    </row>
    <row r="741" spans="2:23" x14ac:dyDescent="0.2">
      <c r="B741" s="3"/>
      <c r="C741" s="3"/>
      <c r="D741" s="3"/>
      <c r="E741" s="4"/>
      <c r="F741" s="4"/>
      <c r="G741" s="4"/>
      <c r="H741" s="4"/>
      <c r="I741" s="4"/>
      <c r="J741" s="4"/>
      <c r="K741" s="4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7"/>
      <c r="W741" s="7"/>
    </row>
    <row r="742" spans="2:23" x14ac:dyDescent="0.2">
      <c r="B742" s="3"/>
      <c r="C742" s="3"/>
      <c r="D742" s="3"/>
      <c r="E742" s="4"/>
      <c r="F742" s="4"/>
      <c r="G742" s="4"/>
      <c r="H742" s="4"/>
      <c r="I742" s="4"/>
      <c r="J742" s="4"/>
      <c r="K742" s="4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7"/>
      <c r="W742" s="7"/>
    </row>
    <row r="743" spans="2:23" x14ac:dyDescent="0.2">
      <c r="B743" s="3"/>
      <c r="C743" s="3"/>
      <c r="D743" s="3"/>
      <c r="E743" s="4"/>
      <c r="F743" s="4"/>
      <c r="G743" s="4"/>
      <c r="H743" s="4"/>
      <c r="I743" s="4"/>
      <c r="J743" s="4"/>
      <c r="K743" s="4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7"/>
      <c r="W743" s="7"/>
    </row>
    <row r="744" spans="2:23" x14ac:dyDescent="0.2">
      <c r="B744" s="3"/>
      <c r="C744" s="3"/>
      <c r="D744" s="3"/>
      <c r="E744" s="4"/>
      <c r="F744" s="4"/>
      <c r="G744" s="4"/>
      <c r="H744" s="4"/>
      <c r="I744" s="4"/>
      <c r="J744" s="4"/>
      <c r="K744" s="4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7"/>
      <c r="W744" s="7"/>
    </row>
    <row r="745" spans="2:23" x14ac:dyDescent="0.2">
      <c r="B745" s="3"/>
      <c r="C745" s="3"/>
      <c r="D745" s="3"/>
      <c r="E745" s="4"/>
      <c r="F745" s="4"/>
      <c r="G745" s="4"/>
      <c r="H745" s="4"/>
      <c r="I745" s="4"/>
      <c r="J745" s="4"/>
      <c r="K745" s="4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7"/>
      <c r="W745" s="7"/>
    </row>
    <row r="746" spans="2:23" x14ac:dyDescent="0.2">
      <c r="B746" s="3"/>
      <c r="C746" s="3"/>
      <c r="D746" s="3"/>
      <c r="E746" s="4"/>
      <c r="F746" s="4"/>
      <c r="G746" s="4"/>
      <c r="H746" s="4"/>
      <c r="I746" s="4"/>
      <c r="J746" s="4"/>
      <c r="K746" s="4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7"/>
      <c r="W746" s="7"/>
    </row>
    <row r="747" spans="2:23" ht="12.75" customHeight="1" x14ac:dyDescent="0.2">
      <c r="B747" s="3"/>
      <c r="C747" s="3"/>
      <c r="D747" s="3"/>
      <c r="E747" s="4"/>
      <c r="F747" s="4"/>
      <c r="G747" s="4"/>
      <c r="H747" s="4"/>
      <c r="I747" s="4"/>
      <c r="J747" s="4"/>
      <c r="K747" s="4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7"/>
      <c r="W747" s="7"/>
    </row>
    <row r="748" spans="2:23" x14ac:dyDescent="0.2">
      <c r="B748" s="3"/>
      <c r="C748" s="3"/>
      <c r="D748" s="3"/>
      <c r="E748" s="4"/>
      <c r="F748" s="4"/>
      <c r="G748" s="4"/>
      <c r="H748" s="4"/>
      <c r="I748" s="4"/>
      <c r="J748" s="4"/>
      <c r="K748" s="4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7"/>
      <c r="W748" s="7"/>
    </row>
    <row r="749" spans="2:23" x14ac:dyDescent="0.2">
      <c r="B749" s="3"/>
      <c r="C749" s="3"/>
      <c r="D749" s="3"/>
      <c r="E749" s="4"/>
      <c r="F749" s="4"/>
      <c r="G749" s="4"/>
      <c r="H749" s="4"/>
      <c r="I749" s="4"/>
      <c r="J749" s="4"/>
      <c r="K749" s="4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7"/>
      <c r="W749" s="7"/>
    </row>
    <row r="750" spans="2:23" x14ac:dyDescent="0.2">
      <c r="B750" s="3"/>
      <c r="C750" s="3"/>
      <c r="D750" s="3"/>
      <c r="E750" s="4"/>
      <c r="F750" s="4"/>
      <c r="G750" s="4"/>
      <c r="H750" s="4"/>
      <c r="I750" s="4"/>
      <c r="J750" s="4"/>
      <c r="K750" s="4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7"/>
      <c r="W750" s="7"/>
    </row>
    <row r="751" spans="2:23" x14ac:dyDescent="0.2">
      <c r="B751" s="3"/>
      <c r="C751" s="3"/>
      <c r="D751" s="3"/>
      <c r="E751" s="4"/>
      <c r="F751" s="4"/>
      <c r="G751" s="4"/>
      <c r="H751" s="4"/>
      <c r="I751" s="4"/>
      <c r="J751" s="4"/>
      <c r="K751" s="4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7"/>
      <c r="W751" s="7"/>
    </row>
    <row r="752" spans="2:23" x14ac:dyDescent="0.2">
      <c r="B752" s="3"/>
      <c r="C752" s="3"/>
      <c r="D752" s="3"/>
      <c r="E752" s="4"/>
      <c r="F752" s="4"/>
      <c r="G752" s="4"/>
      <c r="H752" s="4"/>
      <c r="I752" s="4"/>
      <c r="J752" s="4"/>
      <c r="K752" s="4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7"/>
      <c r="W752" s="7"/>
    </row>
    <row r="753" spans="2:23" x14ac:dyDescent="0.2">
      <c r="B753" s="3"/>
      <c r="C753" s="3"/>
      <c r="D753" s="3"/>
      <c r="E753" s="4"/>
      <c r="F753" s="4"/>
      <c r="G753" s="4"/>
      <c r="H753" s="4"/>
      <c r="I753" s="4"/>
      <c r="J753" s="4"/>
      <c r="K753" s="4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7"/>
      <c r="W753" s="7"/>
    </row>
    <row r="754" spans="2:23" x14ac:dyDescent="0.2">
      <c r="B754" s="3"/>
      <c r="C754" s="3"/>
      <c r="D754" s="3"/>
      <c r="E754" s="4"/>
      <c r="F754" s="4"/>
      <c r="G754" s="4"/>
      <c r="H754" s="4"/>
      <c r="I754" s="4"/>
      <c r="J754" s="4"/>
      <c r="K754" s="4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7"/>
      <c r="W754" s="7"/>
    </row>
    <row r="755" spans="2:23" x14ac:dyDescent="0.2">
      <c r="B755" s="3"/>
      <c r="C755" s="3"/>
      <c r="D755" s="3"/>
      <c r="E755" s="4"/>
      <c r="F755" s="4"/>
      <c r="G755" s="4"/>
      <c r="H755" s="4"/>
      <c r="I755" s="4"/>
      <c r="J755" s="4"/>
      <c r="K755" s="4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7"/>
      <c r="W755" s="7"/>
    </row>
    <row r="756" spans="2:23" x14ac:dyDescent="0.2">
      <c r="B756" s="3"/>
      <c r="C756" s="3"/>
      <c r="D756" s="3"/>
      <c r="E756" s="4"/>
      <c r="F756" s="4"/>
      <c r="G756" s="4"/>
      <c r="H756" s="4"/>
      <c r="I756" s="4"/>
      <c r="J756" s="4"/>
      <c r="K756" s="4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7"/>
      <c r="W756" s="7"/>
    </row>
    <row r="757" spans="2:23" x14ac:dyDescent="0.2">
      <c r="B757" s="3"/>
      <c r="C757" s="3"/>
      <c r="D757" s="3"/>
      <c r="E757" s="4"/>
      <c r="F757" s="4"/>
      <c r="G757" s="4"/>
      <c r="H757" s="4"/>
      <c r="I757" s="4"/>
      <c r="J757" s="4"/>
      <c r="K757" s="4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7"/>
      <c r="W757" s="7"/>
    </row>
    <row r="758" spans="2:23" x14ac:dyDescent="0.2">
      <c r="B758" s="3"/>
      <c r="C758" s="3"/>
      <c r="D758" s="3"/>
      <c r="E758" s="4"/>
      <c r="F758" s="4"/>
      <c r="G758" s="4"/>
      <c r="H758" s="4"/>
      <c r="I758" s="4"/>
      <c r="J758" s="4"/>
      <c r="K758" s="4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7"/>
      <c r="W758" s="7"/>
    </row>
    <row r="759" spans="2:23" x14ac:dyDescent="0.2">
      <c r="B759" s="3"/>
      <c r="C759" s="3"/>
      <c r="D759" s="3"/>
      <c r="E759" s="4"/>
      <c r="F759" s="4"/>
      <c r="G759" s="4"/>
      <c r="H759" s="4"/>
      <c r="I759" s="4"/>
      <c r="J759" s="4"/>
      <c r="K759" s="4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7"/>
      <c r="W759" s="7"/>
    </row>
    <row r="760" spans="2:23" x14ac:dyDescent="0.2">
      <c r="B760" s="3"/>
      <c r="C760" s="3"/>
      <c r="D760" s="3"/>
      <c r="E760" s="4"/>
      <c r="F760" s="4"/>
      <c r="G760" s="4"/>
      <c r="H760" s="4"/>
      <c r="I760" s="4"/>
      <c r="J760" s="4"/>
      <c r="K760" s="4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7"/>
      <c r="W760" s="7"/>
    </row>
    <row r="761" spans="2:23" x14ac:dyDescent="0.2">
      <c r="B761" s="3"/>
      <c r="C761" s="3"/>
      <c r="D761" s="3"/>
      <c r="E761" s="4"/>
      <c r="F761" s="4"/>
      <c r="G761" s="4"/>
      <c r="H761" s="4"/>
      <c r="I761" s="4"/>
      <c r="J761" s="4"/>
      <c r="K761" s="4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7"/>
      <c r="W761" s="7"/>
    </row>
    <row r="762" spans="2:23" x14ac:dyDescent="0.2">
      <c r="B762" s="3"/>
      <c r="C762" s="3"/>
      <c r="D762" s="3"/>
      <c r="E762" s="4"/>
      <c r="F762" s="4"/>
      <c r="G762" s="4"/>
      <c r="H762" s="4"/>
      <c r="I762" s="4"/>
      <c r="J762" s="4"/>
      <c r="K762" s="4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7"/>
      <c r="W762" s="7"/>
    </row>
    <row r="763" spans="2:23" x14ac:dyDescent="0.2">
      <c r="B763" s="3"/>
      <c r="C763" s="3"/>
      <c r="D763" s="3"/>
      <c r="E763" s="4"/>
      <c r="F763" s="4"/>
      <c r="G763" s="4"/>
      <c r="H763" s="4"/>
      <c r="I763" s="4"/>
      <c r="J763" s="4"/>
      <c r="K763" s="4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7"/>
      <c r="W763" s="7"/>
    </row>
    <row r="764" spans="2:23" x14ac:dyDescent="0.2">
      <c r="B764" s="3"/>
      <c r="C764" s="3"/>
      <c r="D764" s="3"/>
      <c r="E764" s="4"/>
      <c r="F764" s="4"/>
      <c r="G764" s="4"/>
      <c r="H764" s="4"/>
      <c r="I764" s="4"/>
      <c r="J764" s="4"/>
      <c r="K764" s="4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7"/>
      <c r="W764" s="7"/>
    </row>
    <row r="765" spans="2:23" x14ac:dyDescent="0.2">
      <c r="B765" s="3"/>
      <c r="C765" s="3"/>
      <c r="D765" s="3"/>
      <c r="E765" s="4"/>
      <c r="F765" s="4"/>
      <c r="G765" s="4"/>
      <c r="H765" s="4"/>
      <c r="I765" s="4"/>
      <c r="J765" s="4"/>
      <c r="K765" s="4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7"/>
      <c r="W765" s="7"/>
    </row>
    <row r="766" spans="2:23" x14ac:dyDescent="0.2">
      <c r="B766" s="3"/>
      <c r="C766" s="3"/>
      <c r="D766" s="3"/>
      <c r="E766" s="4"/>
      <c r="F766" s="4"/>
      <c r="G766" s="4"/>
      <c r="H766" s="4"/>
      <c r="I766" s="4"/>
      <c r="J766" s="4"/>
      <c r="K766" s="4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7"/>
      <c r="W766" s="7"/>
    </row>
    <row r="767" spans="2:23" x14ac:dyDescent="0.2">
      <c r="B767" s="3"/>
      <c r="C767" s="3"/>
      <c r="D767" s="3"/>
      <c r="E767" s="4"/>
      <c r="F767" s="4"/>
      <c r="G767" s="4"/>
      <c r="H767" s="4"/>
      <c r="I767" s="4"/>
      <c r="J767" s="4"/>
      <c r="K767" s="4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7"/>
      <c r="W767" s="7"/>
    </row>
    <row r="768" spans="2:23" x14ac:dyDescent="0.2">
      <c r="B768" s="3"/>
      <c r="C768" s="3"/>
      <c r="D768" s="3"/>
      <c r="E768" s="4"/>
      <c r="F768" s="4"/>
      <c r="G768" s="4"/>
      <c r="H768" s="4"/>
      <c r="I768" s="4"/>
      <c r="J768" s="4"/>
      <c r="K768" s="4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7"/>
      <c r="W768" s="7"/>
    </row>
    <row r="769" spans="2:23" x14ac:dyDescent="0.2">
      <c r="B769" s="3"/>
      <c r="C769" s="3"/>
      <c r="D769" s="3"/>
      <c r="E769" s="4"/>
      <c r="F769" s="4"/>
      <c r="G769" s="4"/>
      <c r="H769" s="4"/>
      <c r="I769" s="4"/>
      <c r="J769" s="4"/>
      <c r="K769" s="4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7"/>
      <c r="W769" s="7"/>
    </row>
    <row r="770" spans="2:23" x14ac:dyDescent="0.2">
      <c r="B770" s="3"/>
      <c r="C770" s="3"/>
      <c r="D770" s="3"/>
      <c r="E770" s="4"/>
      <c r="F770" s="4"/>
      <c r="G770" s="4"/>
      <c r="H770" s="4"/>
      <c r="I770" s="4"/>
      <c r="J770" s="4"/>
      <c r="K770" s="4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7"/>
      <c r="W770" s="7"/>
    </row>
    <row r="771" spans="2:23" x14ac:dyDescent="0.2">
      <c r="B771" s="3"/>
      <c r="C771" s="3"/>
      <c r="D771" s="3"/>
      <c r="E771" s="4"/>
      <c r="F771" s="4"/>
      <c r="G771" s="4"/>
      <c r="H771" s="4"/>
      <c r="I771" s="4"/>
      <c r="J771" s="4"/>
      <c r="K771" s="4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7"/>
      <c r="W771" s="7"/>
    </row>
    <row r="772" spans="2:23" x14ac:dyDescent="0.2">
      <c r="B772" s="3"/>
      <c r="C772" s="3"/>
      <c r="D772" s="3"/>
      <c r="E772" s="4"/>
      <c r="F772" s="4"/>
      <c r="G772" s="4"/>
      <c r="H772" s="4"/>
      <c r="I772" s="4"/>
      <c r="J772" s="4"/>
      <c r="K772" s="4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7"/>
      <c r="W772" s="7"/>
    </row>
    <row r="773" spans="2:23" x14ac:dyDescent="0.2">
      <c r="B773" s="3"/>
      <c r="C773" s="3"/>
      <c r="D773" s="3"/>
      <c r="E773" s="4"/>
      <c r="F773" s="4"/>
      <c r="G773" s="4"/>
      <c r="H773" s="4"/>
      <c r="I773" s="4"/>
      <c r="J773" s="4"/>
      <c r="K773" s="4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7"/>
      <c r="W773" s="7"/>
    </row>
    <row r="774" spans="2:23" x14ac:dyDescent="0.2">
      <c r="B774" s="3"/>
      <c r="C774" s="3"/>
      <c r="D774" s="3"/>
      <c r="E774" s="4"/>
      <c r="F774" s="4"/>
      <c r="G774" s="4"/>
      <c r="H774" s="4"/>
      <c r="I774" s="4"/>
      <c r="J774" s="4"/>
      <c r="K774" s="4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7"/>
      <c r="W774" s="7"/>
    </row>
    <row r="775" spans="2:23" x14ac:dyDescent="0.2">
      <c r="B775" s="3"/>
      <c r="C775" s="3"/>
      <c r="D775" s="3"/>
      <c r="E775" s="4"/>
      <c r="F775" s="4"/>
      <c r="G775" s="4"/>
      <c r="H775" s="4"/>
      <c r="I775" s="4"/>
      <c r="J775" s="4"/>
      <c r="K775" s="4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7"/>
      <c r="W775" s="7"/>
    </row>
    <row r="776" spans="2:23" x14ac:dyDescent="0.2">
      <c r="B776" s="3"/>
      <c r="C776" s="3"/>
      <c r="D776" s="3"/>
      <c r="E776" s="4"/>
      <c r="F776" s="4"/>
      <c r="G776" s="4"/>
      <c r="H776" s="4"/>
      <c r="I776" s="4"/>
      <c r="J776" s="4"/>
      <c r="K776" s="4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7"/>
      <c r="W776" s="7"/>
    </row>
    <row r="777" spans="2:23" x14ac:dyDescent="0.2">
      <c r="B777" s="3"/>
      <c r="C777" s="3"/>
      <c r="D777" s="3"/>
      <c r="E777" s="4"/>
      <c r="F777" s="4"/>
      <c r="G777" s="4"/>
      <c r="H777" s="4"/>
      <c r="I777" s="4"/>
      <c r="J777" s="4"/>
      <c r="K777" s="4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7"/>
      <c r="W777" s="7"/>
    </row>
    <row r="778" spans="2:23" x14ac:dyDescent="0.2">
      <c r="B778" s="3"/>
      <c r="C778" s="3"/>
      <c r="D778" s="3"/>
      <c r="E778" s="4"/>
      <c r="F778" s="4"/>
      <c r="G778" s="4"/>
      <c r="H778" s="4"/>
      <c r="I778" s="4"/>
      <c r="J778" s="4"/>
      <c r="K778" s="4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7"/>
      <c r="W778" s="7"/>
    </row>
    <row r="779" spans="2:23" x14ac:dyDescent="0.2">
      <c r="B779" s="3"/>
      <c r="C779" s="3"/>
      <c r="D779" s="3"/>
      <c r="E779" s="4"/>
      <c r="F779" s="4"/>
      <c r="G779" s="4"/>
      <c r="H779" s="4"/>
      <c r="I779" s="4"/>
      <c r="J779" s="4"/>
      <c r="K779" s="4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7"/>
      <c r="W779" s="7"/>
    </row>
    <row r="780" spans="2:23" x14ac:dyDescent="0.2">
      <c r="B780" s="3"/>
      <c r="C780" s="3"/>
      <c r="D780" s="3"/>
      <c r="E780" s="4"/>
      <c r="F780" s="4"/>
      <c r="G780" s="4"/>
      <c r="H780" s="4"/>
      <c r="I780" s="4"/>
      <c r="J780" s="4"/>
      <c r="K780" s="4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7"/>
      <c r="W780" s="7"/>
    </row>
    <row r="781" spans="2:23" x14ac:dyDescent="0.2">
      <c r="B781" s="3"/>
      <c r="C781" s="3"/>
      <c r="D781" s="3"/>
      <c r="E781" s="4"/>
      <c r="F781" s="4"/>
      <c r="G781" s="4"/>
      <c r="H781" s="4"/>
      <c r="I781" s="4"/>
      <c r="J781" s="4"/>
      <c r="K781" s="4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7"/>
      <c r="W781" s="7"/>
    </row>
    <row r="782" spans="2:23" x14ac:dyDescent="0.2">
      <c r="B782" s="3"/>
      <c r="C782" s="3"/>
      <c r="D782" s="3"/>
      <c r="E782" s="4"/>
      <c r="F782" s="4"/>
      <c r="G782" s="4"/>
      <c r="H782" s="4"/>
      <c r="I782" s="4"/>
      <c r="J782" s="4"/>
      <c r="K782" s="4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7"/>
      <c r="W782" s="7"/>
    </row>
    <row r="783" spans="2:23" x14ac:dyDescent="0.2">
      <c r="B783" s="3"/>
      <c r="C783" s="3"/>
      <c r="D783" s="3"/>
      <c r="E783" s="4"/>
      <c r="F783" s="4"/>
      <c r="G783" s="4"/>
      <c r="H783" s="4"/>
      <c r="I783" s="4"/>
      <c r="J783" s="4"/>
      <c r="K783" s="4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7"/>
      <c r="W783" s="7"/>
    </row>
    <row r="784" spans="2:23" x14ac:dyDescent="0.2">
      <c r="B784" s="3"/>
      <c r="C784" s="3"/>
      <c r="D784" s="3"/>
      <c r="E784" s="4"/>
      <c r="F784" s="4"/>
      <c r="G784" s="4"/>
      <c r="H784" s="4"/>
      <c r="I784" s="4"/>
      <c r="J784" s="4"/>
      <c r="K784" s="4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7"/>
      <c r="W784" s="7"/>
    </row>
    <row r="785" spans="2:23" x14ac:dyDescent="0.2">
      <c r="B785" s="3"/>
      <c r="C785" s="3"/>
      <c r="D785" s="3"/>
      <c r="E785" s="4"/>
      <c r="F785" s="4"/>
      <c r="G785" s="4"/>
      <c r="H785" s="4"/>
      <c r="I785" s="4"/>
      <c r="J785" s="4"/>
      <c r="K785" s="4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7"/>
      <c r="W785" s="7"/>
    </row>
    <row r="786" spans="2:23" x14ac:dyDescent="0.2">
      <c r="B786" s="3"/>
      <c r="C786" s="3"/>
      <c r="D786" s="3"/>
      <c r="E786" s="4"/>
      <c r="F786" s="4"/>
      <c r="G786" s="4"/>
      <c r="H786" s="4"/>
      <c r="I786" s="4"/>
      <c r="J786" s="4"/>
      <c r="K786" s="4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7"/>
      <c r="W786" s="7"/>
    </row>
    <row r="787" spans="2:23" x14ac:dyDescent="0.2">
      <c r="B787" s="3"/>
      <c r="C787" s="3"/>
      <c r="D787" s="3"/>
      <c r="E787" s="4"/>
      <c r="F787" s="4"/>
      <c r="G787" s="4"/>
      <c r="H787" s="4"/>
      <c r="I787" s="4"/>
      <c r="J787" s="4"/>
      <c r="K787" s="4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7"/>
      <c r="W787" s="7"/>
    </row>
    <row r="788" spans="2:23" x14ac:dyDescent="0.2">
      <c r="B788" s="3"/>
      <c r="C788" s="3"/>
      <c r="D788" s="3"/>
      <c r="E788" s="4"/>
      <c r="F788" s="4"/>
      <c r="G788" s="4"/>
      <c r="H788" s="4"/>
      <c r="I788" s="4"/>
      <c r="J788" s="4"/>
      <c r="K788" s="4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7"/>
      <c r="W788" s="7"/>
    </row>
    <row r="789" spans="2:23" x14ac:dyDescent="0.2">
      <c r="B789" s="3"/>
      <c r="C789" s="3"/>
      <c r="D789" s="3"/>
      <c r="E789" s="4"/>
      <c r="F789" s="4"/>
      <c r="G789" s="4"/>
      <c r="H789" s="4"/>
      <c r="I789" s="4"/>
      <c r="J789" s="4"/>
      <c r="K789" s="4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7"/>
      <c r="W789" s="7"/>
    </row>
    <row r="790" spans="2:23" x14ac:dyDescent="0.2">
      <c r="B790" s="3"/>
      <c r="C790" s="3"/>
      <c r="D790" s="3"/>
      <c r="E790" s="4"/>
      <c r="F790" s="4"/>
      <c r="G790" s="4"/>
      <c r="H790" s="4"/>
      <c r="I790" s="4"/>
      <c r="J790" s="4"/>
      <c r="K790" s="4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7"/>
      <c r="W790" s="7"/>
    </row>
    <row r="791" spans="2:23" x14ac:dyDescent="0.2">
      <c r="B791" s="3"/>
      <c r="C791" s="3"/>
      <c r="D791" s="3"/>
      <c r="E791" s="4"/>
      <c r="F791" s="4"/>
      <c r="G791" s="4"/>
      <c r="H791" s="4"/>
      <c r="I791" s="4"/>
      <c r="J791" s="4"/>
      <c r="K791" s="4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7"/>
      <c r="W791" s="7"/>
    </row>
    <row r="792" spans="2:23" x14ac:dyDescent="0.2">
      <c r="B792" s="3"/>
      <c r="C792" s="3"/>
      <c r="D792" s="3"/>
      <c r="E792" s="4"/>
      <c r="F792" s="4"/>
      <c r="G792" s="4"/>
      <c r="H792" s="4"/>
      <c r="I792" s="4"/>
      <c r="J792" s="4"/>
      <c r="K792" s="4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7"/>
      <c r="W792" s="7"/>
    </row>
    <row r="793" spans="2:23" x14ac:dyDescent="0.2">
      <c r="B793" s="3"/>
      <c r="C793" s="3"/>
      <c r="D793" s="3"/>
      <c r="E793" s="4"/>
      <c r="F793" s="4"/>
      <c r="G793" s="4"/>
      <c r="H793" s="4"/>
      <c r="I793" s="4"/>
      <c r="J793" s="4"/>
      <c r="K793" s="4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7"/>
      <c r="W793" s="7"/>
    </row>
    <row r="794" spans="2:23" x14ac:dyDescent="0.2">
      <c r="B794" s="3"/>
      <c r="C794" s="3"/>
      <c r="D794" s="3"/>
      <c r="E794" s="4"/>
      <c r="F794" s="4"/>
      <c r="G794" s="4"/>
      <c r="H794" s="4"/>
      <c r="I794" s="4"/>
      <c r="J794" s="4"/>
      <c r="K794" s="4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7"/>
      <c r="W794" s="7"/>
    </row>
    <row r="795" spans="2:23" x14ac:dyDescent="0.2">
      <c r="B795" s="3"/>
      <c r="C795" s="3"/>
      <c r="D795" s="3"/>
      <c r="E795" s="4"/>
      <c r="F795" s="4"/>
      <c r="G795" s="4"/>
      <c r="H795" s="4"/>
      <c r="I795" s="4"/>
      <c r="J795" s="4"/>
      <c r="K795" s="4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7"/>
      <c r="W795" s="7"/>
    </row>
    <row r="796" spans="2:23" x14ac:dyDescent="0.2">
      <c r="B796" s="3"/>
      <c r="C796" s="3"/>
      <c r="D796" s="3"/>
      <c r="E796" s="4"/>
      <c r="F796" s="4"/>
      <c r="G796" s="4"/>
      <c r="H796" s="4"/>
      <c r="I796" s="4"/>
      <c r="J796" s="4"/>
      <c r="K796" s="4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7"/>
      <c r="W796" s="7"/>
    </row>
    <row r="797" spans="2:23" x14ac:dyDescent="0.2">
      <c r="B797" s="3"/>
      <c r="C797" s="3"/>
      <c r="D797" s="3"/>
      <c r="E797" s="4"/>
      <c r="F797" s="4"/>
      <c r="G797" s="4"/>
      <c r="H797" s="4"/>
      <c r="I797" s="4"/>
      <c r="J797" s="4"/>
      <c r="K797" s="4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7"/>
      <c r="W797" s="7"/>
    </row>
    <row r="798" spans="2:23" x14ac:dyDescent="0.2">
      <c r="B798" s="3"/>
      <c r="C798" s="3"/>
      <c r="D798" s="3"/>
      <c r="E798" s="4"/>
      <c r="F798" s="4"/>
      <c r="G798" s="4"/>
      <c r="H798" s="4"/>
      <c r="I798" s="4"/>
      <c r="J798" s="4"/>
      <c r="K798" s="4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7"/>
      <c r="W798" s="7"/>
    </row>
    <row r="799" spans="2:23" x14ac:dyDescent="0.2">
      <c r="B799" s="3"/>
      <c r="C799" s="3"/>
      <c r="D799" s="3"/>
      <c r="E799" s="4"/>
      <c r="F799" s="4"/>
      <c r="G799" s="4"/>
      <c r="H799" s="4"/>
      <c r="I799" s="4"/>
      <c r="J799" s="4"/>
      <c r="K799" s="4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7"/>
      <c r="W799" s="7"/>
    </row>
    <row r="800" spans="2:23" x14ac:dyDescent="0.2">
      <c r="B800" s="3"/>
      <c r="C800" s="3"/>
      <c r="D800" s="3"/>
      <c r="E800" s="4"/>
      <c r="F800" s="4"/>
      <c r="G800" s="4"/>
      <c r="H800" s="4"/>
      <c r="I800" s="4"/>
      <c r="J800" s="4"/>
      <c r="K800" s="4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7"/>
      <c r="W800" s="7"/>
    </row>
    <row r="801" spans="2:23" x14ac:dyDescent="0.2">
      <c r="B801" s="3"/>
      <c r="C801" s="3"/>
      <c r="D801" s="3"/>
      <c r="E801" s="4"/>
      <c r="F801" s="4"/>
      <c r="G801" s="4"/>
      <c r="H801" s="4"/>
      <c r="I801" s="4"/>
      <c r="J801" s="4"/>
      <c r="K801" s="4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7"/>
      <c r="W801" s="7"/>
    </row>
    <row r="802" spans="2:23" x14ac:dyDescent="0.2">
      <c r="B802" s="3"/>
      <c r="C802" s="3"/>
      <c r="D802" s="3"/>
      <c r="E802" s="4"/>
      <c r="F802" s="4"/>
      <c r="G802" s="4"/>
      <c r="H802" s="4"/>
      <c r="I802" s="4"/>
      <c r="J802" s="4"/>
      <c r="K802" s="4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7"/>
      <c r="W802" s="7"/>
    </row>
    <row r="803" spans="2:23" x14ac:dyDescent="0.2">
      <c r="B803" s="3"/>
      <c r="C803" s="3"/>
      <c r="D803" s="3"/>
      <c r="E803" s="4"/>
      <c r="F803" s="4"/>
      <c r="G803" s="4"/>
      <c r="H803" s="4"/>
      <c r="I803" s="4"/>
      <c r="J803" s="4"/>
      <c r="K803" s="4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7"/>
      <c r="W803" s="7"/>
    </row>
    <row r="804" spans="2:23" x14ac:dyDescent="0.2">
      <c r="B804" s="3"/>
      <c r="C804" s="3"/>
      <c r="D804" s="3"/>
      <c r="E804" s="4"/>
      <c r="F804" s="4"/>
      <c r="G804" s="4"/>
      <c r="H804" s="4"/>
      <c r="I804" s="4"/>
      <c r="J804" s="4"/>
      <c r="K804" s="4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7"/>
      <c r="W804" s="7"/>
    </row>
    <row r="805" spans="2:23" x14ac:dyDescent="0.2">
      <c r="B805" s="3"/>
      <c r="C805" s="3"/>
      <c r="D805" s="3"/>
      <c r="E805" s="4"/>
      <c r="F805" s="4"/>
      <c r="G805" s="4"/>
      <c r="H805" s="4"/>
      <c r="I805" s="4"/>
      <c r="J805" s="4"/>
      <c r="K805" s="4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7"/>
      <c r="W805" s="7"/>
    </row>
    <row r="806" spans="2:23" x14ac:dyDescent="0.2">
      <c r="B806" s="3"/>
      <c r="C806" s="3"/>
      <c r="D806" s="3"/>
      <c r="E806" s="4"/>
      <c r="F806" s="4"/>
      <c r="G806" s="4"/>
      <c r="H806" s="4"/>
      <c r="I806" s="4"/>
      <c r="J806" s="4"/>
      <c r="K806" s="4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7"/>
      <c r="W806" s="7"/>
    </row>
    <row r="807" spans="2:23" x14ac:dyDescent="0.2">
      <c r="B807" s="3"/>
      <c r="C807" s="3"/>
      <c r="D807" s="3"/>
      <c r="E807" s="4"/>
      <c r="F807" s="4"/>
      <c r="G807" s="4"/>
      <c r="H807" s="4"/>
      <c r="I807" s="4"/>
      <c r="J807" s="4"/>
      <c r="K807" s="4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7"/>
      <c r="W807" s="7"/>
    </row>
    <row r="808" spans="2:23" x14ac:dyDescent="0.2">
      <c r="B808" s="3"/>
      <c r="C808" s="3"/>
      <c r="D808" s="3"/>
      <c r="E808" s="4"/>
      <c r="F808" s="4"/>
      <c r="G808" s="4"/>
      <c r="H808" s="4"/>
      <c r="I808" s="4"/>
      <c r="J808" s="4"/>
      <c r="K808" s="4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7"/>
      <c r="W808" s="7"/>
    </row>
    <row r="809" spans="2:23" x14ac:dyDescent="0.2">
      <c r="B809" s="3"/>
      <c r="C809" s="3"/>
      <c r="D809" s="3"/>
      <c r="E809" s="4"/>
      <c r="F809" s="4"/>
      <c r="G809" s="4"/>
      <c r="H809" s="4"/>
      <c r="I809" s="4"/>
      <c r="J809" s="4"/>
      <c r="K809" s="4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7"/>
      <c r="W809" s="7"/>
    </row>
    <row r="810" spans="2:23" x14ac:dyDescent="0.2">
      <c r="B810" s="3"/>
      <c r="C810" s="3"/>
      <c r="D810" s="3"/>
      <c r="E810" s="4"/>
      <c r="F810" s="4"/>
      <c r="G810" s="4"/>
      <c r="H810" s="4"/>
      <c r="I810" s="4"/>
      <c r="J810" s="4"/>
      <c r="K810" s="4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7"/>
      <c r="W810" s="7"/>
    </row>
    <row r="811" spans="2:23" x14ac:dyDescent="0.2">
      <c r="B811" s="3"/>
      <c r="C811" s="3"/>
      <c r="D811" s="3"/>
      <c r="E811" s="4"/>
      <c r="F811" s="4"/>
      <c r="G811" s="4"/>
      <c r="H811" s="4"/>
      <c r="I811" s="4"/>
      <c r="J811" s="4"/>
      <c r="K811" s="4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7"/>
      <c r="W811" s="7"/>
    </row>
    <row r="812" spans="2:23" x14ac:dyDescent="0.2">
      <c r="B812" s="3"/>
      <c r="C812" s="3"/>
      <c r="D812" s="3"/>
      <c r="E812" s="4"/>
      <c r="F812" s="4"/>
      <c r="G812" s="4"/>
      <c r="H812" s="4"/>
      <c r="I812" s="4"/>
      <c r="J812" s="4"/>
      <c r="K812" s="4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7"/>
      <c r="W812" s="7"/>
    </row>
    <row r="813" spans="2:23" x14ac:dyDescent="0.2">
      <c r="B813" s="3"/>
      <c r="C813" s="3"/>
      <c r="D813" s="3"/>
      <c r="E813" s="4"/>
      <c r="F813" s="4"/>
      <c r="G813" s="4"/>
      <c r="H813" s="4"/>
      <c r="I813" s="4"/>
      <c r="J813" s="4"/>
      <c r="K813" s="4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7"/>
      <c r="W813" s="7"/>
    </row>
    <row r="814" spans="2:23" x14ac:dyDescent="0.2">
      <c r="B814" s="3"/>
      <c r="C814" s="3"/>
      <c r="D814" s="3"/>
      <c r="E814" s="4"/>
      <c r="F814" s="4"/>
      <c r="G814" s="4"/>
      <c r="H814" s="4"/>
      <c r="I814" s="4"/>
      <c r="J814" s="4"/>
      <c r="K814" s="4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7"/>
      <c r="W814" s="7"/>
    </row>
    <row r="815" spans="2:23" x14ac:dyDescent="0.2">
      <c r="B815" s="3"/>
      <c r="C815" s="3"/>
      <c r="D815" s="3"/>
      <c r="E815" s="4"/>
      <c r="F815" s="4"/>
      <c r="G815" s="4"/>
      <c r="H815" s="4"/>
      <c r="I815" s="4"/>
      <c r="J815" s="4"/>
      <c r="K815" s="4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7"/>
      <c r="W815" s="7"/>
    </row>
    <row r="816" spans="2:23" x14ac:dyDescent="0.2">
      <c r="B816" s="3"/>
      <c r="C816" s="3"/>
      <c r="D816" s="3"/>
      <c r="E816" s="4"/>
      <c r="F816" s="4"/>
      <c r="G816" s="4"/>
      <c r="H816" s="4"/>
      <c r="I816" s="4"/>
      <c r="J816" s="4"/>
      <c r="K816" s="4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7"/>
      <c r="W816" s="7"/>
    </row>
    <row r="817" spans="2:23" x14ac:dyDescent="0.2">
      <c r="B817" s="3"/>
      <c r="C817" s="3"/>
      <c r="D817" s="3"/>
      <c r="E817" s="4"/>
      <c r="F817" s="4"/>
      <c r="G817" s="4"/>
      <c r="H817" s="4"/>
      <c r="I817" s="4"/>
      <c r="J817" s="4"/>
      <c r="K817" s="4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7"/>
      <c r="W817" s="7"/>
    </row>
    <row r="818" spans="2:23" x14ac:dyDescent="0.2">
      <c r="B818" s="3"/>
      <c r="C818" s="3"/>
      <c r="D818" s="3"/>
      <c r="E818" s="4"/>
      <c r="F818" s="4"/>
      <c r="G818" s="4"/>
      <c r="H818" s="4"/>
      <c r="I818" s="4"/>
      <c r="J818" s="4"/>
      <c r="K818" s="4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7"/>
      <c r="W818" s="7"/>
    </row>
    <row r="819" spans="2:23" x14ac:dyDescent="0.2">
      <c r="B819" s="3"/>
      <c r="C819" s="3"/>
      <c r="D819" s="3"/>
      <c r="E819" s="4"/>
      <c r="F819" s="4"/>
      <c r="G819" s="4"/>
      <c r="H819" s="4"/>
      <c r="I819" s="4"/>
      <c r="J819" s="4"/>
      <c r="K819" s="4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7"/>
      <c r="W819" s="7"/>
    </row>
    <row r="820" spans="2:23" x14ac:dyDescent="0.2">
      <c r="B820" s="3"/>
      <c r="C820" s="3"/>
      <c r="D820" s="3"/>
      <c r="E820" s="4"/>
      <c r="F820" s="4"/>
      <c r="G820" s="4"/>
      <c r="H820" s="4"/>
      <c r="I820" s="4"/>
      <c r="J820" s="4"/>
      <c r="K820" s="4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7"/>
      <c r="W820" s="7"/>
    </row>
    <row r="821" spans="2:23" x14ac:dyDescent="0.2">
      <c r="B821" s="3"/>
      <c r="C821" s="3"/>
      <c r="D821" s="3"/>
      <c r="E821" s="4"/>
      <c r="F821" s="4"/>
      <c r="G821" s="4"/>
      <c r="H821" s="4"/>
      <c r="I821" s="4"/>
      <c r="J821" s="4"/>
      <c r="K821" s="4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7"/>
      <c r="W821" s="7"/>
    </row>
    <row r="822" spans="2:23" x14ac:dyDescent="0.2">
      <c r="B822" s="3"/>
      <c r="C822" s="3"/>
      <c r="D822" s="3"/>
      <c r="E822" s="4"/>
      <c r="F822" s="4"/>
      <c r="G822" s="4"/>
      <c r="H822" s="4"/>
      <c r="I822" s="4"/>
      <c r="J822" s="4"/>
      <c r="K822" s="4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7"/>
      <c r="W822" s="7"/>
    </row>
    <row r="823" spans="2:23" x14ac:dyDescent="0.2">
      <c r="B823" s="3"/>
      <c r="C823" s="3"/>
      <c r="D823" s="3"/>
      <c r="E823" s="4"/>
      <c r="F823" s="4"/>
      <c r="G823" s="4"/>
      <c r="H823" s="4"/>
      <c r="I823" s="4"/>
      <c r="J823" s="4"/>
      <c r="K823" s="4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7"/>
      <c r="W823" s="7"/>
    </row>
    <row r="824" spans="2:23" x14ac:dyDescent="0.2">
      <c r="B824" s="3"/>
      <c r="C824" s="3"/>
      <c r="D824" s="3"/>
      <c r="E824" s="4"/>
      <c r="F824" s="4"/>
      <c r="G824" s="4"/>
      <c r="H824" s="4"/>
      <c r="I824" s="4"/>
      <c r="J824" s="4"/>
      <c r="K824" s="4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7"/>
      <c r="W824" s="7"/>
    </row>
    <row r="825" spans="2:23" x14ac:dyDescent="0.2">
      <c r="B825" s="3"/>
      <c r="C825" s="3"/>
      <c r="D825" s="3"/>
      <c r="E825" s="4"/>
      <c r="F825" s="4"/>
      <c r="G825" s="4"/>
      <c r="H825" s="4"/>
      <c r="I825" s="4"/>
      <c r="J825" s="4"/>
      <c r="K825" s="4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7"/>
      <c r="W825" s="7"/>
    </row>
    <row r="826" spans="2:23" x14ac:dyDescent="0.2">
      <c r="B826" s="3"/>
      <c r="C826" s="3"/>
      <c r="D826" s="3"/>
      <c r="E826" s="4"/>
      <c r="F826" s="4"/>
      <c r="G826" s="4"/>
      <c r="H826" s="4"/>
      <c r="I826" s="4"/>
      <c r="J826" s="4"/>
      <c r="K826" s="4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7"/>
      <c r="W826" s="7"/>
    </row>
    <row r="827" spans="2:23" x14ac:dyDescent="0.2">
      <c r="B827" s="3"/>
      <c r="C827" s="3"/>
      <c r="D827" s="3"/>
      <c r="E827" s="4"/>
      <c r="F827" s="4"/>
      <c r="G827" s="4"/>
      <c r="H827" s="4"/>
      <c r="I827" s="4"/>
      <c r="J827" s="4"/>
      <c r="K827" s="4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7"/>
      <c r="W827" s="7"/>
    </row>
    <row r="828" spans="2:23" x14ac:dyDescent="0.2">
      <c r="B828" s="3"/>
      <c r="C828" s="3"/>
      <c r="D828" s="3"/>
      <c r="E828" s="4"/>
      <c r="F828" s="4"/>
      <c r="G828" s="4"/>
      <c r="H828" s="4"/>
      <c r="I828" s="4"/>
      <c r="J828" s="4"/>
      <c r="K828" s="4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7"/>
      <c r="W828" s="7"/>
    </row>
    <row r="829" spans="2:23" x14ac:dyDescent="0.2">
      <c r="B829" s="3"/>
      <c r="C829" s="3"/>
      <c r="D829" s="3"/>
      <c r="E829" s="4"/>
      <c r="F829" s="4"/>
      <c r="G829" s="4"/>
      <c r="H829" s="4"/>
      <c r="I829" s="4"/>
      <c r="J829" s="4"/>
      <c r="K829" s="4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7"/>
      <c r="W829" s="7"/>
    </row>
    <row r="830" spans="2:23" x14ac:dyDescent="0.2">
      <c r="B830" s="3"/>
      <c r="C830" s="3"/>
      <c r="D830" s="3"/>
      <c r="E830" s="4"/>
      <c r="F830" s="4"/>
      <c r="G830" s="4"/>
      <c r="H830" s="4"/>
      <c r="I830" s="4"/>
      <c r="J830" s="4"/>
      <c r="K830" s="4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7"/>
      <c r="W830" s="7"/>
    </row>
    <row r="831" spans="2:23" x14ac:dyDescent="0.2">
      <c r="B831" s="3"/>
      <c r="C831" s="3"/>
      <c r="D831" s="3"/>
      <c r="E831" s="4"/>
      <c r="F831" s="4"/>
      <c r="G831" s="4"/>
      <c r="H831" s="4"/>
      <c r="I831" s="4"/>
      <c r="J831" s="4"/>
      <c r="K831" s="4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7"/>
      <c r="W831" s="7"/>
    </row>
    <row r="832" spans="2:23" x14ac:dyDescent="0.2">
      <c r="B832" s="3"/>
      <c r="C832" s="3"/>
      <c r="D832" s="3"/>
      <c r="E832" s="4"/>
      <c r="F832" s="4"/>
      <c r="G832" s="4"/>
      <c r="H832" s="4"/>
      <c r="I832" s="4"/>
      <c r="J832" s="4"/>
      <c r="K832" s="4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7"/>
      <c r="W832" s="7"/>
    </row>
    <row r="833" spans="2:23" x14ac:dyDescent="0.2">
      <c r="B833" s="3"/>
      <c r="C833" s="3"/>
      <c r="D833" s="3"/>
      <c r="E833" s="4"/>
      <c r="F833" s="4"/>
      <c r="G833" s="4"/>
      <c r="H833" s="4"/>
      <c r="I833" s="4"/>
      <c r="J833" s="4"/>
      <c r="K833" s="4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7"/>
      <c r="W833" s="7"/>
    </row>
    <row r="834" spans="2:23" x14ac:dyDescent="0.2">
      <c r="B834" s="3"/>
      <c r="C834" s="3"/>
      <c r="D834" s="3"/>
      <c r="E834" s="4"/>
      <c r="F834" s="4"/>
      <c r="G834" s="4"/>
      <c r="H834" s="4"/>
      <c r="I834" s="4"/>
      <c r="J834" s="4"/>
      <c r="K834" s="4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7"/>
      <c r="W834" s="7"/>
    </row>
    <row r="835" spans="2:23" x14ac:dyDescent="0.2">
      <c r="B835" s="3"/>
      <c r="C835" s="3"/>
      <c r="D835" s="3"/>
      <c r="E835" s="4"/>
      <c r="F835" s="4"/>
      <c r="G835" s="4"/>
      <c r="H835" s="4"/>
      <c r="I835" s="4"/>
      <c r="J835" s="4"/>
      <c r="K835" s="4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7"/>
      <c r="W835" s="7"/>
    </row>
    <row r="836" spans="2:23" x14ac:dyDescent="0.2">
      <c r="B836" s="3"/>
      <c r="C836" s="3"/>
      <c r="D836" s="3"/>
      <c r="E836" s="4"/>
      <c r="F836" s="4"/>
      <c r="G836" s="4"/>
      <c r="H836" s="4"/>
      <c r="I836" s="4"/>
      <c r="J836" s="4"/>
      <c r="K836" s="4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7"/>
      <c r="W836" s="7"/>
    </row>
    <row r="837" spans="2:23" x14ac:dyDescent="0.2">
      <c r="B837" s="3"/>
      <c r="C837" s="3"/>
      <c r="D837" s="3"/>
      <c r="E837" s="4"/>
      <c r="F837" s="4"/>
      <c r="G837" s="4"/>
      <c r="H837" s="4"/>
      <c r="I837" s="4"/>
      <c r="J837" s="4"/>
      <c r="K837" s="4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7"/>
      <c r="W837" s="7"/>
    </row>
    <row r="838" spans="2:23" x14ac:dyDescent="0.2">
      <c r="B838" s="3"/>
      <c r="C838" s="3"/>
      <c r="D838" s="3"/>
      <c r="E838" s="4"/>
      <c r="F838" s="4"/>
      <c r="G838" s="4"/>
      <c r="H838" s="4"/>
      <c r="I838" s="4"/>
      <c r="J838" s="4"/>
      <c r="K838" s="4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7"/>
      <c r="W838" s="7"/>
    </row>
    <row r="839" spans="2:23" x14ac:dyDescent="0.2">
      <c r="B839" s="3"/>
      <c r="C839" s="3"/>
      <c r="D839" s="3"/>
      <c r="E839" s="4"/>
      <c r="F839" s="4"/>
      <c r="G839" s="4"/>
      <c r="H839" s="4"/>
      <c r="I839" s="4"/>
      <c r="J839" s="4"/>
      <c r="K839" s="4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7"/>
      <c r="W839" s="7"/>
    </row>
    <row r="840" spans="2:23" x14ac:dyDescent="0.2">
      <c r="B840" s="3"/>
      <c r="C840" s="3"/>
      <c r="D840" s="3"/>
      <c r="E840" s="4"/>
      <c r="F840" s="4"/>
      <c r="G840" s="4"/>
      <c r="H840" s="4"/>
      <c r="I840" s="4"/>
      <c r="J840" s="4"/>
      <c r="K840" s="4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7"/>
      <c r="W840" s="7"/>
    </row>
    <row r="841" spans="2:23" x14ac:dyDescent="0.2">
      <c r="B841" s="3"/>
      <c r="C841" s="3"/>
      <c r="D841" s="3"/>
      <c r="E841" s="4"/>
      <c r="F841" s="4"/>
      <c r="G841" s="4"/>
      <c r="H841" s="4"/>
      <c r="I841" s="4"/>
      <c r="J841" s="4"/>
      <c r="K841" s="4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7"/>
      <c r="W841" s="7"/>
    </row>
    <row r="842" spans="2:23" x14ac:dyDescent="0.2">
      <c r="B842" s="3"/>
      <c r="C842" s="3"/>
      <c r="D842" s="3"/>
      <c r="E842" s="4"/>
      <c r="F842" s="4"/>
      <c r="G842" s="4"/>
      <c r="H842" s="4"/>
      <c r="I842" s="4"/>
      <c r="J842" s="4"/>
      <c r="K842" s="4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7"/>
      <c r="W842" s="7"/>
    </row>
    <row r="843" spans="2:23" x14ac:dyDescent="0.2">
      <c r="B843" s="3"/>
      <c r="C843" s="3"/>
      <c r="D843" s="3"/>
      <c r="E843" s="4"/>
      <c r="F843" s="4"/>
      <c r="G843" s="4"/>
      <c r="H843" s="4"/>
      <c r="I843" s="4"/>
      <c r="J843" s="4"/>
      <c r="K843" s="4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7"/>
      <c r="W843" s="7"/>
    </row>
    <row r="844" spans="2:23" x14ac:dyDescent="0.2">
      <c r="B844" s="3"/>
      <c r="C844" s="3"/>
      <c r="D844" s="3"/>
      <c r="E844" s="4"/>
      <c r="F844" s="4"/>
      <c r="G844" s="4"/>
      <c r="H844" s="4"/>
      <c r="I844" s="4"/>
      <c r="J844" s="4"/>
      <c r="K844" s="4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7"/>
      <c r="W844" s="7"/>
    </row>
    <row r="845" spans="2:23" x14ac:dyDescent="0.2">
      <c r="B845" s="3"/>
      <c r="C845" s="3"/>
      <c r="D845" s="3"/>
      <c r="E845" s="4"/>
      <c r="F845" s="4"/>
      <c r="G845" s="4"/>
      <c r="H845" s="4"/>
      <c r="I845" s="4"/>
      <c r="J845" s="4"/>
      <c r="K845" s="4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7"/>
      <c r="W845" s="7"/>
    </row>
    <row r="846" spans="2:23" x14ac:dyDescent="0.2">
      <c r="B846" s="3"/>
      <c r="C846" s="3"/>
      <c r="D846" s="3"/>
      <c r="E846" s="4"/>
      <c r="F846" s="4"/>
      <c r="G846" s="4"/>
      <c r="H846" s="4"/>
      <c r="I846" s="4"/>
      <c r="J846" s="4"/>
      <c r="K846" s="4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7"/>
      <c r="W846" s="7"/>
    </row>
    <row r="847" spans="2:23" x14ac:dyDescent="0.2">
      <c r="B847" s="3"/>
      <c r="C847" s="3"/>
      <c r="D847" s="3"/>
      <c r="E847" s="4"/>
      <c r="F847" s="4"/>
      <c r="G847" s="4"/>
      <c r="H847" s="4"/>
      <c r="I847" s="4"/>
      <c r="J847" s="4"/>
      <c r="K847" s="4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7"/>
      <c r="W847" s="7"/>
    </row>
    <row r="848" spans="2:23" x14ac:dyDescent="0.2">
      <c r="B848" s="3"/>
      <c r="C848" s="3"/>
      <c r="D848" s="3"/>
      <c r="E848" s="4"/>
      <c r="F848" s="4"/>
      <c r="G848" s="4"/>
      <c r="H848" s="4"/>
      <c r="I848" s="4"/>
      <c r="J848" s="4"/>
      <c r="K848" s="4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7"/>
      <c r="W848" s="7"/>
    </row>
    <row r="849" spans="2:23" x14ac:dyDescent="0.2">
      <c r="B849" s="3"/>
      <c r="C849" s="3"/>
      <c r="D849" s="3"/>
      <c r="E849" s="4"/>
      <c r="F849" s="4"/>
      <c r="G849" s="4"/>
      <c r="H849" s="4"/>
      <c r="I849" s="4"/>
      <c r="J849" s="4"/>
      <c r="K849" s="4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7"/>
      <c r="W849" s="7"/>
    </row>
    <row r="850" spans="2:23" x14ac:dyDescent="0.2">
      <c r="B850" s="3"/>
      <c r="C850" s="3"/>
      <c r="D850" s="3"/>
      <c r="E850" s="4"/>
      <c r="F850" s="4"/>
      <c r="G850" s="4"/>
      <c r="H850" s="4"/>
      <c r="I850" s="4"/>
      <c r="J850" s="4"/>
      <c r="K850" s="4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7"/>
      <c r="W850" s="7"/>
    </row>
    <row r="851" spans="2:23" x14ac:dyDescent="0.2">
      <c r="B851" s="3"/>
      <c r="C851" s="3"/>
      <c r="D851" s="3"/>
      <c r="E851" s="4"/>
      <c r="F851" s="4"/>
      <c r="G851" s="4"/>
      <c r="H851" s="4"/>
      <c r="I851" s="4"/>
      <c r="J851" s="4"/>
      <c r="K851" s="4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7"/>
      <c r="W851" s="7"/>
    </row>
    <row r="852" spans="2:23" x14ac:dyDescent="0.2">
      <c r="B852" s="3"/>
      <c r="C852" s="3"/>
      <c r="D852" s="3"/>
      <c r="E852" s="4"/>
      <c r="F852" s="4"/>
      <c r="G852" s="4"/>
      <c r="H852" s="4"/>
      <c r="I852" s="4"/>
      <c r="J852" s="4"/>
      <c r="K852" s="4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7"/>
      <c r="W852" s="7"/>
    </row>
    <row r="853" spans="2:23" x14ac:dyDescent="0.2">
      <c r="B853" s="3"/>
      <c r="C853" s="3"/>
      <c r="D853" s="3"/>
      <c r="E853" s="4"/>
      <c r="F853" s="4"/>
      <c r="G853" s="4"/>
      <c r="H853" s="4"/>
      <c r="I853" s="4"/>
      <c r="J853" s="4"/>
      <c r="K853" s="4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7"/>
      <c r="W853" s="7"/>
    </row>
    <row r="854" spans="2:23" x14ac:dyDescent="0.2">
      <c r="B854" s="3"/>
      <c r="C854" s="3"/>
      <c r="D854" s="3"/>
      <c r="E854" s="4"/>
      <c r="F854" s="4"/>
      <c r="G854" s="4"/>
      <c r="H854" s="4"/>
      <c r="I854" s="4"/>
      <c r="J854" s="4"/>
      <c r="K854" s="4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7"/>
      <c r="W854" s="7"/>
    </row>
    <row r="855" spans="2:23" x14ac:dyDescent="0.2">
      <c r="B855" s="3"/>
      <c r="C855" s="3"/>
      <c r="D855" s="3"/>
      <c r="E855" s="4"/>
      <c r="F855" s="4"/>
      <c r="G855" s="4"/>
      <c r="H855" s="4"/>
      <c r="I855" s="4"/>
      <c r="J855" s="4"/>
      <c r="K855" s="4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7"/>
      <c r="W855" s="7"/>
    </row>
    <row r="856" spans="2:23" x14ac:dyDescent="0.2">
      <c r="B856" s="3"/>
      <c r="C856" s="3"/>
      <c r="D856" s="3"/>
      <c r="E856" s="4"/>
      <c r="F856" s="4"/>
      <c r="G856" s="4"/>
      <c r="H856" s="4"/>
      <c r="I856" s="4"/>
      <c r="J856" s="4"/>
      <c r="K856" s="4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7"/>
      <c r="W856" s="7"/>
    </row>
    <row r="857" spans="2:23" x14ac:dyDescent="0.2">
      <c r="B857" s="3"/>
      <c r="C857" s="3"/>
      <c r="D857" s="3"/>
      <c r="E857" s="4"/>
      <c r="F857" s="4"/>
      <c r="G857" s="4"/>
      <c r="H857" s="4"/>
      <c r="I857" s="4"/>
      <c r="J857" s="4"/>
      <c r="K857" s="4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7"/>
      <c r="W857" s="7"/>
    </row>
    <row r="858" spans="2:23" x14ac:dyDescent="0.2">
      <c r="B858" s="3"/>
      <c r="C858" s="3"/>
      <c r="D858" s="3"/>
      <c r="E858" s="4"/>
      <c r="F858" s="4"/>
      <c r="G858" s="4"/>
      <c r="H858" s="4"/>
      <c r="I858" s="4"/>
      <c r="J858" s="4"/>
      <c r="K858" s="4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7"/>
      <c r="W858" s="7"/>
    </row>
    <row r="859" spans="2:23" x14ac:dyDescent="0.2">
      <c r="B859" s="3"/>
      <c r="C859" s="3"/>
      <c r="D859" s="3"/>
      <c r="E859" s="4"/>
      <c r="F859" s="4"/>
      <c r="G859" s="4"/>
      <c r="H859" s="4"/>
      <c r="I859" s="4"/>
      <c r="J859" s="4"/>
      <c r="K859" s="4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7"/>
      <c r="W859" s="7"/>
    </row>
    <row r="860" spans="2:23" x14ac:dyDescent="0.2">
      <c r="B860" s="3"/>
      <c r="C860" s="3"/>
      <c r="D860" s="3"/>
      <c r="E860" s="4"/>
      <c r="F860" s="4"/>
      <c r="G860" s="4"/>
      <c r="H860" s="4"/>
      <c r="I860" s="4"/>
      <c r="J860" s="4"/>
      <c r="K860" s="4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7"/>
      <c r="W860" s="7"/>
    </row>
    <row r="861" spans="2:23" x14ac:dyDescent="0.2">
      <c r="B861" s="3"/>
      <c r="C861" s="3"/>
      <c r="D861" s="3"/>
      <c r="E861" s="4"/>
      <c r="F861" s="4"/>
      <c r="G861" s="4"/>
      <c r="H861" s="4"/>
      <c r="I861" s="4"/>
      <c r="J861" s="4"/>
      <c r="K861" s="4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7"/>
      <c r="W861" s="7"/>
    </row>
    <row r="862" spans="2:23" x14ac:dyDescent="0.2">
      <c r="B862" s="3"/>
      <c r="C862" s="3"/>
      <c r="D862" s="3"/>
      <c r="E862" s="4"/>
      <c r="F862" s="4"/>
      <c r="G862" s="4"/>
      <c r="H862" s="4"/>
      <c r="I862" s="4"/>
      <c r="J862" s="4"/>
      <c r="K862" s="4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7"/>
      <c r="W862" s="7"/>
    </row>
    <row r="863" spans="2:23" x14ac:dyDescent="0.2">
      <c r="B863" s="3"/>
      <c r="C863" s="3"/>
      <c r="D863" s="3"/>
      <c r="E863" s="4"/>
      <c r="F863" s="4"/>
      <c r="G863" s="4"/>
      <c r="H863" s="4"/>
      <c r="I863" s="4"/>
      <c r="J863" s="4"/>
      <c r="K863" s="4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7"/>
      <c r="W863" s="7"/>
    </row>
    <row r="864" spans="2:23" x14ac:dyDescent="0.2">
      <c r="B864" s="3"/>
      <c r="C864" s="3"/>
      <c r="D864" s="3"/>
      <c r="E864" s="4"/>
      <c r="F864" s="4"/>
      <c r="G864" s="4"/>
      <c r="H864" s="4"/>
      <c r="I864" s="4"/>
      <c r="J864" s="4"/>
      <c r="K864" s="4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7"/>
      <c r="W864" s="7"/>
    </row>
    <row r="865" spans="2:23" x14ac:dyDescent="0.2">
      <c r="B865" s="3"/>
      <c r="C865" s="3"/>
      <c r="D865" s="3"/>
      <c r="E865" s="4"/>
      <c r="F865" s="4"/>
      <c r="G865" s="4"/>
      <c r="H865" s="4"/>
      <c r="I865" s="4"/>
      <c r="J865" s="4"/>
      <c r="K865" s="4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7"/>
      <c r="W865" s="7"/>
    </row>
    <row r="866" spans="2:23" x14ac:dyDescent="0.2">
      <c r="B866" s="3"/>
      <c r="C866" s="3"/>
      <c r="D866" s="3"/>
      <c r="E866" s="4"/>
      <c r="F866" s="4"/>
      <c r="G866" s="4"/>
      <c r="H866" s="4"/>
      <c r="I866" s="4"/>
      <c r="J866" s="4"/>
      <c r="K866" s="4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7"/>
      <c r="W866" s="7"/>
    </row>
    <row r="867" spans="2:23" x14ac:dyDescent="0.2">
      <c r="B867" s="3"/>
      <c r="C867" s="3"/>
      <c r="D867" s="3"/>
      <c r="E867" s="4"/>
      <c r="F867" s="4"/>
      <c r="G867" s="4"/>
      <c r="H867" s="4"/>
      <c r="I867" s="4"/>
      <c r="J867" s="4"/>
      <c r="K867" s="4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7"/>
      <c r="W867" s="7"/>
    </row>
    <row r="868" spans="2:23" x14ac:dyDescent="0.2">
      <c r="B868" s="3"/>
      <c r="C868" s="3"/>
      <c r="D868" s="3"/>
      <c r="E868" s="4"/>
      <c r="F868" s="4"/>
      <c r="G868" s="4"/>
      <c r="H868" s="4"/>
      <c r="I868" s="4"/>
      <c r="J868" s="4"/>
      <c r="K868" s="4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7"/>
      <c r="W868" s="7"/>
    </row>
    <row r="869" spans="2:23" x14ac:dyDescent="0.2">
      <c r="B869" s="3"/>
      <c r="C869" s="3"/>
      <c r="D869" s="3"/>
      <c r="E869" s="4"/>
      <c r="F869" s="4"/>
      <c r="G869" s="4"/>
      <c r="H869" s="4"/>
      <c r="I869" s="4"/>
      <c r="J869" s="4"/>
      <c r="K869" s="4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7"/>
      <c r="W869" s="7"/>
    </row>
    <row r="870" spans="2:23" x14ac:dyDescent="0.2">
      <c r="B870" s="3"/>
      <c r="C870" s="3"/>
      <c r="D870" s="3"/>
      <c r="E870" s="4"/>
      <c r="F870" s="4"/>
      <c r="G870" s="4"/>
      <c r="H870" s="4"/>
      <c r="I870" s="4"/>
      <c r="J870" s="4"/>
      <c r="K870" s="4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7"/>
      <c r="W870" s="7"/>
    </row>
    <row r="871" spans="2:23" x14ac:dyDescent="0.2">
      <c r="B871" s="3"/>
      <c r="C871" s="3"/>
      <c r="D871" s="3"/>
      <c r="E871" s="4"/>
      <c r="F871" s="4"/>
      <c r="G871" s="4"/>
      <c r="H871" s="4"/>
      <c r="I871" s="4"/>
      <c r="J871" s="4"/>
      <c r="K871" s="4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7"/>
      <c r="W871" s="7"/>
    </row>
    <row r="872" spans="2:23" x14ac:dyDescent="0.2">
      <c r="B872" s="3"/>
      <c r="C872" s="3"/>
      <c r="D872" s="3"/>
      <c r="E872" s="4"/>
      <c r="F872" s="4"/>
      <c r="G872" s="4"/>
      <c r="H872" s="4"/>
      <c r="I872" s="4"/>
      <c r="J872" s="4"/>
      <c r="K872" s="4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7"/>
      <c r="W872" s="7"/>
    </row>
    <row r="873" spans="2:23" x14ac:dyDescent="0.2">
      <c r="B873" s="3"/>
      <c r="C873" s="3"/>
      <c r="D873" s="3"/>
      <c r="E873" s="4"/>
      <c r="F873" s="4"/>
      <c r="G873" s="4"/>
      <c r="H873" s="4"/>
      <c r="I873" s="4"/>
      <c r="J873" s="4"/>
      <c r="K873" s="4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7"/>
      <c r="W873" s="7"/>
    </row>
    <row r="874" spans="2:23" x14ac:dyDescent="0.2">
      <c r="B874" s="3"/>
      <c r="C874" s="3"/>
      <c r="D874" s="3"/>
      <c r="E874" s="4"/>
      <c r="F874" s="4"/>
      <c r="G874" s="4"/>
      <c r="H874" s="4"/>
      <c r="I874" s="4"/>
      <c r="J874" s="4"/>
      <c r="K874" s="4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7"/>
      <c r="W874" s="7"/>
    </row>
    <row r="875" spans="2:23" x14ac:dyDescent="0.2">
      <c r="B875" s="3"/>
      <c r="C875" s="3"/>
      <c r="D875" s="3"/>
      <c r="E875" s="4"/>
      <c r="F875" s="4"/>
      <c r="G875" s="4"/>
      <c r="H875" s="4"/>
      <c r="I875" s="4"/>
      <c r="J875" s="4"/>
      <c r="K875" s="4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7"/>
      <c r="W875" s="7"/>
    </row>
    <row r="876" spans="2:23" x14ac:dyDescent="0.2">
      <c r="B876" s="3"/>
      <c r="C876" s="3"/>
      <c r="D876" s="3"/>
      <c r="E876" s="4"/>
      <c r="F876" s="4"/>
      <c r="G876" s="4"/>
      <c r="H876" s="4"/>
      <c r="I876" s="4"/>
      <c r="J876" s="4"/>
      <c r="K876" s="4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7"/>
      <c r="W876" s="7"/>
    </row>
    <row r="877" spans="2:23" x14ac:dyDescent="0.2">
      <c r="B877" s="3"/>
      <c r="C877" s="3"/>
      <c r="D877" s="3"/>
      <c r="E877" s="4"/>
      <c r="F877" s="4"/>
      <c r="G877" s="4"/>
      <c r="H877" s="4"/>
      <c r="I877" s="4"/>
      <c r="J877" s="4"/>
      <c r="K877" s="4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7"/>
      <c r="W877" s="7"/>
    </row>
    <row r="878" spans="2:23" x14ac:dyDescent="0.2">
      <c r="B878" s="3"/>
      <c r="C878" s="3"/>
      <c r="D878" s="3"/>
      <c r="E878" s="4"/>
      <c r="F878" s="4"/>
      <c r="G878" s="4"/>
      <c r="H878" s="4"/>
      <c r="I878" s="4"/>
      <c r="J878" s="4"/>
      <c r="K878" s="4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7"/>
      <c r="W878" s="7"/>
    </row>
    <row r="879" spans="2:23" x14ac:dyDescent="0.2">
      <c r="B879" s="3"/>
      <c r="C879" s="3"/>
      <c r="D879" s="3"/>
      <c r="E879" s="4"/>
      <c r="F879" s="4"/>
      <c r="G879" s="4"/>
      <c r="H879" s="4"/>
      <c r="I879" s="4"/>
      <c r="J879" s="4"/>
      <c r="K879" s="4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7"/>
      <c r="W879" s="7"/>
    </row>
    <row r="880" spans="2:23" x14ac:dyDescent="0.2">
      <c r="B880" s="3"/>
      <c r="C880" s="3"/>
      <c r="D880" s="3"/>
      <c r="E880" s="4"/>
      <c r="F880" s="4"/>
      <c r="G880" s="4"/>
      <c r="H880" s="4"/>
      <c r="I880" s="4"/>
      <c r="J880" s="4"/>
      <c r="K880" s="4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7"/>
      <c r="W880" s="7"/>
    </row>
    <row r="881" spans="2:23" x14ac:dyDescent="0.2">
      <c r="B881" s="3"/>
      <c r="C881" s="3"/>
      <c r="D881" s="3"/>
      <c r="E881" s="4"/>
      <c r="F881" s="4"/>
      <c r="G881" s="4"/>
      <c r="H881" s="4"/>
      <c r="I881" s="4"/>
      <c r="J881" s="4"/>
      <c r="K881" s="4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7"/>
      <c r="W881" s="7"/>
    </row>
    <row r="882" spans="2:23" x14ac:dyDescent="0.2">
      <c r="B882" s="3"/>
      <c r="C882" s="3"/>
      <c r="D882" s="3"/>
      <c r="E882" s="4"/>
      <c r="F882" s="4"/>
      <c r="G882" s="4"/>
      <c r="H882" s="4"/>
      <c r="I882" s="4"/>
      <c r="J882" s="4"/>
      <c r="K882" s="4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7"/>
      <c r="W882" s="7"/>
    </row>
    <row r="883" spans="2:23" x14ac:dyDescent="0.2">
      <c r="B883" s="3"/>
      <c r="C883" s="3"/>
      <c r="D883" s="3"/>
      <c r="E883" s="4"/>
      <c r="F883" s="4"/>
      <c r="G883" s="4"/>
      <c r="H883" s="4"/>
      <c r="I883" s="4"/>
      <c r="J883" s="4"/>
      <c r="K883" s="4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7"/>
      <c r="W883" s="7"/>
    </row>
    <row r="884" spans="2:23" x14ac:dyDescent="0.2">
      <c r="B884" s="3"/>
      <c r="C884" s="3"/>
      <c r="D884" s="3"/>
      <c r="E884" s="4"/>
      <c r="F884" s="4"/>
      <c r="G884" s="4"/>
      <c r="H884" s="4"/>
      <c r="I884" s="4"/>
      <c r="J884" s="4"/>
      <c r="K884" s="4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7"/>
      <c r="W884" s="7"/>
    </row>
    <row r="885" spans="2:23" x14ac:dyDescent="0.2">
      <c r="B885" s="3"/>
      <c r="C885" s="3"/>
      <c r="D885" s="3"/>
      <c r="E885" s="4"/>
      <c r="F885" s="4"/>
      <c r="G885" s="4"/>
      <c r="H885" s="4"/>
      <c r="I885" s="4"/>
      <c r="J885" s="4"/>
      <c r="K885" s="4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7"/>
      <c r="W885" s="7"/>
    </row>
    <row r="886" spans="2:23" x14ac:dyDescent="0.2">
      <c r="B886" s="3"/>
      <c r="C886" s="3"/>
      <c r="D886" s="3"/>
      <c r="E886" s="4"/>
      <c r="F886" s="4"/>
      <c r="G886" s="4"/>
      <c r="H886" s="4"/>
      <c r="I886" s="4"/>
      <c r="J886" s="4"/>
      <c r="K886" s="4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7"/>
      <c r="W886" s="7"/>
    </row>
    <row r="887" spans="2:23" x14ac:dyDescent="0.2">
      <c r="B887" s="3"/>
      <c r="C887" s="3"/>
      <c r="D887" s="3"/>
      <c r="E887" s="4"/>
      <c r="F887" s="4"/>
      <c r="G887" s="4"/>
      <c r="H887" s="4"/>
      <c r="I887" s="4"/>
      <c r="J887" s="4"/>
      <c r="K887" s="4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7"/>
      <c r="W887" s="7"/>
    </row>
    <row r="888" spans="2:23" x14ac:dyDescent="0.2">
      <c r="B888" s="3"/>
      <c r="C888" s="3"/>
      <c r="D888" s="3"/>
      <c r="E888" s="4"/>
      <c r="F888" s="4"/>
      <c r="G888" s="4"/>
      <c r="H888" s="4"/>
      <c r="I888" s="4"/>
      <c r="J888" s="4"/>
      <c r="K888" s="4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7"/>
      <c r="W888" s="7"/>
    </row>
    <row r="889" spans="2:23" x14ac:dyDescent="0.2">
      <c r="B889" s="3"/>
      <c r="C889" s="3"/>
      <c r="D889" s="3"/>
      <c r="E889" s="4"/>
      <c r="F889" s="4"/>
      <c r="G889" s="4"/>
      <c r="H889" s="4"/>
      <c r="I889" s="4"/>
      <c r="J889" s="4"/>
      <c r="K889" s="4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7"/>
      <c r="W889" s="7"/>
    </row>
    <row r="890" spans="2:23" x14ac:dyDescent="0.2">
      <c r="B890" s="3"/>
      <c r="C890" s="3"/>
      <c r="D890" s="3"/>
      <c r="E890" s="4"/>
      <c r="F890" s="4"/>
      <c r="G890" s="4"/>
      <c r="H890" s="4"/>
      <c r="I890" s="4"/>
      <c r="J890" s="4"/>
      <c r="K890" s="4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7"/>
      <c r="W890" s="7"/>
    </row>
    <row r="891" spans="2:23" x14ac:dyDescent="0.2">
      <c r="B891" s="3"/>
      <c r="C891" s="3"/>
      <c r="D891" s="3"/>
      <c r="E891" s="4"/>
      <c r="F891" s="4"/>
      <c r="G891" s="4"/>
      <c r="H891" s="4"/>
      <c r="I891" s="4"/>
      <c r="J891" s="4"/>
      <c r="K891" s="4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7"/>
      <c r="W891" s="7"/>
    </row>
    <row r="892" spans="2:23" x14ac:dyDescent="0.2">
      <c r="B892" s="3"/>
      <c r="C892" s="3"/>
      <c r="D892" s="3"/>
      <c r="E892" s="4"/>
      <c r="F892" s="4"/>
      <c r="G892" s="4"/>
      <c r="H892" s="4"/>
      <c r="I892" s="4"/>
      <c r="J892" s="4"/>
      <c r="K892" s="4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7"/>
      <c r="W892" s="7"/>
    </row>
    <row r="893" spans="2:23" x14ac:dyDescent="0.2">
      <c r="B893" s="3"/>
      <c r="C893" s="3"/>
      <c r="D893" s="3"/>
      <c r="E893" s="4"/>
      <c r="F893" s="4"/>
      <c r="G893" s="4"/>
      <c r="H893" s="4"/>
      <c r="I893" s="4"/>
      <c r="J893" s="4"/>
      <c r="K893" s="4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7"/>
      <c r="W893" s="7"/>
    </row>
    <row r="894" spans="2:23" x14ac:dyDescent="0.2">
      <c r="B894" s="3"/>
      <c r="C894" s="3"/>
      <c r="D894" s="3"/>
      <c r="E894" s="4"/>
      <c r="F894" s="4"/>
      <c r="G894" s="4"/>
      <c r="H894" s="4"/>
      <c r="I894" s="4"/>
      <c r="J894" s="4"/>
      <c r="K894" s="4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7"/>
      <c r="W894" s="7"/>
    </row>
    <row r="895" spans="2:23" x14ac:dyDescent="0.2">
      <c r="B895" s="3"/>
      <c r="C895" s="3"/>
      <c r="D895" s="3"/>
      <c r="E895" s="4"/>
      <c r="F895" s="4"/>
      <c r="G895" s="4"/>
      <c r="H895" s="4"/>
      <c r="I895" s="4"/>
      <c r="J895" s="4"/>
      <c r="K895" s="4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7"/>
      <c r="W895" s="7"/>
    </row>
    <row r="896" spans="2:23" x14ac:dyDescent="0.2">
      <c r="B896" s="3"/>
      <c r="C896" s="3"/>
      <c r="D896" s="3"/>
      <c r="E896" s="4"/>
      <c r="F896" s="4"/>
      <c r="G896" s="4"/>
      <c r="H896" s="4"/>
      <c r="I896" s="4"/>
      <c r="J896" s="4"/>
      <c r="K896" s="4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7"/>
      <c r="W896" s="7"/>
    </row>
    <row r="897" spans="2:23" x14ac:dyDescent="0.2">
      <c r="B897" s="3"/>
      <c r="C897" s="3"/>
      <c r="D897" s="3"/>
      <c r="E897" s="4"/>
      <c r="F897" s="4"/>
      <c r="G897" s="4"/>
      <c r="H897" s="4"/>
      <c r="I897" s="4"/>
      <c r="J897" s="4"/>
      <c r="K897" s="4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7"/>
      <c r="W897" s="7"/>
    </row>
    <row r="898" spans="2:23" x14ac:dyDescent="0.2">
      <c r="B898" s="3"/>
      <c r="C898" s="3"/>
      <c r="D898" s="3"/>
      <c r="E898" s="4"/>
      <c r="F898" s="4"/>
      <c r="G898" s="4"/>
      <c r="H898" s="4"/>
      <c r="I898" s="4"/>
      <c r="J898" s="4"/>
      <c r="K898" s="4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7"/>
      <c r="W898" s="7"/>
    </row>
    <row r="899" spans="2:23" x14ac:dyDescent="0.2">
      <c r="B899" s="3"/>
      <c r="C899" s="3"/>
      <c r="D899" s="3"/>
      <c r="E899" s="4"/>
      <c r="F899" s="4"/>
      <c r="G899" s="4"/>
      <c r="H899" s="4"/>
      <c r="I899" s="4"/>
      <c r="J899" s="4"/>
      <c r="K899" s="4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7"/>
      <c r="W899" s="7"/>
    </row>
    <row r="900" spans="2:23" x14ac:dyDescent="0.2">
      <c r="B900" s="3"/>
      <c r="C900" s="3"/>
      <c r="D900" s="3"/>
      <c r="E900" s="4"/>
      <c r="F900" s="4"/>
      <c r="G900" s="4"/>
      <c r="H900" s="4"/>
      <c r="I900" s="4"/>
      <c r="J900" s="4"/>
      <c r="K900" s="4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7"/>
      <c r="W900" s="7"/>
    </row>
    <row r="901" spans="2:23" x14ac:dyDescent="0.2">
      <c r="B901" s="3"/>
      <c r="C901" s="3"/>
      <c r="D901" s="3"/>
      <c r="E901" s="4"/>
      <c r="F901" s="4"/>
      <c r="G901" s="4"/>
      <c r="H901" s="4"/>
      <c r="I901" s="4"/>
      <c r="J901" s="4"/>
      <c r="K901" s="4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7"/>
      <c r="W901" s="7"/>
    </row>
    <row r="902" spans="2:23" x14ac:dyDescent="0.2">
      <c r="B902" s="3"/>
      <c r="C902" s="3"/>
      <c r="D902" s="3"/>
      <c r="E902" s="4"/>
      <c r="F902" s="4"/>
      <c r="G902" s="4"/>
      <c r="H902" s="4"/>
      <c r="I902" s="4"/>
      <c r="J902" s="4"/>
      <c r="K902" s="4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7"/>
      <c r="W902" s="7"/>
    </row>
    <row r="903" spans="2:23" x14ac:dyDescent="0.2">
      <c r="B903" s="3"/>
      <c r="C903" s="3"/>
      <c r="D903" s="3"/>
      <c r="E903" s="4"/>
      <c r="F903" s="4"/>
      <c r="G903" s="4"/>
      <c r="H903" s="4"/>
      <c r="I903" s="4"/>
      <c r="J903" s="4"/>
      <c r="K903" s="4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7"/>
      <c r="W903" s="7"/>
    </row>
    <row r="904" spans="2:23" x14ac:dyDescent="0.2">
      <c r="B904" s="3"/>
      <c r="C904" s="3"/>
      <c r="D904" s="3"/>
      <c r="E904" s="4"/>
      <c r="F904" s="4"/>
      <c r="G904" s="4"/>
      <c r="H904" s="4"/>
      <c r="I904" s="4"/>
      <c r="J904" s="4"/>
      <c r="K904" s="4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7"/>
      <c r="W904" s="7"/>
    </row>
    <row r="905" spans="2:23" x14ac:dyDescent="0.2">
      <c r="B905" s="3"/>
      <c r="C905" s="3"/>
      <c r="D905" s="3"/>
      <c r="E905" s="4"/>
      <c r="F905" s="4"/>
      <c r="G905" s="4"/>
      <c r="H905" s="4"/>
      <c r="I905" s="4"/>
      <c r="J905" s="4"/>
      <c r="K905" s="4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7"/>
      <c r="W905" s="7"/>
    </row>
    <row r="906" spans="2:23" x14ac:dyDescent="0.2">
      <c r="B906" s="3"/>
      <c r="C906" s="3"/>
      <c r="D906" s="3"/>
      <c r="E906" s="4"/>
      <c r="F906" s="4"/>
      <c r="G906" s="4"/>
      <c r="H906" s="4"/>
      <c r="I906" s="4"/>
      <c r="J906" s="4"/>
      <c r="K906" s="4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7"/>
      <c r="W906" s="7"/>
    </row>
    <row r="907" spans="2:23" x14ac:dyDescent="0.2">
      <c r="B907" s="3"/>
      <c r="C907" s="3"/>
      <c r="D907" s="3"/>
      <c r="E907" s="4"/>
      <c r="F907" s="4"/>
      <c r="G907" s="4"/>
      <c r="H907" s="4"/>
      <c r="I907" s="4"/>
      <c r="J907" s="4"/>
      <c r="K907" s="4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7"/>
      <c r="W907" s="7"/>
    </row>
    <row r="908" spans="2:23" x14ac:dyDescent="0.2">
      <c r="B908" s="3"/>
      <c r="C908" s="3"/>
      <c r="D908" s="3"/>
      <c r="E908" s="4"/>
      <c r="F908" s="4"/>
      <c r="G908" s="4"/>
      <c r="H908" s="4"/>
      <c r="I908" s="4"/>
      <c r="J908" s="4"/>
      <c r="K908" s="4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7"/>
      <c r="W908" s="7"/>
    </row>
    <row r="909" spans="2:23" x14ac:dyDescent="0.2">
      <c r="B909" s="3"/>
      <c r="C909" s="3"/>
      <c r="D909" s="3"/>
      <c r="E909" s="4"/>
      <c r="F909" s="4"/>
      <c r="G909" s="4"/>
      <c r="H909" s="4"/>
      <c r="I909" s="4"/>
      <c r="J909" s="4"/>
      <c r="K909" s="4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7"/>
      <c r="W909" s="7"/>
    </row>
    <row r="910" spans="2:23" x14ac:dyDescent="0.2">
      <c r="B910" s="3"/>
      <c r="C910" s="3"/>
      <c r="D910" s="3"/>
      <c r="E910" s="4"/>
      <c r="F910" s="4"/>
      <c r="G910" s="4"/>
      <c r="H910" s="4"/>
      <c r="I910" s="4"/>
      <c r="J910" s="4"/>
      <c r="K910" s="4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7"/>
      <c r="W910" s="7"/>
    </row>
    <row r="911" spans="2:23" x14ac:dyDescent="0.2">
      <c r="B911" s="3"/>
      <c r="C911" s="3"/>
      <c r="D911" s="3"/>
      <c r="E911" s="4"/>
      <c r="F911" s="4"/>
      <c r="G911" s="4"/>
      <c r="H911" s="4"/>
      <c r="I911" s="4"/>
      <c r="J911" s="4"/>
      <c r="K911" s="4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7"/>
      <c r="W911" s="7"/>
    </row>
    <row r="912" spans="2:23" x14ac:dyDescent="0.2">
      <c r="B912" s="3"/>
      <c r="C912" s="3"/>
      <c r="D912" s="3"/>
      <c r="E912" s="4"/>
      <c r="F912" s="4"/>
      <c r="G912" s="4"/>
      <c r="H912" s="4"/>
      <c r="I912" s="4"/>
      <c r="J912" s="4"/>
      <c r="K912" s="4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7"/>
      <c r="W912" s="7"/>
    </row>
    <row r="913" spans="2:23" x14ac:dyDescent="0.2">
      <c r="B913" s="3"/>
      <c r="C913" s="3"/>
      <c r="D913" s="3"/>
      <c r="E913" s="4"/>
      <c r="F913" s="4"/>
      <c r="G913" s="4"/>
      <c r="H913" s="4"/>
      <c r="I913" s="4"/>
      <c r="J913" s="4"/>
      <c r="K913" s="4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7"/>
      <c r="W913" s="7"/>
    </row>
    <row r="914" spans="2:23" x14ac:dyDescent="0.2">
      <c r="B914" s="3"/>
      <c r="C914" s="3"/>
      <c r="D914" s="3"/>
      <c r="E914" s="4"/>
      <c r="F914" s="4"/>
      <c r="G914" s="4"/>
      <c r="H914" s="4"/>
      <c r="I914" s="4"/>
      <c r="J914" s="4"/>
      <c r="K914" s="4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7"/>
      <c r="W914" s="7"/>
    </row>
    <row r="915" spans="2:23" x14ac:dyDescent="0.2">
      <c r="B915" s="3"/>
      <c r="C915" s="3"/>
      <c r="D915" s="3"/>
      <c r="E915" s="4"/>
      <c r="F915" s="4"/>
      <c r="G915" s="4"/>
      <c r="H915" s="4"/>
      <c r="I915" s="4"/>
      <c r="J915" s="4"/>
      <c r="K915" s="4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7"/>
      <c r="W915" s="7"/>
    </row>
    <row r="916" spans="2:23" x14ac:dyDescent="0.2">
      <c r="B916" s="3"/>
      <c r="C916" s="3"/>
      <c r="D916" s="3"/>
      <c r="E916" s="4"/>
      <c r="F916" s="4"/>
      <c r="G916" s="4"/>
      <c r="H916" s="4"/>
      <c r="I916" s="4"/>
      <c r="J916" s="4"/>
      <c r="K916" s="4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7"/>
      <c r="W916" s="7"/>
    </row>
    <row r="917" spans="2:23" x14ac:dyDescent="0.2">
      <c r="B917" s="3"/>
      <c r="C917" s="3"/>
      <c r="D917" s="3"/>
      <c r="E917" s="4"/>
      <c r="F917" s="4"/>
      <c r="G917" s="4"/>
      <c r="H917" s="4"/>
      <c r="I917" s="4"/>
      <c r="J917" s="4"/>
      <c r="K917" s="4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7"/>
      <c r="W917" s="7"/>
    </row>
    <row r="918" spans="2:23" x14ac:dyDescent="0.2">
      <c r="B918" s="3"/>
      <c r="C918" s="3"/>
      <c r="D918" s="3"/>
      <c r="E918" s="4"/>
      <c r="F918" s="4"/>
      <c r="G918" s="4"/>
      <c r="H918" s="4"/>
      <c r="I918" s="4"/>
      <c r="J918" s="4"/>
      <c r="K918" s="4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7"/>
      <c r="W918" s="7"/>
    </row>
    <row r="919" spans="2:23" x14ac:dyDescent="0.2">
      <c r="B919" s="3"/>
      <c r="C919" s="3"/>
      <c r="D919" s="3"/>
      <c r="E919" s="4"/>
      <c r="F919" s="4"/>
      <c r="G919" s="4"/>
      <c r="H919" s="4"/>
      <c r="I919" s="4"/>
      <c r="J919" s="4"/>
      <c r="K919" s="4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7"/>
      <c r="W919" s="7"/>
    </row>
    <row r="920" spans="2:23" x14ac:dyDescent="0.2">
      <c r="B920" s="3"/>
      <c r="C920" s="3"/>
      <c r="D920" s="3"/>
      <c r="E920" s="4"/>
      <c r="F920" s="4"/>
      <c r="G920" s="4"/>
      <c r="H920" s="4"/>
      <c r="I920" s="4"/>
      <c r="J920" s="4"/>
      <c r="K920" s="4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7"/>
      <c r="W920" s="7"/>
    </row>
    <row r="921" spans="2:23" x14ac:dyDescent="0.2">
      <c r="B921" s="3"/>
      <c r="C921" s="3"/>
      <c r="D921" s="3"/>
      <c r="E921" s="4"/>
      <c r="F921" s="4"/>
      <c r="G921" s="4"/>
      <c r="H921" s="4"/>
      <c r="I921" s="4"/>
      <c r="J921" s="4"/>
      <c r="K921" s="4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7"/>
      <c r="W921" s="7"/>
    </row>
    <row r="922" spans="2:23" x14ac:dyDescent="0.2">
      <c r="B922" s="3"/>
      <c r="C922" s="3"/>
      <c r="D922" s="3"/>
      <c r="E922" s="4"/>
      <c r="F922" s="4"/>
      <c r="G922" s="4"/>
      <c r="H922" s="4"/>
      <c r="I922" s="4"/>
      <c r="J922" s="4"/>
      <c r="K922" s="4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7"/>
      <c r="W922" s="7"/>
    </row>
    <row r="923" spans="2:23" x14ac:dyDescent="0.2">
      <c r="B923" s="3"/>
      <c r="C923" s="3"/>
      <c r="D923" s="3"/>
      <c r="E923" s="4"/>
      <c r="F923" s="4"/>
      <c r="G923" s="4"/>
      <c r="H923" s="4"/>
      <c r="I923" s="4"/>
      <c r="J923" s="4"/>
      <c r="K923" s="4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7"/>
      <c r="W923" s="7"/>
    </row>
    <row r="924" spans="2:23" x14ac:dyDescent="0.2">
      <c r="B924" s="3"/>
      <c r="C924" s="3"/>
      <c r="D924" s="3"/>
      <c r="E924" s="4"/>
      <c r="F924" s="4"/>
      <c r="G924" s="4"/>
      <c r="H924" s="4"/>
      <c r="I924" s="4"/>
      <c r="J924" s="4"/>
      <c r="K924" s="4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7"/>
      <c r="W924" s="7"/>
    </row>
    <row r="925" spans="2:23" x14ac:dyDescent="0.2">
      <c r="B925" s="3"/>
      <c r="C925" s="3"/>
      <c r="D925" s="3"/>
      <c r="E925" s="4"/>
      <c r="F925" s="4"/>
      <c r="G925" s="4"/>
      <c r="H925" s="4"/>
      <c r="I925" s="4"/>
      <c r="J925" s="4"/>
      <c r="K925" s="4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7"/>
      <c r="W925" s="7"/>
    </row>
    <row r="926" spans="2:23" x14ac:dyDescent="0.2">
      <c r="B926" s="3"/>
      <c r="C926" s="3"/>
      <c r="D926" s="3"/>
      <c r="E926" s="4"/>
      <c r="F926" s="4"/>
      <c r="G926" s="4"/>
      <c r="H926" s="4"/>
      <c r="I926" s="4"/>
      <c r="J926" s="4"/>
      <c r="K926" s="4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7"/>
      <c r="W926" s="7"/>
    </row>
    <row r="927" spans="2:23" x14ac:dyDescent="0.2">
      <c r="B927" s="3"/>
      <c r="C927" s="3"/>
      <c r="D927" s="3"/>
      <c r="E927" s="4"/>
      <c r="F927" s="4"/>
      <c r="G927" s="4"/>
      <c r="H927" s="4"/>
      <c r="I927" s="4"/>
      <c r="J927" s="4"/>
      <c r="K927" s="4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7"/>
      <c r="W927" s="7"/>
    </row>
    <row r="928" spans="2:23" x14ac:dyDescent="0.2">
      <c r="B928" s="3"/>
      <c r="C928" s="3"/>
      <c r="D928" s="3"/>
      <c r="E928" s="4"/>
      <c r="F928" s="4"/>
      <c r="G928" s="4"/>
      <c r="H928" s="4"/>
      <c r="I928" s="4"/>
      <c r="J928" s="4"/>
      <c r="K928" s="4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7"/>
      <c r="W928" s="7"/>
    </row>
    <row r="929" spans="2:23" x14ac:dyDescent="0.2">
      <c r="B929" s="3"/>
      <c r="C929" s="3"/>
      <c r="D929" s="3"/>
      <c r="E929" s="4"/>
      <c r="F929" s="4"/>
      <c r="G929" s="4"/>
      <c r="H929" s="4"/>
      <c r="I929" s="4"/>
      <c r="J929" s="4"/>
      <c r="K929" s="4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7"/>
      <c r="W929" s="7"/>
    </row>
    <row r="930" spans="2:23" x14ac:dyDescent="0.2">
      <c r="B930" s="3"/>
      <c r="C930" s="3"/>
      <c r="D930" s="3"/>
      <c r="E930" s="4"/>
      <c r="F930" s="4"/>
      <c r="G930" s="4"/>
      <c r="H930" s="4"/>
      <c r="I930" s="4"/>
      <c r="J930" s="4"/>
      <c r="K930" s="4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7"/>
      <c r="W930" s="7"/>
    </row>
    <row r="931" spans="2:23" x14ac:dyDescent="0.2">
      <c r="B931" s="3"/>
      <c r="C931" s="3"/>
      <c r="D931" s="3"/>
      <c r="E931" s="4"/>
      <c r="F931" s="4"/>
      <c r="G931" s="4"/>
      <c r="H931" s="4"/>
      <c r="I931" s="4"/>
      <c r="J931" s="4"/>
      <c r="K931" s="4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7"/>
      <c r="W931" s="7"/>
    </row>
    <row r="932" spans="2:23" x14ac:dyDescent="0.2">
      <c r="B932" s="3"/>
      <c r="C932" s="3"/>
      <c r="D932" s="3"/>
      <c r="E932" s="4"/>
      <c r="F932" s="4"/>
      <c r="G932" s="4"/>
      <c r="H932" s="4"/>
      <c r="I932" s="4"/>
      <c r="J932" s="4"/>
      <c r="K932" s="4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7"/>
      <c r="W932" s="7"/>
    </row>
    <row r="933" spans="2:23" x14ac:dyDescent="0.2">
      <c r="B933" s="3"/>
      <c r="C933" s="3"/>
      <c r="D933" s="3"/>
      <c r="E933" s="4"/>
      <c r="F933" s="4"/>
      <c r="G933" s="4"/>
      <c r="H933" s="4"/>
      <c r="I933" s="4"/>
      <c r="J933" s="4"/>
      <c r="K933" s="4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7"/>
      <c r="W933" s="7"/>
    </row>
    <row r="934" spans="2:23" x14ac:dyDescent="0.2">
      <c r="B934" s="3"/>
      <c r="C934" s="3"/>
      <c r="D934" s="3"/>
      <c r="E934" s="4"/>
      <c r="F934" s="4"/>
      <c r="G934" s="4"/>
      <c r="H934" s="4"/>
      <c r="I934" s="4"/>
      <c r="J934" s="4"/>
      <c r="K934" s="4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7"/>
      <c r="W934" s="7"/>
    </row>
    <row r="935" spans="2:23" x14ac:dyDescent="0.2">
      <c r="B935" s="3"/>
      <c r="C935" s="3"/>
      <c r="D935" s="3"/>
      <c r="E935" s="4"/>
      <c r="F935" s="4"/>
      <c r="G935" s="4"/>
      <c r="H935" s="4"/>
      <c r="I935" s="4"/>
      <c r="J935" s="4"/>
      <c r="K935" s="4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7"/>
      <c r="W935" s="7"/>
    </row>
    <row r="936" spans="2:23" x14ac:dyDescent="0.2">
      <c r="B936" s="3"/>
      <c r="C936" s="3"/>
      <c r="D936" s="3"/>
      <c r="E936" s="4"/>
      <c r="F936" s="4"/>
      <c r="G936" s="4"/>
      <c r="H936" s="4"/>
      <c r="I936" s="4"/>
      <c r="J936" s="4"/>
      <c r="K936" s="4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7"/>
      <c r="W936" s="7"/>
    </row>
    <row r="937" spans="2:23" x14ac:dyDescent="0.2">
      <c r="B937" s="3"/>
      <c r="C937" s="3"/>
      <c r="D937" s="3"/>
      <c r="E937" s="4"/>
      <c r="F937" s="4"/>
      <c r="G937" s="4"/>
      <c r="H937" s="4"/>
      <c r="I937" s="4"/>
      <c r="J937" s="4"/>
      <c r="K937" s="4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7"/>
      <c r="W937" s="7"/>
    </row>
    <row r="938" spans="2:23" x14ac:dyDescent="0.2">
      <c r="B938" s="3"/>
      <c r="C938" s="3"/>
      <c r="D938" s="3"/>
      <c r="E938" s="4"/>
      <c r="F938" s="4"/>
      <c r="G938" s="4"/>
      <c r="H938" s="4"/>
      <c r="I938" s="4"/>
      <c r="J938" s="4"/>
      <c r="K938" s="4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7"/>
      <c r="W938" s="7"/>
    </row>
    <row r="939" spans="2:23" x14ac:dyDescent="0.2">
      <c r="B939" s="3"/>
      <c r="C939" s="3"/>
      <c r="D939" s="3"/>
      <c r="E939" s="4"/>
      <c r="F939" s="4"/>
      <c r="G939" s="4"/>
      <c r="H939" s="4"/>
      <c r="I939" s="4"/>
      <c r="J939" s="4"/>
      <c r="K939" s="4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7"/>
      <c r="W939" s="7"/>
    </row>
    <row r="940" spans="2:23" x14ac:dyDescent="0.2">
      <c r="B940" s="3"/>
      <c r="C940" s="3"/>
      <c r="D940" s="3"/>
      <c r="E940" s="4"/>
      <c r="F940" s="4"/>
      <c r="G940" s="4"/>
      <c r="H940" s="4"/>
      <c r="I940" s="4"/>
      <c r="J940" s="4"/>
      <c r="K940" s="4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7"/>
      <c r="W940" s="7"/>
    </row>
    <row r="941" spans="2:23" x14ac:dyDescent="0.2">
      <c r="B941" s="3"/>
      <c r="C941" s="3"/>
      <c r="D941" s="3"/>
      <c r="E941" s="4"/>
      <c r="F941" s="4"/>
      <c r="G941" s="4"/>
      <c r="H941" s="4"/>
      <c r="I941" s="4"/>
      <c r="J941" s="4"/>
      <c r="K941" s="4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7"/>
      <c r="W941" s="7"/>
    </row>
    <row r="942" spans="2:23" x14ac:dyDescent="0.2">
      <c r="B942" s="3"/>
      <c r="C942" s="3"/>
      <c r="D942" s="3"/>
      <c r="E942" s="4"/>
      <c r="F942" s="4"/>
      <c r="G942" s="4"/>
      <c r="H942" s="4"/>
      <c r="I942" s="4"/>
      <c r="J942" s="4"/>
      <c r="K942" s="4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7"/>
      <c r="W942" s="7"/>
    </row>
    <row r="943" spans="2:23" x14ac:dyDescent="0.2">
      <c r="B943" s="3"/>
      <c r="C943" s="3"/>
      <c r="D943" s="3"/>
      <c r="E943" s="4"/>
      <c r="F943" s="4"/>
      <c r="G943" s="4"/>
      <c r="H943" s="4"/>
      <c r="I943" s="4"/>
      <c r="J943" s="4"/>
      <c r="K943" s="4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7"/>
      <c r="W943" s="7"/>
    </row>
    <row r="944" spans="2:23" x14ac:dyDescent="0.2">
      <c r="B944" s="3"/>
      <c r="C944" s="3"/>
      <c r="D944" s="3"/>
      <c r="E944" s="4"/>
      <c r="F944" s="4"/>
      <c r="G944" s="4"/>
      <c r="H944" s="4"/>
      <c r="I944" s="4"/>
      <c r="J944" s="4"/>
      <c r="K944" s="4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7"/>
      <c r="W944" s="7"/>
    </row>
    <row r="945" spans="2:23" x14ac:dyDescent="0.2">
      <c r="B945" s="3"/>
      <c r="C945" s="3"/>
      <c r="D945" s="3"/>
      <c r="E945" s="4"/>
      <c r="F945" s="4"/>
      <c r="G945" s="4"/>
      <c r="H945" s="4"/>
      <c r="I945" s="4"/>
      <c r="J945" s="4"/>
      <c r="K945" s="4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7"/>
      <c r="W945" s="7"/>
    </row>
    <row r="946" spans="2:23" x14ac:dyDescent="0.2">
      <c r="B946" s="3"/>
      <c r="C946" s="3"/>
      <c r="D946" s="3"/>
      <c r="E946" s="4"/>
      <c r="F946" s="4"/>
      <c r="G946" s="4"/>
      <c r="H946" s="4"/>
      <c r="I946" s="4"/>
      <c r="J946" s="4"/>
      <c r="K946" s="4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7"/>
      <c r="W946" s="7"/>
    </row>
    <row r="947" spans="2:23" x14ac:dyDescent="0.2">
      <c r="B947" s="3"/>
      <c r="C947" s="3"/>
      <c r="D947" s="3"/>
      <c r="E947" s="4"/>
      <c r="F947" s="4"/>
      <c r="G947" s="4"/>
      <c r="H947" s="4"/>
      <c r="I947" s="4"/>
      <c r="J947" s="4"/>
      <c r="K947" s="4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7"/>
      <c r="W947" s="7"/>
    </row>
    <row r="948" spans="2:23" x14ac:dyDescent="0.2">
      <c r="B948" s="3"/>
      <c r="C948" s="3"/>
      <c r="D948" s="3"/>
      <c r="E948" s="4"/>
      <c r="F948" s="4"/>
      <c r="G948" s="4"/>
      <c r="H948" s="4"/>
      <c r="I948" s="4"/>
      <c r="J948" s="4"/>
      <c r="K948" s="4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7"/>
      <c r="W948" s="7"/>
    </row>
    <row r="949" spans="2:23" x14ac:dyDescent="0.2">
      <c r="B949" s="3"/>
      <c r="C949" s="3"/>
      <c r="D949" s="3"/>
      <c r="E949" s="4"/>
      <c r="F949" s="4"/>
      <c r="G949" s="4"/>
      <c r="H949" s="4"/>
      <c r="I949" s="4"/>
      <c r="J949" s="4"/>
      <c r="K949" s="4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7"/>
      <c r="W949" s="7"/>
    </row>
    <row r="950" spans="2:23" x14ac:dyDescent="0.2">
      <c r="B950" s="3"/>
      <c r="C950" s="3"/>
      <c r="D950" s="3"/>
      <c r="E950" s="4"/>
      <c r="F950" s="4"/>
      <c r="G950" s="4"/>
      <c r="H950" s="4"/>
      <c r="I950" s="4"/>
      <c r="J950" s="4"/>
      <c r="K950" s="4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7"/>
      <c r="W950" s="7"/>
    </row>
    <row r="951" spans="2:23" x14ac:dyDescent="0.2">
      <c r="B951" s="3"/>
      <c r="C951" s="3"/>
      <c r="D951" s="3"/>
      <c r="E951" s="4"/>
      <c r="F951" s="4"/>
      <c r="G951" s="4"/>
      <c r="H951" s="4"/>
      <c r="I951" s="4"/>
      <c r="J951" s="4"/>
      <c r="K951" s="4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7"/>
      <c r="W951" s="7"/>
    </row>
    <row r="952" spans="2:23" x14ac:dyDescent="0.2">
      <c r="B952" s="3"/>
      <c r="C952" s="3"/>
      <c r="D952" s="3"/>
      <c r="E952" s="4"/>
      <c r="F952" s="4"/>
      <c r="G952" s="4"/>
      <c r="H952" s="4"/>
      <c r="I952" s="4"/>
      <c r="J952" s="4"/>
      <c r="K952" s="4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7"/>
      <c r="W952" s="7"/>
    </row>
    <row r="953" spans="2:23" x14ac:dyDescent="0.2">
      <c r="B953" s="3"/>
      <c r="C953" s="3"/>
      <c r="D953" s="3"/>
      <c r="E953" s="4"/>
      <c r="F953" s="4"/>
      <c r="G953" s="4"/>
      <c r="H953" s="4"/>
      <c r="I953" s="4"/>
      <c r="J953" s="4"/>
      <c r="K953" s="4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7"/>
      <c r="W953" s="7"/>
    </row>
    <row r="954" spans="2:23" x14ac:dyDescent="0.2">
      <c r="B954" s="3"/>
      <c r="C954" s="3"/>
      <c r="D954" s="3"/>
      <c r="E954" s="4"/>
      <c r="F954" s="4"/>
      <c r="G954" s="4"/>
      <c r="H954" s="4"/>
      <c r="I954" s="4"/>
      <c r="J954" s="4"/>
      <c r="K954" s="4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7"/>
      <c r="W954" s="7"/>
    </row>
    <row r="955" spans="2:23" x14ac:dyDescent="0.2">
      <c r="B955" s="3"/>
      <c r="C955" s="3"/>
      <c r="D955" s="3"/>
      <c r="E955" s="4"/>
      <c r="F955" s="4"/>
      <c r="G955" s="4"/>
      <c r="H955" s="4"/>
      <c r="I955" s="4"/>
      <c r="J955" s="4"/>
      <c r="K955" s="4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7"/>
      <c r="W955" s="7"/>
    </row>
    <row r="956" spans="2:23" x14ac:dyDescent="0.2">
      <c r="B956" s="3"/>
      <c r="C956" s="3"/>
      <c r="D956" s="3"/>
      <c r="E956" s="4"/>
      <c r="F956" s="4"/>
      <c r="G956" s="4"/>
      <c r="H956" s="4"/>
      <c r="I956" s="4"/>
      <c r="J956" s="4"/>
      <c r="K956" s="4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7"/>
      <c r="W956" s="7"/>
    </row>
    <row r="957" spans="2:23" x14ac:dyDescent="0.2">
      <c r="B957" s="3"/>
      <c r="C957" s="3"/>
      <c r="D957" s="3"/>
      <c r="E957" s="4"/>
      <c r="F957" s="4"/>
      <c r="G957" s="4"/>
      <c r="H957" s="4"/>
      <c r="I957" s="4"/>
      <c r="J957" s="4"/>
      <c r="K957" s="4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7"/>
      <c r="W957" s="7"/>
    </row>
    <row r="958" spans="2:23" x14ac:dyDescent="0.2">
      <c r="B958" s="3"/>
      <c r="C958" s="3"/>
      <c r="D958" s="3"/>
      <c r="E958" s="4"/>
      <c r="F958" s="4"/>
      <c r="G958" s="4"/>
      <c r="H958" s="4"/>
      <c r="I958" s="4"/>
      <c r="J958" s="4"/>
      <c r="K958" s="4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7"/>
      <c r="W958" s="7"/>
    </row>
    <row r="959" spans="2:23" x14ac:dyDescent="0.2">
      <c r="B959" s="3"/>
      <c r="C959" s="3"/>
      <c r="D959" s="3"/>
      <c r="E959" s="4"/>
      <c r="F959" s="4"/>
      <c r="G959" s="4"/>
      <c r="H959" s="4"/>
      <c r="I959" s="4"/>
      <c r="J959" s="4"/>
      <c r="K959" s="4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7"/>
      <c r="W959" s="7"/>
    </row>
    <row r="960" spans="2:23" x14ac:dyDescent="0.2">
      <c r="B960" s="3"/>
      <c r="C960" s="3"/>
      <c r="D960" s="3"/>
      <c r="E960" s="4"/>
      <c r="F960" s="4"/>
      <c r="G960" s="4"/>
      <c r="H960" s="4"/>
      <c r="I960" s="4"/>
      <c r="J960" s="4"/>
      <c r="K960" s="4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7"/>
      <c r="W960" s="7"/>
    </row>
    <row r="961" spans="2:23" x14ac:dyDescent="0.2">
      <c r="B961" s="3"/>
      <c r="C961" s="3"/>
      <c r="D961" s="3"/>
      <c r="E961" s="4"/>
      <c r="F961" s="4"/>
      <c r="G961" s="4"/>
      <c r="H961" s="4"/>
      <c r="I961" s="4"/>
      <c r="J961" s="4"/>
      <c r="K961" s="4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7"/>
      <c r="W961" s="7"/>
    </row>
    <row r="962" spans="2:23" x14ac:dyDescent="0.2">
      <c r="B962" s="3"/>
      <c r="C962" s="3"/>
      <c r="D962" s="3"/>
      <c r="E962" s="4"/>
      <c r="F962" s="4"/>
      <c r="G962" s="4"/>
      <c r="H962" s="4"/>
      <c r="I962" s="4"/>
      <c r="J962" s="4"/>
      <c r="K962" s="4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7"/>
      <c r="W962" s="7"/>
    </row>
    <row r="963" spans="2:23" x14ac:dyDescent="0.2">
      <c r="B963" s="3"/>
      <c r="C963" s="3"/>
      <c r="D963" s="3"/>
      <c r="E963" s="4"/>
      <c r="F963" s="4"/>
      <c r="G963" s="4"/>
      <c r="H963" s="4"/>
      <c r="I963" s="4"/>
      <c r="J963" s="4"/>
      <c r="K963" s="4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7"/>
      <c r="W963" s="7"/>
    </row>
    <row r="964" spans="2:23" x14ac:dyDescent="0.2">
      <c r="B964" s="3"/>
      <c r="C964" s="3"/>
      <c r="D964" s="3"/>
      <c r="E964" s="4"/>
      <c r="F964" s="4"/>
      <c r="G964" s="4"/>
      <c r="H964" s="4"/>
      <c r="I964" s="4"/>
      <c r="J964" s="4"/>
      <c r="K964" s="4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7"/>
      <c r="W964" s="7"/>
    </row>
    <row r="965" spans="2:23" x14ac:dyDescent="0.2">
      <c r="B965" s="3"/>
      <c r="C965" s="3"/>
      <c r="D965" s="3"/>
      <c r="E965" s="4"/>
      <c r="F965" s="4"/>
      <c r="G965" s="4"/>
      <c r="H965" s="4"/>
      <c r="I965" s="4"/>
      <c r="J965" s="4"/>
      <c r="K965" s="4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7"/>
      <c r="W965" s="7"/>
    </row>
    <row r="966" spans="2:23" x14ac:dyDescent="0.2">
      <c r="B966" s="3"/>
      <c r="C966" s="3"/>
      <c r="D966" s="3"/>
      <c r="E966" s="4"/>
      <c r="F966" s="4"/>
      <c r="G966" s="4"/>
      <c r="H966" s="4"/>
      <c r="I966" s="4"/>
      <c r="J966" s="4"/>
      <c r="K966" s="4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7"/>
      <c r="W966" s="7"/>
    </row>
    <row r="967" spans="2:23" x14ac:dyDescent="0.2">
      <c r="B967" s="3"/>
      <c r="C967" s="3"/>
      <c r="D967" s="3"/>
      <c r="E967" s="4"/>
      <c r="F967" s="4"/>
      <c r="G967" s="4"/>
      <c r="H967" s="4"/>
      <c r="I967" s="4"/>
      <c r="J967" s="4"/>
      <c r="K967" s="4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7"/>
      <c r="W967" s="7"/>
    </row>
    <row r="968" spans="2:23" x14ac:dyDescent="0.2">
      <c r="B968" s="3"/>
      <c r="C968" s="3"/>
      <c r="D968" s="3"/>
      <c r="E968" s="4"/>
      <c r="F968" s="4"/>
      <c r="G968" s="4"/>
      <c r="H968" s="4"/>
      <c r="I968" s="4"/>
      <c r="J968" s="4"/>
      <c r="K968" s="4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7"/>
      <c r="W968" s="7"/>
    </row>
    <row r="969" spans="2:23" x14ac:dyDescent="0.2">
      <c r="B969" s="3"/>
      <c r="C969" s="3"/>
      <c r="D969" s="3"/>
      <c r="E969" s="4"/>
      <c r="F969" s="4"/>
      <c r="G969" s="4"/>
      <c r="H969" s="4"/>
      <c r="I969" s="4"/>
      <c r="J969" s="4"/>
      <c r="K969" s="4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7"/>
      <c r="W969" s="7"/>
    </row>
    <row r="970" spans="2:23" x14ac:dyDescent="0.2">
      <c r="B970" s="3"/>
      <c r="C970" s="3"/>
      <c r="D970" s="3"/>
      <c r="E970" s="4"/>
      <c r="F970" s="4"/>
      <c r="G970" s="4"/>
      <c r="H970" s="4"/>
      <c r="I970" s="4"/>
      <c r="J970" s="4"/>
      <c r="K970" s="4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7"/>
      <c r="W970" s="7"/>
    </row>
    <row r="971" spans="2:23" x14ac:dyDescent="0.2">
      <c r="B971" s="3"/>
      <c r="C971" s="3"/>
      <c r="D971" s="3"/>
      <c r="E971" s="4"/>
      <c r="F971" s="4"/>
      <c r="G971" s="4"/>
      <c r="H971" s="4"/>
      <c r="I971" s="4"/>
      <c r="J971" s="4"/>
      <c r="K971" s="4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7"/>
      <c r="W971" s="7"/>
    </row>
    <row r="972" spans="2:23" x14ac:dyDescent="0.2">
      <c r="B972" s="3"/>
      <c r="C972" s="3"/>
      <c r="D972" s="3"/>
      <c r="E972" s="4"/>
      <c r="F972" s="4"/>
      <c r="G972" s="4"/>
      <c r="H972" s="4"/>
      <c r="I972" s="4"/>
      <c r="J972" s="4"/>
      <c r="K972" s="4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7"/>
      <c r="W972" s="7"/>
    </row>
    <row r="973" spans="2:23" x14ac:dyDescent="0.2">
      <c r="B973" s="3"/>
      <c r="C973" s="3"/>
      <c r="D973" s="3"/>
      <c r="E973" s="4"/>
      <c r="F973" s="4"/>
      <c r="G973" s="4"/>
      <c r="H973" s="4"/>
      <c r="I973" s="4"/>
      <c r="J973" s="4"/>
      <c r="K973" s="4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7"/>
      <c r="W973" s="7"/>
    </row>
    <row r="974" spans="2:23" x14ac:dyDescent="0.2">
      <c r="B974" s="3"/>
      <c r="C974" s="3"/>
      <c r="D974" s="3"/>
      <c r="E974" s="4"/>
      <c r="F974" s="4"/>
      <c r="G974" s="4"/>
      <c r="H974" s="4"/>
      <c r="I974" s="4"/>
      <c r="J974" s="4"/>
      <c r="K974" s="4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7"/>
      <c r="W974" s="7"/>
    </row>
    <row r="975" spans="2:23" x14ac:dyDescent="0.2">
      <c r="B975" s="3"/>
      <c r="C975" s="3"/>
      <c r="D975" s="3"/>
      <c r="E975" s="4"/>
      <c r="F975" s="4"/>
      <c r="G975" s="4"/>
      <c r="H975" s="4"/>
      <c r="I975" s="4"/>
      <c r="J975" s="4"/>
      <c r="K975" s="4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7"/>
      <c r="W975" s="7"/>
    </row>
    <row r="976" spans="2:23" x14ac:dyDescent="0.2">
      <c r="B976" s="3"/>
      <c r="C976" s="3"/>
      <c r="D976" s="3"/>
      <c r="E976" s="4"/>
      <c r="F976" s="4"/>
      <c r="G976" s="4"/>
      <c r="H976" s="4"/>
      <c r="I976" s="4"/>
      <c r="J976" s="4"/>
      <c r="K976" s="4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7"/>
      <c r="W976" s="7"/>
    </row>
    <row r="977" spans="2:23" x14ac:dyDescent="0.2">
      <c r="B977" s="3"/>
      <c r="C977" s="3"/>
      <c r="D977" s="3"/>
      <c r="E977" s="4"/>
      <c r="F977" s="4"/>
      <c r="G977" s="4"/>
      <c r="H977" s="4"/>
      <c r="I977" s="4"/>
      <c r="J977" s="4"/>
      <c r="K977" s="4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7"/>
      <c r="W977" s="7"/>
    </row>
    <row r="978" spans="2:23" x14ac:dyDescent="0.2">
      <c r="B978" s="3"/>
      <c r="C978" s="3"/>
      <c r="D978" s="3"/>
      <c r="E978" s="4"/>
      <c r="F978" s="4"/>
      <c r="G978" s="4"/>
      <c r="H978" s="4"/>
      <c r="I978" s="4"/>
      <c r="J978" s="4"/>
      <c r="K978" s="4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7"/>
      <c r="W978" s="7"/>
    </row>
    <row r="979" spans="2:23" x14ac:dyDescent="0.2">
      <c r="B979" s="3"/>
      <c r="C979" s="3"/>
      <c r="D979" s="3"/>
      <c r="E979" s="4"/>
      <c r="F979" s="4"/>
      <c r="G979" s="4"/>
      <c r="H979" s="4"/>
      <c r="I979" s="4"/>
      <c r="J979" s="4"/>
      <c r="K979" s="4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7"/>
      <c r="W979" s="7"/>
    </row>
    <row r="980" spans="2:23" x14ac:dyDescent="0.2">
      <c r="B980" s="3"/>
      <c r="C980" s="3"/>
      <c r="D980" s="3"/>
      <c r="E980" s="4"/>
      <c r="F980" s="4"/>
      <c r="G980" s="4"/>
      <c r="H980" s="4"/>
      <c r="I980" s="4"/>
      <c r="J980" s="4"/>
      <c r="K980" s="4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7"/>
      <c r="W980" s="7"/>
    </row>
    <row r="981" spans="2:23" x14ac:dyDescent="0.2">
      <c r="B981" s="3"/>
      <c r="C981" s="3"/>
      <c r="D981" s="3"/>
      <c r="E981" s="4"/>
      <c r="F981" s="4"/>
      <c r="G981" s="4"/>
      <c r="H981" s="4"/>
      <c r="I981" s="4"/>
      <c r="J981" s="4"/>
      <c r="K981" s="4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7"/>
      <c r="W981" s="7"/>
    </row>
    <row r="982" spans="2:23" x14ac:dyDescent="0.2">
      <c r="B982" s="3"/>
      <c r="C982" s="3"/>
      <c r="D982" s="3"/>
      <c r="E982" s="4"/>
      <c r="F982" s="4"/>
      <c r="G982" s="4"/>
      <c r="H982" s="4"/>
      <c r="I982" s="4"/>
      <c r="J982" s="4"/>
      <c r="K982" s="4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7"/>
      <c r="W982" s="7"/>
    </row>
    <row r="983" spans="2:23" x14ac:dyDescent="0.2">
      <c r="B983" s="3"/>
      <c r="C983" s="3"/>
      <c r="D983" s="3"/>
      <c r="E983" s="4"/>
      <c r="F983" s="4"/>
      <c r="G983" s="4"/>
      <c r="H983" s="4"/>
      <c r="I983" s="4"/>
      <c r="J983" s="4"/>
      <c r="K983" s="4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7"/>
      <c r="W983" s="7"/>
    </row>
    <row r="984" spans="2:23" x14ac:dyDescent="0.2">
      <c r="B984" s="3"/>
      <c r="C984" s="3"/>
      <c r="D984" s="3"/>
      <c r="E984" s="4"/>
      <c r="F984" s="4"/>
      <c r="G984" s="4"/>
      <c r="H984" s="4"/>
      <c r="I984" s="4"/>
      <c r="J984" s="4"/>
      <c r="K984" s="4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7"/>
      <c r="W984" s="7"/>
    </row>
    <row r="985" spans="2:23" x14ac:dyDescent="0.2">
      <c r="B985" s="3"/>
      <c r="C985" s="3"/>
      <c r="D985" s="3"/>
      <c r="E985" s="4"/>
      <c r="F985" s="4"/>
      <c r="G985" s="4"/>
      <c r="H985" s="4"/>
      <c r="I985" s="4"/>
      <c r="J985" s="4"/>
      <c r="K985" s="4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7"/>
      <c r="W985" s="7"/>
    </row>
    <row r="986" spans="2:23" x14ac:dyDescent="0.2">
      <c r="B986" s="3"/>
      <c r="C986" s="3"/>
      <c r="D986" s="3"/>
      <c r="E986" s="4"/>
      <c r="F986" s="4"/>
      <c r="G986" s="4"/>
      <c r="H986" s="4"/>
      <c r="I986" s="4"/>
      <c r="J986" s="4"/>
      <c r="K986" s="4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7"/>
      <c r="W986" s="7"/>
    </row>
    <row r="987" spans="2:23" x14ac:dyDescent="0.2">
      <c r="B987" s="3"/>
      <c r="C987" s="3"/>
      <c r="D987" s="3"/>
      <c r="E987" s="4"/>
      <c r="F987" s="4"/>
      <c r="G987" s="4"/>
      <c r="H987" s="4"/>
      <c r="I987" s="4"/>
      <c r="J987" s="4"/>
      <c r="K987" s="4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7"/>
      <c r="W987" s="7"/>
    </row>
    <row r="988" spans="2:23" x14ac:dyDescent="0.2">
      <c r="B988" s="3"/>
      <c r="C988" s="3"/>
      <c r="D988" s="3"/>
      <c r="E988" s="4"/>
      <c r="F988" s="4"/>
      <c r="G988" s="4"/>
      <c r="H988" s="4"/>
      <c r="I988" s="4"/>
      <c r="J988" s="4"/>
      <c r="K988" s="4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7"/>
      <c r="W988" s="7"/>
    </row>
    <row r="989" spans="2:23" x14ac:dyDescent="0.2">
      <c r="B989" s="3"/>
      <c r="C989" s="3"/>
      <c r="D989" s="3"/>
      <c r="E989" s="4"/>
      <c r="F989" s="4"/>
      <c r="G989" s="4"/>
      <c r="H989" s="4"/>
      <c r="I989" s="4"/>
      <c r="J989" s="4"/>
      <c r="K989" s="4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7"/>
      <c r="W989" s="7"/>
    </row>
    <row r="990" spans="2:23" x14ac:dyDescent="0.2">
      <c r="B990" s="3"/>
      <c r="C990" s="3"/>
      <c r="D990" s="3"/>
      <c r="E990" s="4"/>
      <c r="F990" s="4"/>
      <c r="G990" s="4"/>
      <c r="H990" s="4"/>
      <c r="I990" s="4"/>
      <c r="J990" s="4"/>
      <c r="K990" s="4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7"/>
      <c r="W990" s="7"/>
    </row>
    <row r="991" spans="2:23" x14ac:dyDescent="0.2">
      <c r="B991" s="3"/>
      <c r="C991" s="3"/>
      <c r="D991" s="3"/>
      <c r="E991" s="4"/>
      <c r="F991" s="4"/>
      <c r="G991" s="4"/>
      <c r="H991" s="4"/>
      <c r="I991" s="4"/>
      <c r="J991" s="4"/>
      <c r="K991" s="4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7"/>
      <c r="W991" s="7"/>
    </row>
    <row r="992" spans="2:23" x14ac:dyDescent="0.2">
      <c r="B992" s="3"/>
      <c r="C992" s="3"/>
      <c r="D992" s="3"/>
      <c r="E992" s="4"/>
      <c r="F992" s="4"/>
      <c r="G992" s="4"/>
      <c r="H992" s="4"/>
      <c r="I992" s="4"/>
      <c r="J992" s="4"/>
      <c r="K992" s="4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7"/>
      <c r="W992" s="7"/>
    </row>
    <row r="993" spans="2:23" x14ac:dyDescent="0.2">
      <c r="B993" s="3"/>
      <c r="C993" s="3"/>
      <c r="D993" s="3"/>
      <c r="E993" s="4"/>
      <c r="F993" s="4"/>
      <c r="G993" s="4"/>
      <c r="H993" s="4"/>
      <c r="I993" s="4"/>
      <c r="J993" s="4"/>
      <c r="K993" s="4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7"/>
      <c r="W993" s="7"/>
    </row>
    <row r="994" spans="2:23" x14ac:dyDescent="0.2">
      <c r="B994" s="3"/>
      <c r="C994" s="3"/>
      <c r="D994" s="3"/>
      <c r="E994" s="4"/>
      <c r="F994" s="4"/>
      <c r="G994" s="4"/>
      <c r="H994" s="4"/>
      <c r="I994" s="4"/>
      <c r="J994" s="4"/>
      <c r="K994" s="4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7"/>
      <c r="W994" s="7"/>
    </row>
    <row r="995" spans="2:23" x14ac:dyDescent="0.2">
      <c r="B995" s="3"/>
      <c r="C995" s="3"/>
      <c r="D995" s="3"/>
      <c r="E995" s="4"/>
      <c r="F995" s="4"/>
      <c r="G995" s="4"/>
      <c r="H995" s="4"/>
      <c r="I995" s="4"/>
      <c r="J995" s="4"/>
      <c r="K995" s="4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7"/>
      <c r="W995" s="7"/>
    </row>
    <row r="996" spans="2:23" x14ac:dyDescent="0.2">
      <c r="B996" s="3"/>
      <c r="C996" s="3"/>
      <c r="D996" s="3"/>
      <c r="E996" s="4"/>
      <c r="F996" s="4"/>
      <c r="G996" s="4"/>
      <c r="H996" s="4"/>
      <c r="I996" s="4"/>
      <c r="J996" s="4"/>
      <c r="K996" s="4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7"/>
      <c r="W996" s="7"/>
    </row>
    <row r="997" spans="2:23" x14ac:dyDescent="0.2">
      <c r="B997" s="3"/>
      <c r="C997" s="3"/>
      <c r="D997" s="3"/>
      <c r="E997" s="4"/>
      <c r="F997" s="4"/>
      <c r="G997" s="4"/>
      <c r="H997" s="4"/>
      <c r="I997" s="4"/>
      <c r="J997" s="4"/>
      <c r="K997" s="4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7"/>
      <c r="W997" s="7"/>
    </row>
    <row r="998" spans="2:23" x14ac:dyDescent="0.2">
      <c r="B998" s="3"/>
      <c r="C998" s="3"/>
      <c r="D998" s="3"/>
      <c r="E998" s="4"/>
      <c r="F998" s="4"/>
      <c r="G998" s="4"/>
      <c r="H998" s="4"/>
      <c r="I998" s="4"/>
      <c r="J998" s="4"/>
      <c r="K998" s="4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7"/>
      <c r="W998" s="7"/>
    </row>
    <row r="999" spans="2:23" x14ac:dyDescent="0.2">
      <c r="B999" s="3"/>
      <c r="C999" s="3"/>
      <c r="D999" s="3"/>
      <c r="E999" s="4"/>
      <c r="F999" s="4"/>
      <c r="G999" s="4"/>
      <c r="H999" s="4"/>
      <c r="I999" s="4"/>
      <c r="J999" s="4"/>
      <c r="K999" s="4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7"/>
      <c r="W999" s="7"/>
    </row>
    <row r="1000" spans="2:23" x14ac:dyDescent="0.2">
      <c r="B1000" s="3"/>
      <c r="C1000" s="3"/>
      <c r="D1000" s="3"/>
      <c r="E1000" s="4"/>
      <c r="F1000" s="4"/>
      <c r="G1000" s="4"/>
      <c r="H1000" s="4"/>
      <c r="I1000" s="4"/>
      <c r="J1000" s="4"/>
      <c r="K1000" s="4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7"/>
      <c r="W1000" s="7"/>
    </row>
    <row r="1001" spans="2:23" x14ac:dyDescent="0.2">
      <c r="B1001" s="3"/>
      <c r="C1001" s="3"/>
      <c r="D1001" s="3"/>
      <c r="E1001" s="4"/>
      <c r="F1001" s="4"/>
      <c r="G1001" s="4"/>
      <c r="H1001" s="4"/>
      <c r="I1001" s="4"/>
      <c r="J1001" s="4"/>
      <c r="K1001" s="4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7"/>
      <c r="W1001" s="7"/>
    </row>
    <row r="1002" spans="2:23" x14ac:dyDescent="0.2">
      <c r="B1002" s="3"/>
      <c r="C1002" s="3"/>
      <c r="D1002" s="3"/>
      <c r="E1002" s="4"/>
      <c r="F1002" s="4"/>
      <c r="G1002" s="4"/>
      <c r="H1002" s="4"/>
      <c r="I1002" s="4"/>
      <c r="J1002" s="4"/>
      <c r="K1002" s="4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7"/>
      <c r="W1002" s="7"/>
    </row>
    <row r="1003" spans="2:23" x14ac:dyDescent="0.2">
      <c r="B1003" s="3"/>
      <c r="C1003" s="3"/>
      <c r="D1003" s="3"/>
      <c r="E1003" s="4"/>
      <c r="F1003" s="4"/>
      <c r="G1003" s="4"/>
      <c r="H1003" s="4"/>
      <c r="I1003" s="4"/>
      <c r="J1003" s="4"/>
      <c r="K1003" s="4"/>
      <c r="L1003" s="3"/>
      <c r="M1003" s="3"/>
      <c r="N1003" s="3"/>
      <c r="O1003" s="3"/>
      <c r="P1003" s="3"/>
      <c r="Q1003" s="3"/>
      <c r="R1003" s="3"/>
      <c r="S1003" s="3"/>
      <c r="T1003" s="3"/>
      <c r="U1003" s="3"/>
      <c r="V1003" s="7"/>
      <c r="W1003" s="7"/>
    </row>
    <row r="1004" spans="2:23" x14ac:dyDescent="0.2">
      <c r="B1004" s="3"/>
      <c r="C1004" s="3"/>
      <c r="D1004" s="3"/>
      <c r="E1004" s="4"/>
      <c r="F1004" s="4"/>
      <c r="G1004" s="4"/>
      <c r="H1004" s="4"/>
      <c r="I1004" s="4"/>
      <c r="J1004" s="4"/>
      <c r="K1004" s="4"/>
      <c r="L1004" s="3"/>
      <c r="M1004" s="3"/>
      <c r="N1004" s="3"/>
      <c r="O1004" s="3"/>
      <c r="P1004" s="3"/>
      <c r="Q1004" s="3"/>
      <c r="R1004" s="3"/>
      <c r="S1004" s="3"/>
      <c r="T1004" s="3"/>
      <c r="U1004" s="3"/>
      <c r="V1004" s="7"/>
      <c r="W1004" s="7"/>
    </row>
    <row r="1005" spans="2:23" x14ac:dyDescent="0.2">
      <c r="B1005" s="3"/>
      <c r="C1005" s="3"/>
      <c r="D1005" s="3"/>
      <c r="E1005" s="4"/>
      <c r="F1005" s="4"/>
      <c r="G1005" s="4"/>
      <c r="H1005" s="4"/>
      <c r="I1005" s="4"/>
      <c r="J1005" s="4"/>
      <c r="K1005" s="4"/>
      <c r="L1005" s="3"/>
      <c r="M1005" s="3"/>
      <c r="N1005" s="3"/>
      <c r="O1005" s="3"/>
      <c r="P1005" s="3"/>
      <c r="Q1005" s="3"/>
      <c r="R1005" s="3"/>
      <c r="S1005" s="3"/>
      <c r="T1005" s="3"/>
      <c r="U1005" s="3"/>
      <c r="V1005" s="7"/>
      <c r="W1005" s="7"/>
    </row>
    <row r="1006" spans="2:23" x14ac:dyDescent="0.2">
      <c r="B1006" s="3"/>
      <c r="C1006" s="3"/>
      <c r="D1006" s="3"/>
      <c r="E1006" s="4"/>
      <c r="F1006" s="4"/>
      <c r="G1006" s="4"/>
      <c r="H1006" s="4"/>
      <c r="I1006" s="4"/>
      <c r="J1006" s="4"/>
      <c r="K1006" s="4"/>
      <c r="L1006" s="3"/>
      <c r="M1006" s="3"/>
      <c r="N1006" s="3"/>
      <c r="O1006" s="3"/>
      <c r="P1006" s="3"/>
      <c r="Q1006" s="3"/>
      <c r="R1006" s="3"/>
      <c r="S1006" s="3"/>
      <c r="T1006" s="3"/>
      <c r="U1006" s="3"/>
      <c r="V1006" s="7"/>
      <c r="W1006" s="7"/>
    </row>
    <row r="1007" spans="2:23" x14ac:dyDescent="0.2">
      <c r="B1007" s="3"/>
      <c r="C1007" s="3"/>
      <c r="D1007" s="3"/>
      <c r="E1007" s="4"/>
      <c r="F1007" s="4"/>
      <c r="G1007" s="4"/>
      <c r="H1007" s="4"/>
      <c r="I1007" s="4"/>
      <c r="J1007" s="4"/>
      <c r="K1007" s="4"/>
      <c r="L1007" s="3"/>
      <c r="M1007" s="3"/>
      <c r="N1007" s="3"/>
      <c r="O1007" s="3"/>
      <c r="P1007" s="3"/>
      <c r="Q1007" s="3"/>
      <c r="R1007" s="3"/>
      <c r="S1007" s="3"/>
      <c r="T1007" s="3"/>
      <c r="U1007" s="3"/>
      <c r="V1007" s="7"/>
      <c r="W1007" s="7"/>
    </row>
    <row r="1008" spans="2:23" x14ac:dyDescent="0.2">
      <c r="B1008" s="3"/>
      <c r="C1008" s="3"/>
      <c r="D1008" s="3"/>
      <c r="E1008" s="4"/>
      <c r="F1008" s="4"/>
      <c r="G1008" s="4"/>
      <c r="H1008" s="4"/>
      <c r="I1008" s="4"/>
      <c r="J1008" s="4"/>
      <c r="K1008" s="4"/>
      <c r="L1008" s="3"/>
      <c r="M1008" s="3"/>
      <c r="N1008" s="3"/>
      <c r="O1008" s="3"/>
      <c r="P1008" s="3"/>
      <c r="Q1008" s="3"/>
      <c r="R1008" s="3"/>
      <c r="S1008" s="3"/>
      <c r="T1008" s="3"/>
      <c r="U1008" s="3"/>
      <c r="V1008" s="7"/>
      <c r="W1008" s="7"/>
    </row>
    <row r="1009" spans="2:23" x14ac:dyDescent="0.2">
      <c r="B1009" s="3"/>
      <c r="C1009" s="3"/>
      <c r="D1009" s="3"/>
      <c r="E1009" s="4"/>
      <c r="F1009" s="4"/>
      <c r="G1009" s="4"/>
      <c r="H1009" s="4"/>
      <c r="I1009" s="4"/>
      <c r="J1009" s="4"/>
      <c r="K1009" s="4"/>
      <c r="L1009" s="3"/>
      <c r="M1009" s="3"/>
      <c r="N1009" s="3"/>
      <c r="O1009" s="3"/>
      <c r="P1009" s="3"/>
      <c r="Q1009" s="3"/>
      <c r="R1009" s="3"/>
      <c r="S1009" s="3"/>
      <c r="T1009" s="3"/>
      <c r="U1009" s="3"/>
      <c r="V1009" s="7"/>
      <c r="W1009" s="7"/>
    </row>
    <row r="1010" spans="2:23" x14ac:dyDescent="0.2">
      <c r="B1010" s="3"/>
      <c r="C1010" s="3"/>
      <c r="D1010" s="3"/>
      <c r="E1010" s="4"/>
      <c r="F1010" s="4"/>
      <c r="G1010" s="4"/>
      <c r="H1010" s="4"/>
      <c r="I1010" s="4"/>
      <c r="J1010" s="4"/>
      <c r="K1010" s="4"/>
      <c r="L1010" s="3"/>
      <c r="M1010" s="3"/>
      <c r="N1010" s="3"/>
      <c r="O1010" s="3"/>
      <c r="P1010" s="3"/>
      <c r="Q1010" s="3"/>
      <c r="R1010" s="3"/>
      <c r="S1010" s="3"/>
      <c r="T1010" s="3"/>
      <c r="U1010" s="3"/>
      <c r="V1010" s="7"/>
      <c r="W1010" s="7"/>
    </row>
    <row r="1011" spans="2:23" x14ac:dyDescent="0.2">
      <c r="B1011" s="3"/>
      <c r="C1011" s="3"/>
      <c r="D1011" s="3"/>
      <c r="E1011" s="4"/>
      <c r="F1011" s="4"/>
      <c r="G1011" s="4"/>
      <c r="H1011" s="4"/>
      <c r="I1011" s="4"/>
      <c r="J1011" s="4"/>
      <c r="K1011" s="4"/>
      <c r="L1011" s="3"/>
      <c r="M1011" s="3"/>
      <c r="N1011" s="3"/>
      <c r="O1011" s="3"/>
      <c r="P1011" s="3"/>
      <c r="Q1011" s="3"/>
      <c r="R1011" s="3"/>
      <c r="S1011" s="3"/>
      <c r="T1011" s="3"/>
      <c r="U1011" s="3"/>
      <c r="V1011" s="7"/>
      <c r="W1011" s="7"/>
    </row>
    <row r="1012" spans="2:23" x14ac:dyDescent="0.2">
      <c r="B1012" s="3"/>
      <c r="C1012" s="3"/>
      <c r="D1012" s="3"/>
      <c r="E1012" s="4"/>
      <c r="F1012" s="4"/>
      <c r="G1012" s="4"/>
      <c r="H1012" s="4"/>
      <c r="I1012" s="4"/>
      <c r="J1012" s="4"/>
      <c r="K1012" s="4"/>
      <c r="L1012" s="3"/>
      <c r="M1012" s="3"/>
      <c r="N1012" s="3"/>
      <c r="O1012" s="3"/>
      <c r="P1012" s="3"/>
      <c r="Q1012" s="3"/>
      <c r="R1012" s="3"/>
      <c r="S1012" s="3"/>
      <c r="T1012" s="3"/>
      <c r="U1012" s="3"/>
      <c r="V1012" s="7"/>
      <c r="W1012" s="7"/>
    </row>
    <row r="1013" spans="2:23" x14ac:dyDescent="0.2">
      <c r="B1013" s="3"/>
      <c r="C1013" s="3"/>
      <c r="D1013" s="3"/>
      <c r="E1013" s="4"/>
      <c r="F1013" s="4"/>
      <c r="G1013" s="4"/>
      <c r="H1013" s="4"/>
      <c r="I1013" s="4"/>
      <c r="J1013" s="4"/>
      <c r="K1013" s="4"/>
      <c r="L1013" s="3"/>
      <c r="M1013" s="3"/>
      <c r="N1013" s="3"/>
      <c r="O1013" s="3"/>
      <c r="P1013" s="3"/>
      <c r="Q1013" s="3"/>
      <c r="R1013" s="3"/>
      <c r="S1013" s="3"/>
      <c r="T1013" s="3"/>
      <c r="U1013" s="3"/>
      <c r="V1013" s="7"/>
      <c r="W1013" s="7"/>
    </row>
    <row r="1014" spans="2:23" x14ac:dyDescent="0.2">
      <c r="B1014" s="3"/>
      <c r="C1014" s="3"/>
      <c r="D1014" s="3"/>
      <c r="E1014" s="4"/>
      <c r="F1014" s="4"/>
      <c r="G1014" s="4"/>
      <c r="H1014" s="4"/>
      <c r="I1014" s="4"/>
      <c r="J1014" s="4"/>
      <c r="K1014" s="4"/>
      <c r="L1014" s="3"/>
      <c r="M1014" s="3"/>
      <c r="N1014" s="3"/>
      <c r="O1014" s="3"/>
      <c r="P1014" s="3"/>
      <c r="Q1014" s="3"/>
      <c r="R1014" s="3"/>
      <c r="S1014" s="3"/>
      <c r="T1014" s="3"/>
      <c r="U1014" s="3"/>
      <c r="V1014" s="7"/>
      <c r="W1014" s="7"/>
    </row>
    <row r="1015" spans="2:23" x14ac:dyDescent="0.2">
      <c r="B1015" s="3"/>
      <c r="C1015" s="3"/>
      <c r="D1015" s="3"/>
      <c r="E1015" s="4"/>
      <c r="F1015" s="4"/>
      <c r="G1015" s="4"/>
      <c r="H1015" s="4"/>
      <c r="I1015" s="4"/>
      <c r="J1015" s="4"/>
      <c r="K1015" s="4"/>
      <c r="L1015" s="3"/>
      <c r="M1015" s="3"/>
      <c r="N1015" s="3"/>
      <c r="O1015" s="3"/>
      <c r="P1015" s="3"/>
      <c r="Q1015" s="3"/>
      <c r="R1015" s="3"/>
      <c r="S1015" s="3"/>
      <c r="T1015" s="3"/>
      <c r="U1015" s="3"/>
      <c r="V1015" s="7"/>
      <c r="W1015" s="7"/>
    </row>
    <row r="1016" spans="2:23" x14ac:dyDescent="0.2">
      <c r="B1016" s="3"/>
      <c r="C1016" s="3"/>
      <c r="D1016" s="3"/>
      <c r="E1016" s="4"/>
      <c r="F1016" s="4"/>
      <c r="G1016" s="4"/>
      <c r="H1016" s="4"/>
      <c r="I1016" s="4"/>
      <c r="J1016" s="4"/>
      <c r="K1016" s="4"/>
      <c r="L1016" s="3"/>
      <c r="M1016" s="3"/>
      <c r="N1016" s="3"/>
      <c r="O1016" s="3"/>
      <c r="P1016" s="3"/>
      <c r="Q1016" s="3"/>
      <c r="R1016" s="3"/>
      <c r="S1016" s="3"/>
      <c r="T1016" s="3"/>
      <c r="U1016" s="3"/>
      <c r="V1016" s="7"/>
      <c r="W1016" s="7"/>
    </row>
    <row r="1017" spans="2:23" x14ac:dyDescent="0.2">
      <c r="B1017" s="3"/>
      <c r="C1017" s="3"/>
      <c r="D1017" s="3"/>
      <c r="E1017" s="4"/>
      <c r="F1017" s="4"/>
      <c r="G1017" s="4"/>
      <c r="H1017" s="4"/>
      <c r="I1017" s="4"/>
      <c r="J1017" s="4"/>
      <c r="K1017" s="4"/>
      <c r="L1017" s="3"/>
      <c r="M1017" s="3"/>
      <c r="N1017" s="3"/>
      <c r="O1017" s="3"/>
      <c r="P1017" s="3"/>
      <c r="Q1017" s="3"/>
      <c r="R1017" s="3"/>
      <c r="S1017" s="3"/>
      <c r="T1017" s="3"/>
      <c r="U1017" s="3"/>
      <c r="V1017" s="7"/>
      <c r="W1017" s="7"/>
    </row>
    <row r="1018" spans="2:23" x14ac:dyDescent="0.2">
      <c r="B1018" s="3"/>
      <c r="C1018" s="3"/>
      <c r="D1018" s="3"/>
      <c r="E1018" s="4"/>
      <c r="F1018" s="4"/>
      <c r="G1018" s="4"/>
      <c r="H1018" s="4"/>
      <c r="I1018" s="4"/>
      <c r="J1018" s="4"/>
      <c r="K1018" s="4"/>
      <c r="L1018" s="3"/>
      <c r="M1018" s="3"/>
      <c r="N1018" s="3"/>
      <c r="O1018" s="3"/>
      <c r="P1018" s="3"/>
      <c r="Q1018" s="3"/>
      <c r="R1018" s="3"/>
      <c r="S1018" s="3"/>
      <c r="T1018" s="3"/>
      <c r="U1018" s="3"/>
      <c r="V1018" s="7"/>
      <c r="W1018" s="7"/>
    </row>
    <row r="1019" spans="2:23" x14ac:dyDescent="0.2">
      <c r="B1019" s="3"/>
      <c r="C1019" s="3"/>
      <c r="D1019" s="3"/>
      <c r="E1019" s="4"/>
      <c r="F1019" s="4"/>
      <c r="G1019" s="4"/>
      <c r="H1019" s="4"/>
      <c r="I1019" s="4"/>
      <c r="J1019" s="4"/>
      <c r="K1019" s="4"/>
      <c r="L1019" s="3"/>
      <c r="M1019" s="3"/>
      <c r="N1019" s="3"/>
      <c r="O1019" s="3"/>
      <c r="P1019" s="3"/>
      <c r="Q1019" s="3"/>
      <c r="R1019" s="3"/>
      <c r="S1019" s="3"/>
      <c r="T1019" s="3"/>
      <c r="U1019" s="3"/>
      <c r="V1019" s="7"/>
      <c r="W1019" s="7"/>
    </row>
    <row r="1020" spans="2:23" x14ac:dyDescent="0.2">
      <c r="B1020" s="3"/>
      <c r="C1020" s="3"/>
      <c r="D1020" s="3"/>
      <c r="E1020" s="4"/>
      <c r="F1020" s="4"/>
      <c r="G1020" s="4"/>
      <c r="H1020" s="4"/>
      <c r="I1020" s="4"/>
      <c r="J1020" s="4"/>
      <c r="K1020" s="4"/>
      <c r="L1020" s="3"/>
      <c r="M1020" s="3"/>
      <c r="N1020" s="3"/>
      <c r="O1020" s="3"/>
      <c r="P1020" s="3"/>
      <c r="Q1020" s="3"/>
      <c r="R1020" s="3"/>
      <c r="S1020" s="3"/>
      <c r="T1020" s="3"/>
      <c r="U1020" s="3"/>
      <c r="V1020" s="7"/>
      <c r="W1020" s="7"/>
    </row>
    <row r="1021" spans="2:23" x14ac:dyDescent="0.2">
      <c r="B1021" s="3"/>
      <c r="C1021" s="3"/>
      <c r="D1021" s="3"/>
      <c r="E1021" s="4"/>
      <c r="F1021" s="4"/>
      <c r="G1021" s="4"/>
      <c r="H1021" s="4"/>
      <c r="I1021" s="4"/>
      <c r="J1021" s="4"/>
      <c r="K1021" s="4"/>
      <c r="L1021" s="3"/>
      <c r="M1021" s="3"/>
      <c r="N1021" s="3"/>
      <c r="O1021" s="3"/>
      <c r="P1021" s="3"/>
      <c r="Q1021" s="3"/>
      <c r="R1021" s="3"/>
      <c r="S1021" s="3"/>
      <c r="T1021" s="3"/>
      <c r="U1021" s="3"/>
      <c r="V1021" s="7"/>
      <c r="W1021" s="7"/>
    </row>
    <row r="1022" spans="2:23" x14ac:dyDescent="0.2">
      <c r="B1022" s="3"/>
      <c r="C1022" s="3"/>
      <c r="D1022" s="3"/>
      <c r="E1022" s="4"/>
      <c r="F1022" s="4"/>
      <c r="G1022" s="4"/>
      <c r="H1022" s="4"/>
      <c r="I1022" s="4"/>
      <c r="J1022" s="4"/>
      <c r="K1022" s="4"/>
      <c r="L1022" s="3"/>
      <c r="M1022" s="3"/>
      <c r="N1022" s="3"/>
      <c r="O1022" s="3"/>
      <c r="P1022" s="3"/>
      <c r="Q1022" s="3"/>
      <c r="R1022" s="3"/>
      <c r="S1022" s="3"/>
      <c r="T1022" s="3"/>
      <c r="U1022" s="3"/>
      <c r="V1022" s="7"/>
      <c r="W1022" s="7"/>
    </row>
    <row r="1023" spans="2:23" x14ac:dyDescent="0.2">
      <c r="B1023" s="3"/>
      <c r="C1023" s="3"/>
      <c r="D1023" s="3"/>
      <c r="E1023" s="4"/>
      <c r="F1023" s="4"/>
      <c r="G1023" s="4"/>
      <c r="H1023" s="4"/>
      <c r="I1023" s="4"/>
      <c r="J1023" s="4"/>
      <c r="K1023" s="4"/>
      <c r="L1023" s="3"/>
      <c r="M1023" s="3"/>
      <c r="N1023" s="3"/>
      <c r="O1023" s="3"/>
      <c r="P1023" s="3"/>
      <c r="Q1023" s="3"/>
      <c r="R1023" s="3"/>
      <c r="S1023" s="3"/>
      <c r="T1023" s="3"/>
      <c r="U1023" s="3"/>
      <c r="V1023" s="7"/>
      <c r="W1023" s="7"/>
    </row>
    <row r="1024" spans="2:23" x14ac:dyDescent="0.2">
      <c r="B1024" s="3"/>
      <c r="C1024" s="3"/>
      <c r="D1024" s="3"/>
      <c r="E1024" s="4"/>
      <c r="F1024" s="4"/>
      <c r="G1024" s="4"/>
      <c r="H1024" s="4"/>
      <c r="I1024" s="4"/>
      <c r="J1024" s="4"/>
      <c r="K1024" s="4"/>
      <c r="L1024" s="3"/>
      <c r="M1024" s="3"/>
      <c r="N1024" s="3"/>
      <c r="O1024" s="3"/>
      <c r="P1024" s="3"/>
      <c r="Q1024" s="3"/>
      <c r="R1024" s="3"/>
      <c r="S1024" s="3"/>
      <c r="T1024" s="3"/>
      <c r="U1024" s="3"/>
      <c r="V1024" s="7"/>
      <c r="W1024" s="7"/>
    </row>
    <row r="1025" spans="2:23" x14ac:dyDescent="0.2">
      <c r="B1025" s="3"/>
      <c r="C1025" s="3"/>
      <c r="D1025" s="3"/>
      <c r="E1025" s="4"/>
      <c r="F1025" s="4"/>
      <c r="G1025" s="4"/>
      <c r="H1025" s="4"/>
      <c r="I1025" s="4"/>
      <c r="J1025" s="4"/>
      <c r="K1025" s="4"/>
      <c r="L1025" s="3"/>
      <c r="M1025" s="3"/>
      <c r="N1025" s="3"/>
      <c r="O1025" s="3"/>
      <c r="P1025" s="3"/>
      <c r="Q1025" s="3"/>
      <c r="R1025" s="3"/>
      <c r="S1025" s="3"/>
      <c r="T1025" s="3"/>
      <c r="U1025" s="3"/>
      <c r="V1025" s="7"/>
      <c r="W1025" s="7"/>
    </row>
    <row r="1026" spans="2:23" x14ac:dyDescent="0.2">
      <c r="B1026" s="3"/>
      <c r="C1026" s="3"/>
      <c r="D1026" s="3"/>
      <c r="E1026" s="4"/>
      <c r="F1026" s="4"/>
      <c r="G1026" s="4"/>
      <c r="H1026" s="4"/>
      <c r="I1026" s="4"/>
      <c r="J1026" s="4"/>
      <c r="K1026" s="4"/>
      <c r="L1026" s="3"/>
      <c r="M1026" s="3"/>
      <c r="N1026" s="3"/>
      <c r="O1026" s="3"/>
      <c r="P1026" s="3"/>
      <c r="Q1026" s="3"/>
      <c r="R1026" s="3"/>
      <c r="S1026" s="3"/>
      <c r="T1026" s="3"/>
      <c r="U1026" s="3"/>
      <c r="V1026" s="7"/>
      <c r="W1026" s="7"/>
    </row>
    <row r="1027" spans="2:23" x14ac:dyDescent="0.2">
      <c r="B1027" s="3"/>
      <c r="C1027" s="3"/>
      <c r="D1027" s="3"/>
      <c r="E1027" s="4"/>
      <c r="F1027" s="4"/>
      <c r="G1027" s="4"/>
      <c r="H1027" s="4"/>
      <c r="I1027" s="4"/>
      <c r="J1027" s="4"/>
      <c r="K1027" s="4"/>
      <c r="L1027" s="3"/>
      <c r="M1027" s="3"/>
      <c r="N1027" s="3"/>
      <c r="O1027" s="3"/>
      <c r="P1027" s="3"/>
      <c r="Q1027" s="3"/>
      <c r="R1027" s="3"/>
      <c r="S1027" s="3"/>
      <c r="T1027" s="3"/>
      <c r="U1027" s="3"/>
      <c r="V1027" s="7"/>
      <c r="W1027" s="7"/>
    </row>
    <row r="1028" spans="2:23" x14ac:dyDescent="0.2">
      <c r="B1028" s="3"/>
      <c r="C1028" s="3"/>
      <c r="D1028" s="3"/>
      <c r="E1028" s="4"/>
      <c r="F1028" s="4"/>
      <c r="G1028" s="4"/>
      <c r="H1028" s="4"/>
      <c r="I1028" s="4"/>
      <c r="J1028" s="4"/>
      <c r="K1028" s="4"/>
      <c r="L1028" s="3"/>
      <c r="M1028" s="3"/>
      <c r="N1028" s="3"/>
      <c r="O1028" s="3"/>
      <c r="P1028" s="3"/>
      <c r="Q1028" s="3"/>
      <c r="R1028" s="3"/>
      <c r="S1028" s="3"/>
      <c r="T1028" s="3"/>
      <c r="U1028" s="3"/>
      <c r="V1028" s="7"/>
      <c r="W1028" s="7"/>
    </row>
    <row r="1029" spans="2:23" x14ac:dyDescent="0.2">
      <c r="B1029" s="3"/>
      <c r="C1029" s="3"/>
      <c r="D1029" s="3"/>
      <c r="E1029" s="4"/>
      <c r="F1029" s="4"/>
      <c r="G1029" s="4"/>
      <c r="H1029" s="4"/>
      <c r="I1029" s="4"/>
      <c r="J1029" s="4"/>
      <c r="K1029" s="4"/>
      <c r="L1029" s="3"/>
      <c r="M1029" s="3"/>
      <c r="N1029" s="3"/>
      <c r="O1029" s="3"/>
      <c r="P1029" s="3"/>
      <c r="Q1029" s="3"/>
      <c r="R1029" s="3"/>
      <c r="S1029" s="3"/>
      <c r="T1029" s="3"/>
      <c r="U1029" s="3"/>
      <c r="V1029" s="7"/>
      <c r="W1029" s="7"/>
    </row>
    <row r="1030" spans="2:23" x14ac:dyDescent="0.2">
      <c r="B1030" s="3"/>
      <c r="C1030" s="3"/>
      <c r="D1030" s="3"/>
      <c r="E1030" s="4"/>
      <c r="F1030" s="4"/>
      <c r="G1030" s="4"/>
      <c r="H1030" s="4"/>
      <c r="I1030" s="4"/>
      <c r="J1030" s="4"/>
      <c r="K1030" s="4"/>
      <c r="L1030" s="3"/>
      <c r="M1030" s="3"/>
      <c r="N1030" s="3"/>
      <c r="O1030" s="3"/>
      <c r="P1030" s="3"/>
      <c r="Q1030" s="3"/>
      <c r="R1030" s="3"/>
      <c r="S1030" s="3"/>
      <c r="T1030" s="3"/>
      <c r="U1030" s="3"/>
      <c r="V1030" s="7"/>
      <c r="W1030" s="7"/>
    </row>
    <row r="1031" spans="2:23" x14ac:dyDescent="0.2">
      <c r="B1031" s="3"/>
      <c r="C1031" s="3"/>
      <c r="D1031" s="3"/>
      <c r="E1031" s="4"/>
      <c r="F1031" s="4"/>
      <c r="G1031" s="4"/>
      <c r="H1031" s="4"/>
      <c r="I1031" s="4"/>
      <c r="J1031" s="4"/>
      <c r="K1031" s="4"/>
      <c r="L1031" s="3"/>
      <c r="M1031" s="3"/>
      <c r="N1031" s="3"/>
      <c r="O1031" s="3"/>
      <c r="P1031" s="3"/>
      <c r="Q1031" s="3"/>
      <c r="R1031" s="3"/>
      <c r="S1031" s="3"/>
      <c r="T1031" s="3"/>
      <c r="U1031" s="3"/>
      <c r="V1031" s="7"/>
      <c r="W1031" s="7"/>
    </row>
    <row r="1032" spans="2:23" x14ac:dyDescent="0.2">
      <c r="B1032" s="3"/>
      <c r="C1032" s="3"/>
      <c r="D1032" s="3"/>
      <c r="E1032" s="4"/>
      <c r="F1032" s="4"/>
      <c r="G1032" s="4"/>
      <c r="H1032" s="4"/>
      <c r="I1032" s="4"/>
      <c r="J1032" s="4"/>
      <c r="K1032" s="4"/>
      <c r="L1032" s="3"/>
      <c r="M1032" s="3"/>
      <c r="N1032" s="3"/>
      <c r="O1032" s="3"/>
      <c r="P1032" s="3"/>
      <c r="Q1032" s="3"/>
      <c r="R1032" s="3"/>
      <c r="S1032" s="3"/>
      <c r="T1032" s="3"/>
      <c r="U1032" s="3"/>
      <c r="V1032" s="7"/>
      <c r="W1032" s="7"/>
    </row>
    <row r="1033" spans="2:23" x14ac:dyDescent="0.2">
      <c r="B1033" s="3"/>
      <c r="C1033" s="3"/>
      <c r="D1033" s="3"/>
      <c r="E1033" s="4"/>
      <c r="F1033" s="4"/>
      <c r="G1033" s="4"/>
      <c r="H1033" s="4"/>
      <c r="I1033" s="4"/>
      <c r="J1033" s="4"/>
      <c r="K1033" s="4"/>
      <c r="L1033" s="3"/>
      <c r="M1033" s="3"/>
      <c r="N1033" s="3"/>
      <c r="O1033" s="3"/>
      <c r="P1033" s="3"/>
      <c r="Q1033" s="3"/>
      <c r="R1033" s="3"/>
      <c r="S1033" s="3"/>
      <c r="T1033" s="3"/>
      <c r="U1033" s="3"/>
      <c r="V1033" s="7"/>
      <c r="W1033" s="7"/>
    </row>
    <row r="1034" spans="2:23" x14ac:dyDescent="0.2">
      <c r="B1034" s="3"/>
      <c r="C1034" s="3"/>
      <c r="D1034" s="3"/>
      <c r="E1034" s="4"/>
      <c r="F1034" s="4"/>
      <c r="G1034" s="4"/>
      <c r="H1034" s="4"/>
      <c r="I1034" s="4"/>
      <c r="J1034" s="4"/>
      <c r="K1034" s="4"/>
      <c r="L1034" s="3"/>
      <c r="M1034" s="3"/>
      <c r="N1034" s="3"/>
      <c r="O1034" s="3"/>
      <c r="P1034" s="3"/>
      <c r="Q1034" s="3"/>
      <c r="R1034" s="3"/>
      <c r="S1034" s="3"/>
      <c r="T1034" s="3"/>
      <c r="U1034" s="3"/>
      <c r="V1034" s="7"/>
      <c r="W1034" s="7"/>
    </row>
    <row r="1035" spans="2:23" x14ac:dyDescent="0.2">
      <c r="B1035" s="3"/>
      <c r="C1035" s="3"/>
      <c r="D1035" s="3"/>
      <c r="E1035" s="4"/>
      <c r="F1035" s="4"/>
      <c r="G1035" s="4"/>
      <c r="H1035" s="4"/>
      <c r="I1035" s="4"/>
      <c r="J1035" s="4"/>
      <c r="K1035" s="4"/>
      <c r="L1035" s="3"/>
      <c r="M1035" s="3"/>
      <c r="N1035" s="3"/>
      <c r="O1035" s="3"/>
      <c r="P1035" s="3"/>
      <c r="Q1035" s="3"/>
      <c r="R1035" s="3"/>
      <c r="S1035" s="3"/>
      <c r="T1035" s="3"/>
      <c r="U1035" s="3"/>
      <c r="V1035" s="7"/>
      <c r="W1035" s="7"/>
    </row>
    <row r="1036" spans="2:23" x14ac:dyDescent="0.2">
      <c r="B1036" s="3"/>
      <c r="C1036" s="3"/>
      <c r="D1036" s="3"/>
      <c r="E1036" s="4"/>
      <c r="F1036" s="4"/>
      <c r="G1036" s="4"/>
      <c r="H1036" s="4"/>
      <c r="I1036" s="4"/>
      <c r="J1036" s="4"/>
      <c r="K1036" s="4"/>
      <c r="L1036" s="3"/>
      <c r="M1036" s="3"/>
      <c r="N1036" s="3"/>
      <c r="O1036" s="3"/>
      <c r="P1036" s="3"/>
      <c r="Q1036" s="3"/>
      <c r="R1036" s="3"/>
      <c r="S1036" s="3"/>
      <c r="T1036" s="3"/>
      <c r="U1036" s="3"/>
      <c r="V1036" s="7"/>
      <c r="W1036" s="7"/>
    </row>
    <row r="1037" spans="2:23" x14ac:dyDescent="0.2">
      <c r="B1037" s="3"/>
      <c r="C1037" s="3"/>
      <c r="D1037" s="3"/>
      <c r="E1037" s="4"/>
      <c r="F1037" s="4"/>
      <c r="G1037" s="4"/>
      <c r="H1037" s="4"/>
      <c r="I1037" s="4"/>
      <c r="J1037" s="4"/>
      <c r="K1037" s="4"/>
      <c r="L1037" s="3"/>
      <c r="M1037" s="3"/>
      <c r="N1037" s="3"/>
      <c r="O1037" s="3"/>
      <c r="P1037" s="3"/>
      <c r="Q1037" s="3"/>
      <c r="R1037" s="3"/>
      <c r="S1037" s="3"/>
      <c r="T1037" s="3"/>
      <c r="U1037" s="3"/>
      <c r="V1037" s="7"/>
      <c r="W1037" s="7"/>
    </row>
    <row r="1038" spans="2:23" x14ac:dyDescent="0.2">
      <c r="B1038" s="3"/>
      <c r="C1038" s="3"/>
      <c r="D1038" s="3"/>
      <c r="E1038" s="4"/>
      <c r="F1038" s="4"/>
      <c r="G1038" s="4"/>
      <c r="H1038" s="4"/>
      <c r="I1038" s="4"/>
      <c r="J1038" s="4"/>
      <c r="K1038" s="4"/>
      <c r="L1038" s="3"/>
      <c r="M1038" s="3"/>
      <c r="N1038" s="3"/>
      <c r="O1038" s="3"/>
      <c r="P1038" s="3"/>
      <c r="Q1038" s="3"/>
      <c r="R1038" s="3"/>
      <c r="S1038" s="3"/>
      <c r="T1038" s="3"/>
      <c r="U1038" s="3"/>
      <c r="V1038" s="7"/>
      <c r="W1038" s="7"/>
    </row>
    <row r="1039" spans="2:23" x14ac:dyDescent="0.2">
      <c r="B1039" s="3"/>
      <c r="C1039" s="3"/>
      <c r="D1039" s="3"/>
      <c r="E1039" s="4"/>
      <c r="F1039" s="4"/>
      <c r="G1039" s="4"/>
      <c r="H1039" s="4"/>
      <c r="I1039" s="4"/>
      <c r="J1039" s="4"/>
      <c r="K1039" s="4"/>
      <c r="L1039" s="3"/>
      <c r="M1039" s="3"/>
      <c r="N1039" s="3"/>
      <c r="O1039" s="3"/>
      <c r="P1039" s="3"/>
      <c r="Q1039" s="3"/>
      <c r="R1039" s="3"/>
      <c r="S1039" s="3"/>
      <c r="T1039" s="3"/>
      <c r="U1039" s="3"/>
      <c r="V1039" s="7"/>
      <c r="W1039" s="7"/>
    </row>
    <row r="1040" spans="2:23" x14ac:dyDescent="0.2">
      <c r="B1040" s="3"/>
      <c r="C1040" s="3"/>
      <c r="D1040" s="3"/>
      <c r="E1040" s="4"/>
      <c r="F1040" s="4"/>
      <c r="G1040" s="4"/>
      <c r="H1040" s="4"/>
      <c r="I1040" s="4"/>
      <c r="J1040" s="4"/>
      <c r="K1040" s="4"/>
      <c r="L1040" s="3"/>
      <c r="M1040" s="3"/>
      <c r="N1040" s="3"/>
      <c r="O1040" s="3"/>
      <c r="P1040" s="3"/>
      <c r="Q1040" s="3"/>
      <c r="R1040" s="3"/>
      <c r="S1040" s="3"/>
      <c r="T1040" s="3"/>
      <c r="U1040" s="3"/>
      <c r="V1040" s="7"/>
      <c r="W1040" s="7"/>
    </row>
    <row r="1041" spans="2:23" x14ac:dyDescent="0.2">
      <c r="B1041" s="3"/>
      <c r="C1041" s="3"/>
      <c r="D1041" s="3"/>
      <c r="E1041" s="4"/>
      <c r="F1041" s="4"/>
      <c r="G1041" s="4"/>
      <c r="H1041" s="4"/>
      <c r="I1041" s="4"/>
      <c r="J1041" s="4"/>
      <c r="K1041" s="4"/>
      <c r="L1041" s="3"/>
      <c r="M1041" s="3"/>
      <c r="N1041" s="3"/>
      <c r="O1041" s="3"/>
      <c r="P1041" s="3"/>
      <c r="Q1041" s="3"/>
      <c r="R1041" s="3"/>
      <c r="S1041" s="3"/>
      <c r="T1041" s="3"/>
      <c r="U1041" s="3"/>
      <c r="V1041" s="7"/>
      <c r="W1041" s="7"/>
    </row>
    <row r="1042" spans="2:23" x14ac:dyDescent="0.2">
      <c r="B1042" s="3"/>
      <c r="C1042" s="3"/>
      <c r="D1042" s="3"/>
      <c r="E1042" s="4"/>
      <c r="F1042" s="4"/>
      <c r="G1042" s="4"/>
      <c r="H1042" s="4"/>
      <c r="I1042" s="4"/>
      <c r="J1042" s="4"/>
      <c r="K1042" s="4"/>
      <c r="L1042" s="3"/>
      <c r="M1042" s="3"/>
      <c r="N1042" s="3"/>
      <c r="O1042" s="3"/>
      <c r="P1042" s="3"/>
      <c r="Q1042" s="3"/>
      <c r="R1042" s="3"/>
      <c r="S1042" s="3"/>
      <c r="T1042" s="3"/>
      <c r="U1042" s="3"/>
      <c r="V1042" s="7"/>
      <c r="W1042" s="7"/>
    </row>
    <row r="1043" spans="2:23" x14ac:dyDescent="0.2">
      <c r="B1043" s="3"/>
      <c r="C1043" s="3"/>
      <c r="D1043" s="3"/>
      <c r="E1043" s="4"/>
      <c r="F1043" s="4"/>
      <c r="G1043" s="4"/>
      <c r="H1043" s="4"/>
      <c r="I1043" s="4"/>
      <c r="J1043" s="4"/>
      <c r="K1043" s="4"/>
      <c r="L1043" s="3"/>
      <c r="M1043" s="3"/>
      <c r="N1043" s="3"/>
      <c r="O1043" s="3"/>
      <c r="P1043" s="3"/>
      <c r="Q1043" s="3"/>
      <c r="R1043" s="3"/>
      <c r="S1043" s="3"/>
      <c r="T1043" s="3"/>
      <c r="U1043" s="3"/>
      <c r="V1043" s="7"/>
      <c r="W1043" s="7"/>
    </row>
    <row r="1044" spans="2:23" x14ac:dyDescent="0.2">
      <c r="B1044" s="3"/>
      <c r="C1044" s="3"/>
      <c r="D1044" s="3"/>
      <c r="E1044" s="4"/>
      <c r="F1044" s="4"/>
      <c r="G1044" s="4"/>
      <c r="H1044" s="4"/>
      <c r="I1044" s="4"/>
      <c r="J1044" s="4"/>
      <c r="K1044" s="4"/>
      <c r="L1044" s="3"/>
      <c r="M1044" s="3"/>
      <c r="N1044" s="3"/>
      <c r="O1044" s="3"/>
      <c r="P1044" s="3"/>
      <c r="Q1044" s="3"/>
      <c r="R1044" s="3"/>
      <c r="S1044" s="3"/>
      <c r="T1044" s="3"/>
      <c r="U1044" s="3"/>
      <c r="V1044" s="7"/>
      <c r="W1044" s="7"/>
    </row>
    <row r="1045" spans="2:23" x14ac:dyDescent="0.2">
      <c r="B1045" s="3"/>
      <c r="C1045" s="3"/>
      <c r="D1045" s="3"/>
      <c r="E1045" s="4"/>
      <c r="F1045" s="4"/>
      <c r="G1045" s="4"/>
      <c r="H1045" s="4"/>
      <c r="I1045" s="4"/>
      <c r="J1045" s="4"/>
      <c r="K1045" s="4"/>
      <c r="L1045" s="3"/>
      <c r="M1045" s="3"/>
      <c r="N1045" s="3"/>
      <c r="O1045" s="3"/>
      <c r="P1045" s="3"/>
      <c r="Q1045" s="3"/>
      <c r="R1045" s="3"/>
      <c r="S1045" s="3"/>
      <c r="T1045" s="3"/>
      <c r="U1045" s="3"/>
      <c r="V1045" s="7"/>
      <c r="W1045" s="7"/>
    </row>
    <row r="1046" spans="2:23" x14ac:dyDescent="0.2">
      <c r="B1046" s="3"/>
      <c r="C1046" s="3"/>
      <c r="D1046" s="3"/>
      <c r="E1046" s="4"/>
      <c r="F1046" s="4"/>
      <c r="G1046" s="4"/>
      <c r="H1046" s="4"/>
      <c r="I1046" s="4"/>
      <c r="J1046" s="4"/>
      <c r="K1046" s="4"/>
      <c r="L1046" s="3"/>
      <c r="M1046" s="3"/>
      <c r="N1046" s="3"/>
      <c r="O1046" s="3"/>
      <c r="P1046" s="3"/>
      <c r="Q1046" s="3"/>
      <c r="R1046" s="3"/>
      <c r="S1046" s="3"/>
      <c r="T1046" s="3"/>
      <c r="U1046" s="3"/>
      <c r="V1046" s="7"/>
      <c r="W1046" s="7"/>
    </row>
    <row r="1047" spans="2:23" x14ac:dyDescent="0.2">
      <c r="B1047" s="3"/>
      <c r="C1047" s="3"/>
      <c r="D1047" s="3"/>
      <c r="E1047" s="4"/>
      <c r="F1047" s="4"/>
      <c r="G1047" s="4"/>
      <c r="H1047" s="4"/>
      <c r="I1047" s="4"/>
      <c r="J1047" s="4"/>
      <c r="K1047" s="4"/>
      <c r="L1047" s="3"/>
      <c r="M1047" s="3"/>
      <c r="N1047" s="3"/>
      <c r="O1047" s="3"/>
      <c r="P1047" s="3"/>
      <c r="Q1047" s="3"/>
      <c r="R1047" s="3"/>
      <c r="S1047" s="3"/>
      <c r="T1047" s="3"/>
      <c r="U1047" s="3"/>
      <c r="V1047" s="7"/>
      <c r="W1047" s="7"/>
    </row>
    <row r="1048" spans="2:23" x14ac:dyDescent="0.2">
      <c r="B1048" s="3"/>
      <c r="C1048" s="3"/>
      <c r="D1048" s="3"/>
      <c r="E1048" s="4"/>
      <c r="F1048" s="4"/>
      <c r="G1048" s="4"/>
      <c r="H1048" s="4"/>
      <c r="I1048" s="4"/>
      <c r="J1048" s="4"/>
      <c r="K1048" s="4"/>
      <c r="L1048" s="3"/>
      <c r="M1048" s="3"/>
      <c r="N1048" s="3"/>
      <c r="O1048" s="3"/>
      <c r="P1048" s="3"/>
      <c r="Q1048" s="3"/>
      <c r="R1048" s="3"/>
      <c r="S1048" s="3"/>
      <c r="T1048" s="3"/>
      <c r="U1048" s="3"/>
      <c r="V1048" s="7"/>
      <c r="W1048" s="7"/>
    </row>
    <row r="1049" spans="2:23" x14ac:dyDescent="0.2">
      <c r="B1049" s="3"/>
      <c r="C1049" s="3"/>
      <c r="D1049" s="3"/>
      <c r="E1049" s="4"/>
      <c r="F1049" s="4"/>
      <c r="G1049" s="4"/>
      <c r="H1049" s="4"/>
      <c r="I1049" s="4"/>
      <c r="J1049" s="4"/>
      <c r="K1049" s="4"/>
      <c r="L1049" s="3"/>
      <c r="M1049" s="3"/>
      <c r="N1049" s="3"/>
      <c r="O1049" s="3"/>
      <c r="P1049" s="3"/>
      <c r="Q1049" s="3"/>
      <c r="R1049" s="3"/>
      <c r="S1049" s="3"/>
      <c r="T1049" s="3"/>
      <c r="U1049" s="3"/>
      <c r="V1049" s="7"/>
      <c r="W1049" s="7"/>
    </row>
    <row r="1050" spans="2:23" x14ac:dyDescent="0.2">
      <c r="B1050" s="3"/>
      <c r="C1050" s="3"/>
      <c r="D1050" s="3"/>
      <c r="E1050" s="4"/>
      <c r="F1050" s="4"/>
      <c r="G1050" s="4"/>
      <c r="H1050" s="4"/>
      <c r="I1050" s="4"/>
      <c r="J1050" s="4"/>
      <c r="K1050" s="4"/>
      <c r="L1050" s="3"/>
      <c r="M1050" s="3"/>
      <c r="N1050" s="3"/>
      <c r="O1050" s="3"/>
      <c r="P1050" s="3"/>
      <c r="Q1050" s="3"/>
      <c r="R1050" s="3"/>
      <c r="S1050" s="3"/>
      <c r="T1050" s="3"/>
      <c r="U1050" s="3"/>
      <c r="V1050" s="7"/>
      <c r="W1050" s="7"/>
    </row>
    <row r="1051" spans="2:23" x14ac:dyDescent="0.2">
      <c r="B1051" s="3"/>
      <c r="C1051" s="3"/>
      <c r="D1051" s="3"/>
      <c r="E1051" s="4"/>
      <c r="F1051" s="4"/>
      <c r="G1051" s="4"/>
      <c r="H1051" s="4"/>
      <c r="I1051" s="4"/>
      <c r="J1051" s="4"/>
      <c r="K1051" s="4"/>
      <c r="L1051" s="3"/>
      <c r="M1051" s="3"/>
      <c r="N1051" s="3"/>
      <c r="O1051" s="3"/>
      <c r="P1051" s="3"/>
      <c r="Q1051" s="3"/>
      <c r="R1051" s="3"/>
      <c r="S1051" s="3"/>
      <c r="T1051" s="3"/>
      <c r="U1051" s="3"/>
      <c r="V1051" s="7"/>
      <c r="W1051" s="7"/>
    </row>
    <row r="1052" spans="2:23" x14ac:dyDescent="0.2">
      <c r="B1052" s="3"/>
      <c r="C1052" s="3"/>
      <c r="D1052" s="3"/>
      <c r="E1052" s="4"/>
      <c r="F1052" s="4"/>
      <c r="G1052" s="4"/>
      <c r="H1052" s="4"/>
      <c r="I1052" s="4"/>
      <c r="J1052" s="4"/>
      <c r="K1052" s="4"/>
      <c r="L1052" s="3"/>
      <c r="M1052" s="3"/>
      <c r="N1052" s="3"/>
      <c r="O1052" s="3"/>
      <c r="P1052" s="3"/>
      <c r="Q1052" s="3"/>
      <c r="R1052" s="3"/>
      <c r="S1052" s="3"/>
      <c r="T1052" s="3"/>
      <c r="U1052" s="3"/>
      <c r="V1052" s="7"/>
      <c r="W1052" s="7"/>
    </row>
    <row r="1053" spans="2:23" x14ac:dyDescent="0.2">
      <c r="B1053" s="3"/>
      <c r="C1053" s="3"/>
      <c r="D1053" s="3"/>
      <c r="E1053" s="4"/>
      <c r="F1053" s="4"/>
      <c r="G1053" s="4"/>
      <c r="H1053" s="4"/>
      <c r="I1053" s="4"/>
      <c r="J1053" s="4"/>
      <c r="K1053" s="4"/>
      <c r="L1053" s="3"/>
      <c r="M1053" s="3"/>
      <c r="N1053" s="3"/>
      <c r="O1053" s="3"/>
      <c r="P1053" s="3"/>
      <c r="Q1053" s="3"/>
      <c r="R1053" s="3"/>
      <c r="S1053" s="3"/>
      <c r="T1053" s="3"/>
      <c r="U1053" s="3"/>
      <c r="V1053" s="7"/>
      <c r="W1053" s="7"/>
    </row>
    <row r="1054" spans="2:23" x14ac:dyDescent="0.2">
      <c r="B1054" s="3"/>
      <c r="C1054" s="3"/>
      <c r="D1054" s="3"/>
      <c r="E1054" s="4"/>
      <c r="F1054" s="4"/>
      <c r="G1054" s="4"/>
      <c r="H1054" s="4"/>
      <c r="I1054" s="4"/>
      <c r="J1054" s="4"/>
      <c r="K1054" s="4"/>
      <c r="L1054" s="3"/>
      <c r="M1054" s="3"/>
      <c r="N1054" s="3"/>
      <c r="O1054" s="3"/>
      <c r="P1054" s="3"/>
      <c r="Q1054" s="3"/>
      <c r="R1054" s="3"/>
      <c r="S1054" s="3"/>
      <c r="T1054" s="3"/>
      <c r="U1054" s="3"/>
      <c r="V1054" s="7"/>
      <c r="W1054" s="7"/>
    </row>
    <row r="1055" spans="2:23" x14ac:dyDescent="0.2">
      <c r="B1055" s="3"/>
      <c r="C1055" s="3"/>
      <c r="D1055" s="3"/>
      <c r="E1055" s="4"/>
      <c r="F1055" s="4"/>
      <c r="G1055" s="4"/>
      <c r="H1055" s="4"/>
      <c r="I1055" s="4"/>
      <c r="J1055" s="4"/>
      <c r="K1055" s="4"/>
      <c r="L1055" s="3"/>
      <c r="M1055" s="3"/>
      <c r="N1055" s="3"/>
      <c r="O1055" s="3"/>
      <c r="P1055" s="3"/>
      <c r="Q1055" s="3"/>
      <c r="R1055" s="3"/>
      <c r="S1055" s="3"/>
      <c r="T1055" s="3"/>
      <c r="U1055" s="3"/>
      <c r="V1055" s="7"/>
      <c r="W1055" s="7"/>
    </row>
    <row r="1056" spans="2:23" x14ac:dyDescent="0.2">
      <c r="B1056" s="3"/>
      <c r="C1056" s="3"/>
      <c r="D1056" s="3"/>
      <c r="E1056" s="4"/>
      <c r="F1056" s="4"/>
      <c r="G1056" s="4"/>
      <c r="H1056" s="4"/>
      <c r="I1056" s="4"/>
      <c r="J1056" s="4"/>
      <c r="K1056" s="4"/>
      <c r="L1056" s="3"/>
      <c r="M1056" s="3"/>
      <c r="N1056" s="3"/>
      <c r="O1056" s="3"/>
      <c r="P1056" s="3"/>
      <c r="Q1056" s="3"/>
      <c r="R1056" s="3"/>
      <c r="S1056" s="3"/>
      <c r="T1056" s="3"/>
      <c r="U1056" s="3"/>
      <c r="V1056" s="7"/>
      <c r="W1056" s="7"/>
    </row>
    <row r="1057" spans="2:23" x14ac:dyDescent="0.2">
      <c r="B1057" s="3"/>
      <c r="C1057" s="3"/>
      <c r="D1057" s="3"/>
      <c r="E1057" s="4"/>
      <c r="F1057" s="4"/>
      <c r="G1057" s="4"/>
      <c r="H1057" s="4"/>
      <c r="I1057" s="4"/>
      <c r="J1057" s="4"/>
      <c r="K1057" s="4"/>
      <c r="L1057" s="3"/>
      <c r="M1057" s="3"/>
      <c r="N1057" s="3"/>
      <c r="O1057" s="3"/>
      <c r="P1057" s="3"/>
      <c r="Q1057" s="3"/>
      <c r="R1057" s="3"/>
      <c r="S1057" s="3"/>
      <c r="T1057" s="3"/>
      <c r="U1057" s="3"/>
      <c r="V1057" s="7"/>
      <c r="W1057" s="7"/>
    </row>
    <row r="1058" spans="2:23" x14ac:dyDescent="0.2">
      <c r="B1058" s="3"/>
      <c r="C1058" s="3"/>
      <c r="D1058" s="3"/>
      <c r="E1058" s="4"/>
      <c r="F1058" s="4"/>
      <c r="G1058" s="4"/>
      <c r="H1058" s="4"/>
      <c r="I1058" s="4"/>
      <c r="J1058" s="4"/>
      <c r="K1058" s="4"/>
      <c r="L1058" s="3"/>
      <c r="M1058" s="3"/>
      <c r="N1058" s="3"/>
      <c r="O1058" s="3"/>
      <c r="P1058" s="3"/>
      <c r="Q1058" s="3"/>
      <c r="R1058" s="3"/>
      <c r="S1058" s="3"/>
      <c r="T1058" s="3"/>
      <c r="U1058" s="3"/>
      <c r="V1058" s="7"/>
      <c r="W1058" s="7"/>
    </row>
    <row r="1059" spans="2:23" x14ac:dyDescent="0.2">
      <c r="B1059" s="3"/>
      <c r="C1059" s="3"/>
      <c r="D1059" s="3"/>
      <c r="E1059" s="4"/>
      <c r="F1059" s="4"/>
      <c r="G1059" s="4"/>
      <c r="H1059" s="4"/>
      <c r="I1059" s="4"/>
      <c r="J1059" s="4"/>
      <c r="K1059" s="4"/>
      <c r="L1059" s="3"/>
      <c r="M1059" s="3"/>
      <c r="N1059" s="3"/>
      <c r="O1059" s="3"/>
      <c r="P1059" s="3"/>
      <c r="Q1059" s="3"/>
      <c r="R1059" s="3"/>
      <c r="S1059" s="3"/>
      <c r="T1059" s="3"/>
      <c r="U1059" s="3"/>
      <c r="V1059" s="7"/>
      <c r="W1059" s="7"/>
    </row>
    <row r="1060" spans="2:23" x14ac:dyDescent="0.2">
      <c r="B1060" s="3"/>
      <c r="C1060" s="3"/>
      <c r="D1060" s="3"/>
      <c r="E1060" s="4"/>
      <c r="F1060" s="4"/>
      <c r="G1060" s="4"/>
      <c r="H1060" s="4"/>
      <c r="I1060" s="4"/>
      <c r="J1060" s="4"/>
      <c r="K1060" s="4"/>
      <c r="L1060" s="3"/>
      <c r="M1060" s="3"/>
      <c r="N1060" s="3"/>
      <c r="O1060" s="3"/>
      <c r="P1060" s="3"/>
      <c r="Q1060" s="3"/>
      <c r="R1060" s="3"/>
      <c r="S1060" s="3"/>
      <c r="T1060" s="3"/>
      <c r="U1060" s="3"/>
      <c r="V1060" s="7"/>
      <c r="W1060" s="7"/>
    </row>
    <row r="1061" spans="2:23" x14ac:dyDescent="0.2">
      <c r="B1061" s="3"/>
      <c r="C1061" s="3"/>
      <c r="D1061" s="3"/>
      <c r="E1061" s="4"/>
      <c r="F1061" s="4"/>
      <c r="G1061" s="4"/>
      <c r="H1061" s="4"/>
      <c r="I1061" s="4"/>
      <c r="J1061" s="4"/>
      <c r="K1061" s="4"/>
      <c r="L1061" s="3"/>
      <c r="M1061" s="3"/>
      <c r="N1061" s="3"/>
      <c r="O1061" s="3"/>
      <c r="P1061" s="3"/>
      <c r="Q1061" s="3"/>
      <c r="R1061" s="3"/>
      <c r="S1061" s="3"/>
      <c r="T1061" s="3"/>
      <c r="U1061" s="3"/>
      <c r="V1061" s="7"/>
      <c r="W1061" s="7"/>
    </row>
    <row r="1062" spans="2:23" x14ac:dyDescent="0.2">
      <c r="B1062" s="3"/>
      <c r="C1062" s="3"/>
      <c r="D1062" s="3"/>
      <c r="E1062" s="4"/>
      <c r="F1062" s="4"/>
      <c r="G1062" s="4"/>
      <c r="H1062" s="4"/>
      <c r="I1062" s="4"/>
      <c r="J1062" s="4"/>
      <c r="K1062" s="4"/>
      <c r="L1062" s="3"/>
      <c r="M1062" s="3"/>
      <c r="N1062" s="3"/>
      <c r="O1062" s="3"/>
      <c r="P1062" s="3"/>
      <c r="Q1062" s="3"/>
      <c r="R1062" s="3"/>
      <c r="S1062" s="3"/>
      <c r="T1062" s="3"/>
      <c r="U1062" s="3"/>
      <c r="V1062" s="7"/>
      <c r="W1062" s="7"/>
    </row>
    <row r="1063" spans="2:23" x14ac:dyDescent="0.2">
      <c r="B1063" s="3"/>
      <c r="C1063" s="3"/>
      <c r="D1063" s="3"/>
      <c r="E1063" s="4"/>
      <c r="F1063" s="4"/>
      <c r="G1063" s="4"/>
      <c r="H1063" s="4"/>
      <c r="I1063" s="4"/>
      <c r="J1063" s="4"/>
      <c r="K1063" s="4"/>
      <c r="L1063" s="3"/>
      <c r="M1063" s="3"/>
      <c r="N1063" s="3"/>
      <c r="O1063" s="3"/>
      <c r="P1063" s="3"/>
      <c r="Q1063" s="3"/>
      <c r="R1063" s="3"/>
      <c r="S1063" s="3"/>
      <c r="T1063" s="3"/>
      <c r="U1063" s="3"/>
      <c r="V1063" s="7"/>
      <c r="W1063" s="7"/>
    </row>
    <row r="1064" spans="2:23" x14ac:dyDescent="0.2">
      <c r="B1064" s="3"/>
      <c r="C1064" s="3"/>
      <c r="D1064" s="3"/>
      <c r="E1064" s="4"/>
      <c r="F1064" s="4"/>
      <c r="G1064" s="4"/>
      <c r="H1064" s="4"/>
      <c r="I1064" s="4"/>
      <c r="J1064" s="4"/>
      <c r="K1064" s="4"/>
      <c r="L1064" s="3"/>
      <c r="M1064" s="3"/>
      <c r="N1064" s="3"/>
      <c r="O1064" s="3"/>
      <c r="P1064" s="3"/>
      <c r="Q1064" s="3"/>
      <c r="R1064" s="3"/>
      <c r="S1064" s="3"/>
      <c r="T1064" s="3"/>
      <c r="U1064" s="3"/>
      <c r="V1064" s="7"/>
      <c r="W1064" s="7"/>
    </row>
    <row r="1065" spans="2:23" x14ac:dyDescent="0.2">
      <c r="B1065" s="3"/>
      <c r="C1065" s="3"/>
      <c r="D1065" s="3"/>
      <c r="E1065" s="4"/>
      <c r="F1065" s="4"/>
      <c r="G1065" s="4"/>
      <c r="H1065" s="4"/>
      <c r="I1065" s="4"/>
      <c r="J1065" s="4"/>
      <c r="K1065" s="4"/>
      <c r="L1065" s="3"/>
      <c r="M1065" s="3"/>
      <c r="N1065" s="3"/>
      <c r="O1065" s="3"/>
      <c r="P1065" s="3"/>
      <c r="Q1065" s="3"/>
      <c r="R1065" s="3"/>
      <c r="S1065" s="3"/>
      <c r="T1065" s="3"/>
      <c r="U1065" s="3"/>
      <c r="V1065" s="7"/>
      <c r="W1065" s="7"/>
    </row>
    <row r="1066" spans="2:23" x14ac:dyDescent="0.2">
      <c r="B1066" s="3"/>
      <c r="C1066" s="3"/>
      <c r="D1066" s="3"/>
      <c r="E1066" s="4"/>
      <c r="F1066" s="4"/>
      <c r="G1066" s="4"/>
      <c r="H1066" s="4"/>
      <c r="I1066" s="4"/>
      <c r="J1066" s="4"/>
      <c r="K1066" s="4"/>
      <c r="L1066" s="3"/>
      <c r="M1066" s="3"/>
      <c r="N1066" s="3"/>
      <c r="O1066" s="3"/>
      <c r="P1066" s="3"/>
      <c r="Q1066" s="3"/>
      <c r="R1066" s="3"/>
      <c r="S1066" s="3"/>
      <c r="T1066" s="3"/>
      <c r="U1066" s="3"/>
      <c r="V1066" s="7"/>
      <c r="W1066" s="7"/>
    </row>
    <row r="1067" spans="2:23" x14ac:dyDescent="0.2">
      <c r="B1067" s="3"/>
      <c r="C1067" s="3"/>
      <c r="D1067" s="3"/>
      <c r="E1067" s="4"/>
      <c r="F1067" s="4"/>
      <c r="G1067" s="4"/>
      <c r="H1067" s="4"/>
      <c r="I1067" s="4"/>
      <c r="J1067" s="4"/>
      <c r="K1067" s="4"/>
      <c r="L1067" s="3"/>
      <c r="M1067" s="3"/>
      <c r="N1067" s="3"/>
      <c r="O1067" s="3"/>
      <c r="P1067" s="3"/>
      <c r="Q1067" s="3"/>
      <c r="R1067" s="3"/>
      <c r="S1067" s="3"/>
      <c r="T1067" s="3"/>
      <c r="U1067" s="3"/>
      <c r="V1067" s="7"/>
      <c r="W1067" s="7"/>
    </row>
    <row r="1068" spans="2:23" x14ac:dyDescent="0.2">
      <c r="B1068" s="3"/>
      <c r="C1068" s="3"/>
      <c r="D1068" s="3"/>
      <c r="E1068" s="4"/>
      <c r="F1068" s="4"/>
      <c r="G1068" s="4"/>
      <c r="H1068" s="4"/>
      <c r="I1068" s="4"/>
      <c r="J1068" s="4"/>
      <c r="K1068" s="4"/>
      <c r="L1068" s="3"/>
      <c r="M1068" s="3"/>
      <c r="N1068" s="3"/>
      <c r="O1068" s="3"/>
      <c r="P1068" s="3"/>
      <c r="Q1068" s="3"/>
      <c r="R1068" s="3"/>
      <c r="S1068" s="3"/>
      <c r="T1068" s="3"/>
      <c r="U1068" s="3"/>
      <c r="V1068" s="7"/>
      <c r="W1068" s="7"/>
    </row>
    <row r="1069" spans="2:23" x14ac:dyDescent="0.2">
      <c r="B1069" s="3"/>
      <c r="C1069" s="3"/>
      <c r="D1069" s="3"/>
      <c r="E1069" s="4"/>
      <c r="F1069" s="4"/>
      <c r="G1069" s="4"/>
      <c r="H1069" s="4"/>
      <c r="I1069" s="4"/>
      <c r="J1069" s="4"/>
      <c r="K1069" s="4"/>
      <c r="L1069" s="3"/>
      <c r="M1069" s="3"/>
      <c r="N1069" s="3"/>
      <c r="O1069" s="3"/>
      <c r="P1069" s="3"/>
      <c r="Q1069" s="3"/>
      <c r="R1069" s="3"/>
      <c r="S1069" s="3"/>
      <c r="T1069" s="3"/>
      <c r="U1069" s="3"/>
      <c r="V1069" s="7"/>
      <c r="W1069" s="7"/>
    </row>
    <row r="1070" spans="2:23" x14ac:dyDescent="0.2">
      <c r="B1070" s="3"/>
      <c r="C1070" s="3"/>
      <c r="D1070" s="3"/>
      <c r="E1070" s="4"/>
      <c r="F1070" s="4"/>
      <c r="G1070" s="4"/>
      <c r="H1070" s="4"/>
      <c r="I1070" s="4"/>
      <c r="J1070" s="4"/>
      <c r="K1070" s="4"/>
      <c r="L1070" s="3"/>
      <c r="M1070" s="3"/>
      <c r="N1070" s="3"/>
      <c r="O1070" s="3"/>
      <c r="P1070" s="3"/>
      <c r="Q1070" s="3"/>
      <c r="R1070" s="3"/>
      <c r="S1070" s="3"/>
      <c r="T1070" s="3"/>
      <c r="U1070" s="3"/>
      <c r="V1070" s="7"/>
      <c r="W1070" s="7"/>
    </row>
    <row r="1071" spans="2:23" x14ac:dyDescent="0.2">
      <c r="B1071" s="3"/>
      <c r="C1071" s="3"/>
      <c r="D1071" s="3"/>
      <c r="E1071" s="4"/>
      <c r="F1071" s="4"/>
      <c r="G1071" s="4"/>
      <c r="H1071" s="4"/>
      <c r="I1071" s="4"/>
      <c r="J1071" s="4"/>
      <c r="K1071" s="4"/>
      <c r="L1071" s="3"/>
      <c r="M1071" s="3"/>
      <c r="N1071" s="3"/>
      <c r="O1071" s="3"/>
      <c r="P1071" s="3"/>
      <c r="Q1071" s="3"/>
      <c r="R1071" s="3"/>
      <c r="S1071" s="3"/>
      <c r="T1071" s="3"/>
      <c r="U1071" s="3"/>
      <c r="V1071" s="7"/>
      <c r="W1071" s="7"/>
    </row>
    <row r="1072" spans="2:23" x14ac:dyDescent="0.2">
      <c r="B1072" s="3"/>
      <c r="C1072" s="3"/>
      <c r="D1072" s="3"/>
      <c r="E1072" s="4"/>
      <c r="F1072" s="4"/>
      <c r="G1072" s="4"/>
      <c r="H1072" s="4"/>
      <c r="I1072" s="4"/>
      <c r="J1072" s="4"/>
      <c r="K1072" s="4"/>
      <c r="L1072" s="3"/>
      <c r="M1072" s="3"/>
      <c r="N1072" s="3"/>
      <c r="O1072" s="3"/>
      <c r="P1072" s="3"/>
      <c r="Q1072" s="3"/>
      <c r="R1072" s="3"/>
      <c r="S1072" s="3"/>
      <c r="T1072" s="3"/>
      <c r="U1072" s="3"/>
      <c r="V1072" s="7"/>
      <c r="W1072" s="7"/>
    </row>
    <row r="1073" spans="2:23" x14ac:dyDescent="0.2">
      <c r="B1073" s="3"/>
      <c r="C1073" s="3"/>
      <c r="D1073" s="3"/>
      <c r="E1073" s="4"/>
      <c r="F1073" s="4"/>
      <c r="G1073" s="4"/>
      <c r="H1073" s="4"/>
      <c r="I1073" s="4"/>
      <c r="J1073" s="4"/>
      <c r="K1073" s="4"/>
      <c r="L1073" s="3"/>
      <c r="M1073" s="3"/>
      <c r="N1073" s="3"/>
      <c r="O1073" s="3"/>
      <c r="P1073" s="3"/>
      <c r="Q1073" s="3"/>
      <c r="R1073" s="3"/>
      <c r="S1073" s="3"/>
      <c r="T1073" s="3"/>
      <c r="U1073" s="3"/>
      <c r="V1073" s="7"/>
      <c r="W1073" s="7"/>
    </row>
    <row r="1074" spans="2:23" x14ac:dyDescent="0.2">
      <c r="B1074" s="3"/>
      <c r="C1074" s="3"/>
      <c r="D1074" s="3"/>
      <c r="E1074" s="4"/>
      <c r="F1074" s="4"/>
      <c r="G1074" s="4"/>
      <c r="H1074" s="4"/>
      <c r="I1074" s="4"/>
      <c r="J1074" s="4"/>
      <c r="K1074" s="4"/>
      <c r="L1074" s="3"/>
      <c r="M1074" s="3"/>
      <c r="N1074" s="3"/>
      <c r="O1074" s="3"/>
      <c r="P1074" s="3"/>
      <c r="Q1074" s="3"/>
      <c r="R1074" s="3"/>
      <c r="S1074" s="3"/>
      <c r="T1074" s="3"/>
      <c r="U1074" s="3"/>
      <c r="V1074" s="7"/>
      <c r="W1074" s="7"/>
    </row>
    <row r="1075" spans="2:23" x14ac:dyDescent="0.2">
      <c r="B1075" s="3"/>
      <c r="C1075" s="3"/>
      <c r="D1075" s="3"/>
      <c r="E1075" s="4"/>
      <c r="F1075" s="4"/>
      <c r="G1075" s="4"/>
      <c r="H1075" s="4"/>
      <c r="I1075" s="4"/>
      <c r="J1075" s="4"/>
      <c r="K1075" s="4"/>
      <c r="L1075" s="3"/>
      <c r="M1075" s="3"/>
      <c r="N1075" s="3"/>
      <c r="O1075" s="3"/>
      <c r="P1075" s="3"/>
      <c r="Q1075" s="3"/>
      <c r="R1075" s="3"/>
      <c r="S1075" s="3"/>
      <c r="T1075" s="3"/>
      <c r="U1075" s="3"/>
      <c r="V1075" s="7"/>
      <c r="W1075" s="7"/>
    </row>
    <row r="1076" spans="2:23" x14ac:dyDescent="0.2">
      <c r="B1076" s="3"/>
      <c r="C1076" s="3"/>
      <c r="D1076" s="3"/>
      <c r="E1076" s="4"/>
      <c r="F1076" s="4"/>
      <c r="G1076" s="4"/>
      <c r="H1076" s="4"/>
      <c r="I1076" s="4"/>
      <c r="J1076" s="4"/>
      <c r="K1076" s="4"/>
      <c r="L1076" s="3"/>
      <c r="M1076" s="3"/>
      <c r="N1076" s="3"/>
      <c r="O1076" s="3"/>
      <c r="P1076" s="3"/>
      <c r="Q1076" s="3"/>
      <c r="R1076" s="3"/>
      <c r="S1076" s="3"/>
      <c r="T1076" s="3"/>
      <c r="U1076" s="3"/>
      <c r="V1076" s="7"/>
      <c r="W1076" s="7"/>
    </row>
    <row r="1077" spans="2:23" x14ac:dyDescent="0.2">
      <c r="B1077" s="3"/>
      <c r="C1077" s="3"/>
      <c r="D1077" s="3"/>
      <c r="E1077" s="4"/>
      <c r="F1077" s="4"/>
      <c r="G1077" s="4"/>
      <c r="H1077" s="4"/>
      <c r="I1077" s="4"/>
      <c r="J1077" s="4"/>
      <c r="K1077" s="4"/>
      <c r="L1077" s="3"/>
      <c r="M1077" s="3"/>
      <c r="N1077" s="3"/>
      <c r="O1077" s="3"/>
      <c r="P1077" s="3"/>
      <c r="Q1077" s="3"/>
      <c r="R1077" s="3"/>
      <c r="S1077" s="3"/>
      <c r="T1077" s="3"/>
      <c r="U1077" s="3"/>
      <c r="V1077" s="7"/>
      <c r="W1077" s="7"/>
    </row>
    <row r="1078" spans="2:23" x14ac:dyDescent="0.2">
      <c r="B1078" s="3"/>
      <c r="C1078" s="3"/>
      <c r="D1078" s="3"/>
      <c r="E1078" s="4"/>
      <c r="F1078" s="4"/>
      <c r="G1078" s="4"/>
      <c r="H1078" s="4"/>
      <c r="I1078" s="4"/>
      <c r="J1078" s="4"/>
      <c r="K1078" s="4"/>
      <c r="L1078" s="3"/>
      <c r="M1078" s="3"/>
      <c r="N1078" s="3"/>
      <c r="O1078" s="3"/>
      <c r="P1078" s="3"/>
      <c r="Q1078" s="3"/>
      <c r="R1078" s="3"/>
      <c r="S1078" s="3"/>
      <c r="T1078" s="3"/>
      <c r="U1078" s="3"/>
      <c r="V1078" s="7"/>
      <c r="W1078" s="7"/>
    </row>
    <row r="1079" spans="2:23" x14ac:dyDescent="0.2">
      <c r="B1079" s="3"/>
      <c r="C1079" s="3"/>
      <c r="D1079" s="3"/>
      <c r="E1079" s="4"/>
      <c r="F1079" s="4"/>
      <c r="G1079" s="4"/>
      <c r="H1079" s="4"/>
      <c r="I1079" s="4"/>
      <c r="J1079" s="4"/>
      <c r="K1079" s="4"/>
      <c r="L1079" s="3"/>
      <c r="M1079" s="3"/>
      <c r="N1079" s="3"/>
      <c r="O1079" s="3"/>
      <c r="P1079" s="3"/>
      <c r="Q1079" s="3"/>
      <c r="R1079" s="3"/>
      <c r="S1079" s="3"/>
      <c r="T1079" s="3"/>
      <c r="U1079" s="3"/>
      <c r="V1079" s="7"/>
      <c r="W1079" s="7"/>
    </row>
    <row r="1080" spans="2:23" x14ac:dyDescent="0.2">
      <c r="B1080" s="3"/>
      <c r="C1080" s="3"/>
      <c r="D1080" s="3"/>
      <c r="E1080" s="4"/>
      <c r="F1080" s="4"/>
      <c r="G1080" s="4"/>
      <c r="H1080" s="4"/>
      <c r="I1080" s="4"/>
      <c r="J1080" s="4"/>
      <c r="K1080" s="4"/>
      <c r="L1080" s="3"/>
      <c r="M1080" s="3"/>
      <c r="N1080" s="3"/>
      <c r="O1080" s="3"/>
      <c r="P1080" s="3"/>
      <c r="Q1080" s="3"/>
      <c r="R1080" s="3"/>
      <c r="S1080" s="3"/>
      <c r="T1080" s="3"/>
      <c r="U1080" s="3"/>
      <c r="V1080" s="7"/>
      <c r="W1080" s="7"/>
    </row>
    <row r="1081" spans="2:23" x14ac:dyDescent="0.2">
      <c r="B1081" s="3"/>
      <c r="C1081" s="3"/>
      <c r="D1081" s="3"/>
      <c r="E1081" s="4"/>
      <c r="F1081" s="4"/>
      <c r="G1081" s="4"/>
      <c r="H1081" s="4"/>
      <c r="I1081" s="4"/>
      <c r="J1081" s="4"/>
      <c r="K1081" s="4"/>
      <c r="L1081" s="3"/>
      <c r="M1081" s="3"/>
      <c r="N1081" s="3"/>
      <c r="O1081" s="3"/>
      <c r="P1081" s="3"/>
      <c r="Q1081" s="3"/>
      <c r="R1081" s="3"/>
      <c r="S1081" s="3"/>
      <c r="T1081" s="3"/>
      <c r="U1081" s="3"/>
      <c r="V1081" s="7"/>
      <c r="W1081" s="7"/>
    </row>
    <row r="1082" spans="2:23" x14ac:dyDescent="0.2">
      <c r="B1082" s="3"/>
      <c r="C1082" s="3"/>
      <c r="D1082" s="3"/>
      <c r="E1082" s="4"/>
      <c r="F1082" s="4"/>
      <c r="G1082" s="4"/>
      <c r="H1082" s="4"/>
      <c r="I1082" s="4"/>
      <c r="J1082" s="4"/>
      <c r="K1082" s="4"/>
      <c r="L1082" s="3"/>
      <c r="M1082" s="3"/>
      <c r="N1082" s="3"/>
      <c r="O1082" s="3"/>
      <c r="P1082" s="3"/>
      <c r="Q1082" s="3"/>
      <c r="R1082" s="3"/>
      <c r="S1082" s="3"/>
      <c r="T1082" s="3"/>
      <c r="U1082" s="3"/>
      <c r="V1082" s="7"/>
      <c r="W1082" s="7"/>
    </row>
    <row r="1083" spans="2:23" x14ac:dyDescent="0.2">
      <c r="B1083" s="3"/>
      <c r="C1083" s="3"/>
      <c r="D1083" s="3"/>
      <c r="E1083" s="4"/>
      <c r="F1083" s="4"/>
      <c r="G1083" s="4"/>
      <c r="H1083" s="4"/>
      <c r="I1083" s="4"/>
      <c r="J1083" s="4"/>
      <c r="K1083" s="4"/>
      <c r="L1083" s="3"/>
      <c r="M1083" s="3"/>
      <c r="N1083" s="3"/>
      <c r="O1083" s="3"/>
      <c r="P1083" s="3"/>
      <c r="Q1083" s="3"/>
      <c r="R1083" s="3"/>
      <c r="S1083" s="3"/>
      <c r="T1083" s="3"/>
      <c r="U1083" s="3"/>
      <c r="V1083" s="7"/>
      <c r="W1083" s="7"/>
    </row>
    <row r="1084" spans="2:23" x14ac:dyDescent="0.2">
      <c r="B1084" s="3"/>
      <c r="C1084" s="3"/>
      <c r="D1084" s="3"/>
      <c r="E1084" s="4"/>
      <c r="F1084" s="4"/>
      <c r="G1084" s="4"/>
      <c r="H1084" s="4"/>
      <c r="I1084" s="4"/>
      <c r="J1084" s="4"/>
      <c r="K1084" s="4"/>
      <c r="L1084" s="3"/>
      <c r="M1084" s="3"/>
      <c r="N1084" s="3"/>
      <c r="O1084" s="3"/>
      <c r="P1084" s="3"/>
      <c r="Q1084" s="3"/>
      <c r="R1084" s="3"/>
      <c r="S1084" s="3"/>
      <c r="T1084" s="3"/>
      <c r="U1084" s="3"/>
      <c r="V1084" s="7"/>
      <c r="W1084" s="7"/>
    </row>
    <row r="1085" spans="2:23" x14ac:dyDescent="0.2">
      <c r="B1085" s="3"/>
      <c r="C1085" s="3"/>
      <c r="D1085" s="3"/>
      <c r="E1085" s="4"/>
      <c r="F1085" s="4"/>
      <c r="G1085" s="4"/>
      <c r="H1085" s="4"/>
      <c r="I1085" s="4"/>
      <c r="J1085" s="4"/>
      <c r="K1085" s="4"/>
      <c r="L1085" s="3"/>
      <c r="M1085" s="3"/>
      <c r="N1085" s="3"/>
      <c r="O1085" s="3"/>
      <c r="P1085" s="3"/>
      <c r="Q1085" s="3"/>
      <c r="R1085" s="3"/>
      <c r="S1085" s="3"/>
      <c r="T1085" s="3"/>
      <c r="U1085" s="3"/>
      <c r="V1085" s="7"/>
      <c r="W1085" s="7"/>
    </row>
    <row r="1086" spans="2:23" x14ac:dyDescent="0.2">
      <c r="B1086" s="3"/>
      <c r="C1086" s="3"/>
      <c r="D1086" s="3"/>
      <c r="E1086" s="4"/>
      <c r="F1086" s="4"/>
      <c r="G1086" s="4"/>
      <c r="H1086" s="4"/>
      <c r="I1086" s="4"/>
      <c r="J1086" s="4"/>
      <c r="K1086" s="4"/>
      <c r="L1086" s="3"/>
      <c r="M1086" s="3"/>
      <c r="N1086" s="3"/>
      <c r="O1086" s="3"/>
      <c r="P1086" s="3"/>
      <c r="Q1086" s="3"/>
      <c r="R1086" s="3"/>
      <c r="S1086" s="3"/>
      <c r="T1086" s="3"/>
      <c r="U1086" s="3"/>
      <c r="V1086" s="7"/>
      <c r="W1086" s="7"/>
    </row>
    <row r="1087" spans="2:23" x14ac:dyDescent="0.2">
      <c r="B1087" s="3"/>
      <c r="C1087" s="3"/>
      <c r="D1087" s="3"/>
      <c r="E1087" s="4"/>
      <c r="F1087" s="4"/>
      <c r="G1087" s="4"/>
      <c r="H1087" s="4"/>
      <c r="I1087" s="4"/>
      <c r="J1087" s="4"/>
      <c r="K1087" s="4"/>
      <c r="L1087" s="3"/>
      <c r="M1087" s="3"/>
      <c r="N1087" s="3"/>
      <c r="O1087" s="3"/>
      <c r="P1087" s="3"/>
      <c r="Q1087" s="3"/>
      <c r="R1087" s="3"/>
      <c r="S1087" s="3"/>
      <c r="T1087" s="3"/>
      <c r="U1087" s="3"/>
      <c r="V1087" s="7"/>
      <c r="W1087" s="7"/>
    </row>
    <row r="1088" spans="2:23" x14ac:dyDescent="0.2">
      <c r="B1088" s="3"/>
      <c r="C1088" s="3"/>
      <c r="D1088" s="3"/>
      <c r="E1088" s="4"/>
      <c r="F1088" s="4"/>
      <c r="G1088" s="4"/>
      <c r="H1088" s="4"/>
      <c r="I1088" s="4"/>
      <c r="J1088" s="4"/>
      <c r="K1088" s="4"/>
      <c r="L1088" s="3"/>
      <c r="M1088" s="3"/>
      <c r="N1088" s="3"/>
      <c r="O1088" s="3"/>
      <c r="P1088" s="3"/>
      <c r="Q1088" s="3"/>
      <c r="R1088" s="3"/>
      <c r="S1088" s="3"/>
      <c r="T1088" s="3"/>
      <c r="U1088" s="3"/>
      <c r="V1088" s="7"/>
      <c r="W1088" s="7"/>
    </row>
    <row r="1089" spans="2:23" x14ac:dyDescent="0.2">
      <c r="B1089" s="3"/>
      <c r="C1089" s="3"/>
      <c r="D1089" s="3"/>
      <c r="E1089" s="4"/>
      <c r="F1089" s="4"/>
      <c r="G1089" s="4"/>
      <c r="H1089" s="4"/>
      <c r="I1089" s="4"/>
      <c r="J1089" s="4"/>
      <c r="K1089" s="4"/>
      <c r="L1089" s="3"/>
      <c r="M1089" s="3"/>
      <c r="N1089" s="3"/>
      <c r="O1089" s="3"/>
      <c r="P1089" s="3"/>
      <c r="Q1089" s="3"/>
      <c r="R1089" s="3"/>
      <c r="S1089" s="3"/>
      <c r="T1089" s="3"/>
      <c r="U1089" s="3"/>
      <c r="V1089" s="7"/>
      <c r="W1089" s="7"/>
    </row>
    <row r="1090" spans="2:23" x14ac:dyDescent="0.2">
      <c r="B1090" s="3"/>
      <c r="C1090" s="3"/>
      <c r="D1090" s="3"/>
      <c r="E1090" s="4"/>
      <c r="F1090" s="4"/>
      <c r="G1090" s="4"/>
      <c r="H1090" s="4"/>
      <c r="I1090" s="4"/>
      <c r="J1090" s="4"/>
      <c r="K1090" s="4"/>
      <c r="L1090" s="3"/>
      <c r="M1090" s="3"/>
      <c r="N1090" s="3"/>
      <c r="O1090" s="3"/>
      <c r="P1090" s="3"/>
      <c r="Q1090" s="3"/>
      <c r="R1090" s="3"/>
      <c r="S1090" s="3"/>
      <c r="T1090" s="3"/>
      <c r="U1090" s="3"/>
      <c r="V1090" s="7"/>
      <c r="W1090" s="7"/>
    </row>
    <row r="1091" spans="2:23" x14ac:dyDescent="0.2">
      <c r="B1091" s="3"/>
      <c r="C1091" s="3"/>
      <c r="D1091" s="3"/>
      <c r="E1091" s="4"/>
      <c r="F1091" s="4"/>
      <c r="G1091" s="4"/>
      <c r="H1091" s="4"/>
      <c r="I1091" s="4"/>
      <c r="J1091" s="4"/>
      <c r="K1091" s="4"/>
      <c r="L1091" s="3"/>
      <c r="M1091" s="3"/>
      <c r="N1091" s="3"/>
      <c r="O1091" s="3"/>
      <c r="P1091" s="3"/>
      <c r="Q1091" s="3"/>
      <c r="R1091" s="3"/>
      <c r="S1091" s="3"/>
      <c r="T1091" s="3"/>
      <c r="U1091" s="3"/>
      <c r="V1091" s="7"/>
      <c r="W1091" s="7"/>
    </row>
    <row r="1092" spans="2:23" x14ac:dyDescent="0.2">
      <c r="B1092" s="3"/>
      <c r="C1092" s="3"/>
      <c r="D1092" s="3"/>
      <c r="E1092" s="4"/>
      <c r="F1092" s="4"/>
      <c r="G1092" s="4"/>
      <c r="H1092" s="4"/>
      <c r="I1092" s="4"/>
      <c r="J1092" s="4"/>
      <c r="K1092" s="4"/>
      <c r="L1092" s="3"/>
      <c r="M1092" s="3"/>
      <c r="N1092" s="3"/>
      <c r="O1092" s="3"/>
      <c r="P1092" s="3"/>
      <c r="Q1092" s="3"/>
      <c r="R1092" s="3"/>
      <c r="S1092" s="3"/>
      <c r="T1092" s="3"/>
      <c r="U1092" s="3"/>
      <c r="V1092" s="7"/>
      <c r="W1092" s="7"/>
    </row>
    <row r="1093" spans="2:23" x14ac:dyDescent="0.2">
      <c r="B1093" s="3"/>
      <c r="C1093" s="3"/>
      <c r="D1093" s="3"/>
      <c r="E1093" s="4"/>
      <c r="F1093" s="4"/>
      <c r="G1093" s="4"/>
      <c r="H1093" s="4"/>
      <c r="I1093" s="4"/>
      <c r="J1093" s="4"/>
      <c r="K1093" s="4"/>
      <c r="L1093" s="3"/>
      <c r="M1093" s="3"/>
      <c r="N1093" s="3"/>
      <c r="O1093" s="3"/>
      <c r="P1093" s="3"/>
      <c r="Q1093" s="3"/>
      <c r="R1093" s="3"/>
      <c r="S1093" s="3"/>
      <c r="T1093" s="3"/>
      <c r="U1093" s="3"/>
      <c r="V1093" s="7"/>
      <c r="W1093" s="7"/>
    </row>
    <row r="1094" spans="2:23" x14ac:dyDescent="0.2">
      <c r="B1094" s="3"/>
      <c r="C1094" s="3"/>
      <c r="D1094" s="3"/>
      <c r="E1094" s="4"/>
      <c r="F1094" s="4"/>
      <c r="G1094" s="4"/>
      <c r="H1094" s="4"/>
      <c r="I1094" s="4"/>
      <c r="J1094" s="4"/>
      <c r="K1094" s="4"/>
      <c r="L1094" s="3"/>
      <c r="M1094" s="3"/>
      <c r="N1094" s="3"/>
      <c r="O1094" s="3"/>
      <c r="P1094" s="3"/>
      <c r="Q1094" s="3"/>
      <c r="R1094" s="3"/>
      <c r="S1094" s="3"/>
      <c r="T1094" s="3"/>
      <c r="U1094" s="3"/>
      <c r="V1094" s="7"/>
      <c r="W1094" s="7"/>
    </row>
    <row r="1095" spans="2:23" x14ac:dyDescent="0.2">
      <c r="B1095" s="3"/>
      <c r="C1095" s="3"/>
      <c r="D1095" s="3"/>
      <c r="E1095" s="4"/>
      <c r="F1095" s="4"/>
      <c r="G1095" s="4"/>
      <c r="H1095" s="4"/>
      <c r="I1095" s="4"/>
      <c r="J1095" s="4"/>
      <c r="K1095" s="4"/>
      <c r="L1095" s="3"/>
      <c r="M1095" s="3"/>
      <c r="N1095" s="3"/>
      <c r="O1095" s="3"/>
      <c r="P1095" s="3"/>
      <c r="Q1095" s="3"/>
      <c r="R1095" s="3"/>
      <c r="S1095" s="3"/>
      <c r="T1095" s="3"/>
      <c r="U1095" s="3"/>
      <c r="V1095" s="7"/>
      <c r="W1095" s="7"/>
    </row>
    <row r="1096" spans="2:23" x14ac:dyDescent="0.2">
      <c r="B1096" s="3"/>
      <c r="C1096" s="3"/>
      <c r="D1096" s="3"/>
      <c r="E1096" s="4"/>
      <c r="F1096" s="4"/>
      <c r="G1096" s="4"/>
      <c r="H1096" s="4"/>
      <c r="I1096" s="4"/>
      <c r="J1096" s="4"/>
      <c r="K1096" s="4"/>
      <c r="L1096" s="3"/>
      <c r="M1096" s="3"/>
      <c r="N1096" s="3"/>
      <c r="O1096" s="3"/>
      <c r="P1096" s="3"/>
      <c r="Q1096" s="3"/>
      <c r="R1096" s="3"/>
      <c r="S1096" s="3"/>
      <c r="T1096" s="3"/>
      <c r="U1096" s="3"/>
      <c r="V1096" s="7"/>
      <c r="W1096" s="7"/>
    </row>
    <row r="1097" spans="2:23" x14ac:dyDescent="0.2">
      <c r="B1097" s="3"/>
      <c r="C1097" s="3"/>
      <c r="D1097" s="3"/>
      <c r="E1097" s="4"/>
      <c r="F1097" s="4"/>
      <c r="G1097" s="4"/>
      <c r="H1097" s="4"/>
      <c r="I1097" s="4"/>
      <c r="J1097" s="4"/>
      <c r="K1097" s="4"/>
      <c r="L1097" s="3"/>
      <c r="M1097" s="3"/>
      <c r="N1097" s="3"/>
      <c r="O1097" s="3"/>
      <c r="P1097" s="3"/>
      <c r="Q1097" s="3"/>
      <c r="R1097" s="3"/>
      <c r="S1097" s="3"/>
      <c r="T1097" s="3"/>
      <c r="U1097" s="3"/>
      <c r="V1097" s="7"/>
      <c r="W1097" s="7"/>
    </row>
    <row r="1098" spans="2:23" x14ac:dyDescent="0.2">
      <c r="B1098" s="3"/>
      <c r="C1098" s="3"/>
      <c r="D1098" s="3"/>
      <c r="E1098" s="4"/>
      <c r="F1098" s="4"/>
      <c r="G1098" s="4"/>
      <c r="H1098" s="4"/>
      <c r="I1098" s="4"/>
      <c r="J1098" s="4"/>
      <c r="K1098" s="4"/>
      <c r="L1098" s="3"/>
      <c r="M1098" s="3"/>
      <c r="N1098" s="3"/>
      <c r="O1098" s="3"/>
      <c r="P1098" s="3"/>
      <c r="Q1098" s="3"/>
      <c r="R1098" s="3"/>
      <c r="S1098" s="3"/>
      <c r="T1098" s="3"/>
      <c r="U1098" s="3"/>
      <c r="V1098" s="7"/>
      <c r="W1098" s="7"/>
    </row>
    <row r="1099" spans="2:23" x14ac:dyDescent="0.2">
      <c r="B1099" s="3"/>
      <c r="C1099" s="3"/>
      <c r="D1099" s="3"/>
      <c r="E1099" s="4"/>
      <c r="F1099" s="4"/>
      <c r="G1099" s="4"/>
      <c r="H1099" s="4"/>
      <c r="I1099" s="4"/>
      <c r="J1099" s="4"/>
      <c r="K1099" s="4"/>
      <c r="L1099" s="3"/>
      <c r="M1099" s="3"/>
      <c r="N1099" s="3"/>
      <c r="O1099" s="3"/>
      <c r="P1099" s="3"/>
      <c r="Q1099" s="3"/>
      <c r="R1099" s="3"/>
      <c r="S1099" s="3"/>
      <c r="T1099" s="3"/>
      <c r="U1099" s="3"/>
      <c r="V1099" s="7"/>
      <c r="W1099" s="7"/>
    </row>
    <row r="1100" spans="2:23" x14ac:dyDescent="0.2">
      <c r="B1100" s="3"/>
      <c r="C1100" s="3"/>
      <c r="D1100" s="3"/>
      <c r="E1100" s="4"/>
      <c r="F1100" s="4"/>
      <c r="G1100" s="4"/>
      <c r="H1100" s="4"/>
      <c r="I1100" s="4"/>
      <c r="J1100" s="4"/>
      <c r="K1100" s="4"/>
      <c r="L1100" s="3"/>
      <c r="M1100" s="3"/>
      <c r="N1100" s="3"/>
      <c r="O1100" s="3"/>
      <c r="P1100" s="3"/>
      <c r="Q1100" s="3"/>
      <c r="R1100" s="3"/>
      <c r="S1100" s="3"/>
      <c r="T1100" s="3"/>
      <c r="U1100" s="3"/>
      <c r="V1100" s="7"/>
      <c r="W1100" s="7"/>
    </row>
    <row r="1101" spans="2:23" x14ac:dyDescent="0.2">
      <c r="B1101" s="3"/>
      <c r="C1101" s="3"/>
      <c r="D1101" s="3"/>
      <c r="E1101" s="4"/>
      <c r="F1101" s="4"/>
      <c r="G1101" s="4"/>
      <c r="H1101" s="4"/>
      <c r="I1101" s="4"/>
      <c r="J1101" s="4"/>
      <c r="K1101" s="4"/>
      <c r="L1101" s="3"/>
      <c r="M1101" s="3"/>
      <c r="N1101" s="3"/>
      <c r="O1101" s="3"/>
      <c r="P1101" s="3"/>
      <c r="Q1101" s="3"/>
      <c r="R1101" s="3"/>
      <c r="S1101" s="3"/>
      <c r="T1101" s="3"/>
      <c r="U1101" s="3"/>
      <c r="V1101" s="7"/>
      <c r="W1101" s="7"/>
    </row>
    <row r="1102" spans="2:23" x14ac:dyDescent="0.2">
      <c r="B1102" s="3"/>
      <c r="C1102" s="3"/>
      <c r="D1102" s="3"/>
      <c r="E1102" s="4"/>
      <c r="F1102" s="4"/>
      <c r="G1102" s="4"/>
      <c r="H1102" s="4"/>
      <c r="I1102" s="4"/>
      <c r="J1102" s="4"/>
      <c r="K1102" s="4"/>
      <c r="L1102" s="3"/>
      <c r="M1102" s="3"/>
      <c r="N1102" s="3"/>
      <c r="O1102" s="3"/>
      <c r="P1102" s="3"/>
      <c r="Q1102" s="3"/>
      <c r="R1102" s="3"/>
      <c r="S1102" s="3"/>
      <c r="T1102" s="3"/>
      <c r="U1102" s="3"/>
      <c r="V1102" s="7"/>
      <c r="W1102" s="7"/>
    </row>
    <row r="1103" spans="2:23" x14ac:dyDescent="0.2">
      <c r="B1103" s="3"/>
      <c r="C1103" s="3"/>
      <c r="D1103" s="3"/>
      <c r="E1103" s="4"/>
      <c r="F1103" s="4"/>
      <c r="G1103" s="4"/>
      <c r="H1103" s="4"/>
      <c r="I1103" s="4"/>
      <c r="J1103" s="4"/>
      <c r="K1103" s="4"/>
      <c r="L1103" s="3"/>
      <c r="M1103" s="3"/>
      <c r="N1103" s="3"/>
      <c r="O1103" s="3"/>
      <c r="P1103" s="3"/>
      <c r="Q1103" s="3"/>
      <c r="R1103" s="3"/>
      <c r="S1103" s="3"/>
      <c r="T1103" s="3"/>
      <c r="U1103" s="3"/>
      <c r="V1103" s="7"/>
      <c r="W1103" s="7"/>
    </row>
    <row r="1104" spans="2:23" x14ac:dyDescent="0.2">
      <c r="B1104" s="3"/>
      <c r="C1104" s="3"/>
      <c r="D1104" s="3"/>
      <c r="E1104" s="4"/>
      <c r="F1104" s="4"/>
      <c r="G1104" s="4"/>
      <c r="H1104" s="4"/>
      <c r="I1104" s="4"/>
      <c r="J1104" s="4"/>
      <c r="K1104" s="4"/>
      <c r="L1104" s="3"/>
      <c r="M1104" s="3"/>
      <c r="N1104" s="3"/>
      <c r="O1104" s="3"/>
      <c r="P1104" s="3"/>
      <c r="Q1104" s="3"/>
      <c r="R1104" s="3"/>
      <c r="S1104" s="3"/>
      <c r="T1104" s="3"/>
      <c r="U1104" s="3"/>
      <c r="V1104" s="7"/>
      <c r="W1104" s="7"/>
    </row>
    <row r="1105" spans="2:23" x14ac:dyDescent="0.2">
      <c r="B1105" s="3"/>
      <c r="C1105" s="3"/>
      <c r="D1105" s="3"/>
      <c r="E1105" s="4"/>
      <c r="F1105" s="4"/>
      <c r="G1105" s="4"/>
      <c r="H1105" s="4"/>
      <c r="I1105" s="4"/>
      <c r="J1105" s="4"/>
      <c r="K1105" s="4"/>
      <c r="L1105" s="3"/>
      <c r="M1105" s="3"/>
      <c r="N1105" s="3"/>
      <c r="O1105" s="3"/>
      <c r="P1105" s="3"/>
      <c r="Q1105" s="3"/>
      <c r="R1105" s="3"/>
      <c r="S1105" s="3"/>
      <c r="T1105" s="3"/>
      <c r="U1105" s="3"/>
      <c r="V1105" s="7"/>
      <c r="W1105" s="7"/>
    </row>
    <row r="1106" spans="2:23" x14ac:dyDescent="0.2">
      <c r="B1106" s="3"/>
      <c r="C1106" s="3"/>
      <c r="D1106" s="3"/>
      <c r="E1106" s="4"/>
      <c r="F1106" s="4"/>
      <c r="G1106" s="4"/>
      <c r="H1106" s="4"/>
      <c r="I1106" s="4"/>
      <c r="J1106" s="4"/>
      <c r="K1106" s="4"/>
      <c r="L1106" s="3"/>
      <c r="M1106" s="3"/>
      <c r="N1106" s="3"/>
      <c r="O1106" s="3"/>
      <c r="P1106" s="3"/>
      <c r="Q1106" s="3"/>
      <c r="R1106" s="3"/>
      <c r="S1106" s="3"/>
      <c r="T1106" s="3"/>
      <c r="U1106" s="3"/>
      <c r="V1106" s="7"/>
      <c r="W1106" s="7"/>
    </row>
    <row r="1107" spans="2:23" x14ac:dyDescent="0.2">
      <c r="B1107" s="3"/>
      <c r="C1107" s="3"/>
      <c r="D1107" s="3"/>
      <c r="E1107" s="4"/>
      <c r="F1107" s="4"/>
      <c r="G1107" s="4"/>
      <c r="H1107" s="4"/>
      <c r="I1107" s="4"/>
      <c r="J1107" s="4"/>
      <c r="K1107" s="4"/>
      <c r="L1107" s="3"/>
      <c r="M1107" s="3"/>
      <c r="N1107" s="3"/>
      <c r="O1107" s="3"/>
      <c r="P1107" s="3"/>
      <c r="Q1107" s="3"/>
      <c r="R1107" s="3"/>
      <c r="S1107" s="3"/>
      <c r="T1107" s="3"/>
      <c r="U1107" s="3"/>
      <c r="V1107" s="7"/>
      <c r="W1107" s="7"/>
    </row>
    <row r="1108" spans="2:23" x14ac:dyDescent="0.2">
      <c r="B1108" s="3"/>
      <c r="C1108" s="3"/>
      <c r="D1108" s="3"/>
      <c r="E1108" s="4"/>
      <c r="F1108" s="4"/>
      <c r="G1108" s="4"/>
      <c r="H1108" s="4"/>
      <c r="I1108" s="4"/>
      <c r="J1108" s="4"/>
      <c r="K1108" s="4"/>
      <c r="L1108" s="3"/>
      <c r="M1108" s="3"/>
      <c r="N1108" s="3"/>
      <c r="O1108" s="3"/>
      <c r="P1108" s="3"/>
      <c r="Q1108" s="3"/>
      <c r="R1108" s="3"/>
      <c r="S1108" s="3"/>
      <c r="T1108" s="3"/>
      <c r="U1108" s="3"/>
      <c r="V1108" s="7"/>
      <c r="W1108" s="7"/>
    </row>
    <row r="1109" spans="2:23" x14ac:dyDescent="0.2">
      <c r="B1109" s="3"/>
      <c r="C1109" s="3"/>
      <c r="D1109" s="3"/>
      <c r="E1109" s="4"/>
      <c r="F1109" s="4"/>
      <c r="G1109" s="4"/>
      <c r="H1109" s="4"/>
      <c r="I1109" s="4"/>
      <c r="J1109" s="4"/>
      <c r="K1109" s="4"/>
      <c r="L1109" s="3"/>
      <c r="M1109" s="3"/>
      <c r="N1109" s="3"/>
      <c r="O1109" s="3"/>
      <c r="P1109" s="3"/>
      <c r="Q1109" s="3"/>
      <c r="R1109" s="3"/>
      <c r="S1109" s="3"/>
      <c r="T1109" s="3"/>
      <c r="U1109" s="3"/>
      <c r="V1109" s="7"/>
      <c r="W1109" s="7"/>
    </row>
    <row r="1110" spans="2:23" x14ac:dyDescent="0.2">
      <c r="B1110" s="3"/>
      <c r="C1110" s="3"/>
      <c r="D1110" s="3"/>
      <c r="E1110" s="4"/>
      <c r="F1110" s="4"/>
      <c r="G1110" s="4"/>
      <c r="H1110" s="4"/>
      <c r="I1110" s="4"/>
      <c r="J1110" s="4"/>
      <c r="K1110" s="4"/>
      <c r="L1110" s="3"/>
      <c r="M1110" s="3"/>
      <c r="N1110" s="3"/>
      <c r="O1110" s="3"/>
      <c r="P1110" s="3"/>
      <c r="Q1110" s="3"/>
      <c r="R1110" s="3"/>
      <c r="S1110" s="3"/>
      <c r="T1110" s="3"/>
      <c r="U1110" s="3"/>
      <c r="V1110" s="7"/>
      <c r="W1110" s="7"/>
    </row>
    <row r="1111" spans="2:23" x14ac:dyDescent="0.2">
      <c r="B1111" s="3"/>
      <c r="C1111" s="3"/>
      <c r="D1111" s="3"/>
      <c r="E1111" s="4"/>
      <c r="F1111" s="4"/>
      <c r="G1111" s="4"/>
      <c r="H1111" s="4"/>
      <c r="I1111" s="4"/>
      <c r="J1111" s="4"/>
      <c r="K1111" s="4"/>
      <c r="L1111" s="3"/>
      <c r="M1111" s="3"/>
      <c r="N1111" s="3"/>
      <c r="O1111" s="3"/>
      <c r="P1111" s="3"/>
      <c r="Q1111" s="3"/>
      <c r="R1111" s="3"/>
      <c r="S1111" s="3"/>
      <c r="T1111" s="3"/>
      <c r="U1111" s="3"/>
      <c r="V1111" s="7"/>
      <c r="W1111" s="7"/>
    </row>
    <row r="1112" spans="2:23" x14ac:dyDescent="0.2">
      <c r="B1112" s="3"/>
      <c r="C1112" s="3"/>
      <c r="D1112" s="3"/>
      <c r="E1112" s="4"/>
      <c r="F1112" s="4"/>
      <c r="G1112" s="4"/>
      <c r="H1112" s="4"/>
      <c r="I1112" s="4"/>
      <c r="J1112" s="4"/>
      <c r="K1112" s="4"/>
      <c r="L1112" s="3"/>
      <c r="M1112" s="3"/>
      <c r="N1112" s="3"/>
      <c r="O1112" s="3"/>
      <c r="P1112" s="3"/>
      <c r="Q1112" s="3"/>
      <c r="R1112" s="3"/>
      <c r="S1112" s="3"/>
      <c r="T1112" s="3"/>
      <c r="U1112" s="3"/>
      <c r="V1112" s="7"/>
      <c r="W1112" s="7"/>
    </row>
    <row r="1113" spans="2:23" x14ac:dyDescent="0.2">
      <c r="B1113" s="3"/>
      <c r="C1113" s="3"/>
      <c r="D1113" s="3"/>
      <c r="E1113" s="4"/>
      <c r="F1113" s="4"/>
      <c r="G1113" s="4"/>
      <c r="H1113" s="4"/>
      <c r="I1113" s="4"/>
      <c r="J1113" s="4"/>
      <c r="K1113" s="4"/>
      <c r="L1113" s="3"/>
      <c r="M1113" s="3"/>
      <c r="N1113" s="3"/>
      <c r="O1113" s="3"/>
      <c r="P1113" s="3"/>
      <c r="Q1113" s="3"/>
      <c r="R1113" s="3"/>
      <c r="S1113" s="3"/>
      <c r="T1113" s="3"/>
      <c r="U1113" s="3"/>
      <c r="V1113" s="7"/>
      <c r="W1113" s="7"/>
    </row>
    <row r="1114" spans="2:23" x14ac:dyDescent="0.2">
      <c r="B1114" s="3"/>
      <c r="C1114" s="3"/>
      <c r="D1114" s="3"/>
      <c r="E1114" s="4"/>
      <c r="F1114" s="4"/>
      <c r="G1114" s="4"/>
      <c r="H1114" s="4"/>
      <c r="I1114" s="4"/>
      <c r="J1114" s="4"/>
      <c r="K1114" s="4"/>
      <c r="L1114" s="3"/>
      <c r="M1114" s="3"/>
      <c r="N1114" s="3"/>
      <c r="O1114" s="3"/>
      <c r="P1114" s="3"/>
      <c r="Q1114" s="3"/>
      <c r="R1114" s="3"/>
      <c r="S1114" s="3"/>
      <c r="T1114" s="3"/>
      <c r="U1114" s="3"/>
      <c r="V1114" s="7"/>
      <c r="W1114" s="7"/>
    </row>
    <row r="1115" spans="2:23" x14ac:dyDescent="0.2">
      <c r="B1115" s="3"/>
      <c r="C1115" s="3"/>
      <c r="D1115" s="3"/>
      <c r="E1115" s="4"/>
      <c r="F1115" s="4"/>
      <c r="G1115" s="4"/>
      <c r="H1115" s="4"/>
      <c r="I1115" s="4"/>
      <c r="J1115" s="4"/>
      <c r="K1115" s="4"/>
      <c r="L1115" s="3"/>
      <c r="M1115" s="3"/>
      <c r="N1115" s="3"/>
      <c r="O1115" s="3"/>
      <c r="P1115" s="3"/>
      <c r="Q1115" s="3"/>
      <c r="R1115" s="3"/>
      <c r="S1115" s="3"/>
      <c r="T1115" s="3"/>
      <c r="U1115" s="3"/>
      <c r="V1115" s="7"/>
      <c r="W1115" s="7"/>
    </row>
    <row r="1116" spans="2:23" x14ac:dyDescent="0.2">
      <c r="B1116" s="3"/>
      <c r="C1116" s="3"/>
      <c r="D1116" s="3"/>
      <c r="E1116" s="4"/>
      <c r="F1116" s="4"/>
      <c r="G1116" s="4"/>
      <c r="H1116" s="4"/>
      <c r="I1116" s="4"/>
      <c r="J1116" s="4"/>
      <c r="K1116" s="4"/>
      <c r="L1116" s="3"/>
      <c r="M1116" s="3"/>
      <c r="N1116" s="3"/>
      <c r="O1116" s="3"/>
      <c r="P1116" s="3"/>
      <c r="Q1116" s="3"/>
      <c r="R1116" s="3"/>
      <c r="S1116" s="3"/>
      <c r="T1116" s="3"/>
      <c r="U1116" s="3"/>
      <c r="V1116" s="7"/>
      <c r="W1116" s="7"/>
    </row>
    <row r="1117" spans="2:23" x14ac:dyDescent="0.2">
      <c r="B1117" s="3"/>
      <c r="C1117" s="3"/>
      <c r="D1117" s="3"/>
      <c r="E1117" s="4"/>
      <c r="F1117" s="4"/>
      <c r="G1117" s="4"/>
      <c r="H1117" s="4"/>
      <c r="I1117" s="4"/>
      <c r="J1117" s="4"/>
      <c r="K1117" s="4"/>
      <c r="L1117" s="3"/>
      <c r="M1117" s="3"/>
      <c r="N1117" s="3"/>
      <c r="O1117" s="3"/>
      <c r="P1117" s="3"/>
      <c r="Q1117" s="3"/>
      <c r="R1117" s="3"/>
      <c r="S1117" s="3"/>
      <c r="T1117" s="3"/>
      <c r="U1117" s="3"/>
      <c r="V1117" s="7"/>
      <c r="W1117" s="7"/>
    </row>
    <row r="1118" spans="2:23" x14ac:dyDescent="0.2">
      <c r="B1118" s="3"/>
      <c r="C1118" s="3"/>
      <c r="D1118" s="3"/>
      <c r="E1118" s="4"/>
      <c r="F1118" s="4"/>
      <c r="G1118" s="4"/>
      <c r="H1118" s="4"/>
      <c r="I1118" s="4"/>
      <c r="J1118" s="4"/>
      <c r="K1118" s="4"/>
      <c r="L1118" s="3"/>
      <c r="M1118" s="3"/>
      <c r="N1118" s="3"/>
      <c r="O1118" s="3"/>
      <c r="P1118" s="3"/>
      <c r="Q1118" s="3"/>
      <c r="R1118" s="3"/>
      <c r="S1118" s="3"/>
      <c r="T1118" s="3"/>
      <c r="U1118" s="3"/>
      <c r="V1118" s="7"/>
      <c r="W1118" s="7"/>
    </row>
    <row r="1119" spans="2:23" x14ac:dyDescent="0.2">
      <c r="B1119" s="3"/>
      <c r="C1119" s="3"/>
      <c r="D1119" s="3"/>
      <c r="E1119" s="4"/>
      <c r="F1119" s="4"/>
      <c r="G1119" s="4"/>
      <c r="H1119" s="4"/>
      <c r="I1119" s="4"/>
      <c r="J1119" s="4"/>
      <c r="K1119" s="4"/>
      <c r="L1119" s="3"/>
      <c r="M1119" s="3"/>
      <c r="N1119" s="3"/>
      <c r="O1119" s="3"/>
      <c r="P1119" s="3"/>
      <c r="Q1119" s="3"/>
      <c r="R1119" s="3"/>
      <c r="S1119" s="3"/>
      <c r="T1119" s="3"/>
      <c r="U1119" s="3"/>
      <c r="V1119" s="7"/>
      <c r="W1119" s="7"/>
    </row>
    <row r="1120" spans="2:23" x14ac:dyDescent="0.2">
      <c r="B1120" s="3"/>
      <c r="C1120" s="3"/>
      <c r="D1120" s="3"/>
      <c r="E1120" s="4"/>
      <c r="F1120" s="4"/>
      <c r="G1120" s="4"/>
      <c r="H1120" s="4"/>
      <c r="I1120" s="4"/>
      <c r="J1120" s="4"/>
      <c r="K1120" s="4"/>
      <c r="L1120" s="3"/>
      <c r="M1120" s="3"/>
      <c r="N1120" s="3"/>
      <c r="O1120" s="3"/>
      <c r="P1120" s="3"/>
      <c r="Q1120" s="3"/>
      <c r="R1120" s="3"/>
      <c r="S1120" s="3"/>
      <c r="T1120" s="3"/>
      <c r="U1120" s="3"/>
      <c r="V1120" s="7"/>
      <c r="W1120" s="7"/>
    </row>
    <row r="1121" spans="2:23" x14ac:dyDescent="0.2">
      <c r="B1121" s="3"/>
      <c r="C1121" s="3"/>
      <c r="D1121" s="3"/>
      <c r="E1121" s="4"/>
      <c r="F1121" s="4"/>
      <c r="G1121" s="4"/>
      <c r="H1121" s="4"/>
      <c r="I1121" s="4"/>
      <c r="J1121" s="4"/>
      <c r="K1121" s="4"/>
      <c r="L1121" s="3"/>
      <c r="M1121" s="3"/>
      <c r="N1121" s="3"/>
      <c r="O1121" s="3"/>
      <c r="P1121" s="3"/>
      <c r="Q1121" s="3"/>
      <c r="R1121" s="3"/>
      <c r="S1121" s="3"/>
      <c r="T1121" s="3"/>
      <c r="U1121" s="3"/>
      <c r="V1121" s="7"/>
      <c r="W1121" s="7"/>
    </row>
    <row r="1122" spans="2:23" x14ac:dyDescent="0.2">
      <c r="B1122" s="3"/>
      <c r="C1122" s="3"/>
      <c r="D1122" s="3"/>
      <c r="E1122" s="4"/>
      <c r="F1122" s="4"/>
      <c r="G1122" s="4"/>
      <c r="H1122" s="4"/>
      <c r="I1122" s="4"/>
      <c r="J1122" s="4"/>
      <c r="K1122" s="4"/>
      <c r="L1122" s="3"/>
      <c r="M1122" s="3"/>
      <c r="N1122" s="3"/>
      <c r="O1122" s="3"/>
      <c r="P1122" s="3"/>
      <c r="Q1122" s="3"/>
      <c r="R1122" s="3"/>
      <c r="S1122" s="3"/>
      <c r="T1122" s="3"/>
      <c r="U1122" s="3"/>
      <c r="V1122" s="7"/>
      <c r="W1122" s="7"/>
    </row>
    <row r="1123" spans="2:23" x14ac:dyDescent="0.2">
      <c r="B1123" s="3"/>
      <c r="C1123" s="3"/>
      <c r="D1123" s="3"/>
      <c r="E1123" s="4"/>
      <c r="F1123" s="4"/>
      <c r="G1123" s="4"/>
      <c r="H1123" s="4"/>
      <c r="I1123" s="4"/>
      <c r="J1123" s="4"/>
      <c r="K1123" s="4"/>
      <c r="L1123" s="3"/>
      <c r="M1123" s="3"/>
      <c r="N1123" s="3"/>
      <c r="O1123" s="3"/>
      <c r="P1123" s="3"/>
      <c r="Q1123" s="3"/>
      <c r="R1123" s="3"/>
      <c r="S1123" s="3"/>
      <c r="T1123" s="3"/>
      <c r="U1123" s="3"/>
      <c r="V1123" s="7"/>
      <c r="W1123" s="7"/>
    </row>
    <row r="1124" spans="2:23" x14ac:dyDescent="0.2">
      <c r="B1124" s="3"/>
      <c r="C1124" s="3"/>
      <c r="D1124" s="3"/>
      <c r="E1124" s="4"/>
      <c r="F1124" s="4"/>
      <c r="G1124" s="4"/>
      <c r="H1124" s="4"/>
      <c r="I1124" s="4"/>
      <c r="J1124" s="4"/>
      <c r="K1124" s="4"/>
      <c r="L1124" s="3"/>
      <c r="M1124" s="3"/>
      <c r="N1124" s="3"/>
      <c r="O1124" s="3"/>
      <c r="P1124" s="3"/>
      <c r="Q1124" s="3"/>
      <c r="R1124" s="3"/>
      <c r="S1124" s="3"/>
      <c r="T1124" s="3"/>
      <c r="U1124" s="3"/>
      <c r="V1124" s="7"/>
      <c r="W1124" s="7"/>
    </row>
    <row r="1125" spans="2:23" x14ac:dyDescent="0.2">
      <c r="B1125" s="3"/>
      <c r="C1125" s="3"/>
      <c r="D1125" s="3"/>
      <c r="E1125" s="4"/>
      <c r="F1125" s="4"/>
      <c r="G1125" s="4"/>
      <c r="H1125" s="4"/>
      <c r="I1125" s="4"/>
      <c r="J1125" s="4"/>
      <c r="K1125" s="4"/>
      <c r="L1125" s="3"/>
      <c r="M1125" s="3"/>
      <c r="N1125" s="3"/>
      <c r="O1125" s="3"/>
      <c r="P1125" s="3"/>
      <c r="Q1125" s="3"/>
      <c r="R1125" s="3"/>
      <c r="S1125" s="3"/>
      <c r="T1125" s="3"/>
      <c r="U1125" s="3"/>
      <c r="V1125" s="7"/>
      <c r="W1125" s="7"/>
    </row>
    <row r="1126" spans="2:23" x14ac:dyDescent="0.2">
      <c r="B1126" s="3"/>
      <c r="C1126" s="3"/>
      <c r="D1126" s="3"/>
      <c r="E1126" s="4"/>
      <c r="F1126" s="4"/>
      <c r="G1126" s="4"/>
      <c r="H1126" s="4"/>
      <c r="I1126" s="4"/>
      <c r="J1126" s="4"/>
      <c r="K1126" s="4"/>
      <c r="L1126" s="3"/>
      <c r="M1126" s="3"/>
      <c r="N1126" s="3"/>
      <c r="O1126" s="3"/>
      <c r="P1126" s="3"/>
      <c r="Q1126" s="3"/>
      <c r="R1126" s="3"/>
      <c r="S1126" s="3"/>
      <c r="T1126" s="3"/>
      <c r="U1126" s="3"/>
      <c r="V1126" s="7"/>
      <c r="W1126" s="7"/>
    </row>
    <row r="1127" spans="2:23" x14ac:dyDescent="0.2">
      <c r="B1127" s="3"/>
      <c r="C1127" s="3"/>
      <c r="D1127" s="3"/>
      <c r="E1127" s="4"/>
      <c r="F1127" s="4"/>
      <c r="G1127" s="4"/>
      <c r="H1127" s="4"/>
      <c r="I1127" s="4"/>
      <c r="J1127" s="4"/>
      <c r="K1127" s="4"/>
      <c r="L1127" s="3"/>
      <c r="M1127" s="3"/>
      <c r="N1127" s="3"/>
      <c r="O1127" s="3"/>
      <c r="P1127" s="3"/>
      <c r="Q1127" s="3"/>
      <c r="R1127" s="3"/>
      <c r="S1127" s="3"/>
      <c r="T1127" s="3"/>
      <c r="U1127" s="3"/>
      <c r="V1127" s="7"/>
      <c r="W1127" s="7"/>
    </row>
    <row r="1128" spans="2:23" x14ac:dyDescent="0.2">
      <c r="B1128" s="3"/>
      <c r="C1128" s="3"/>
      <c r="D1128" s="3"/>
      <c r="E1128" s="4"/>
      <c r="F1128" s="4"/>
      <c r="G1128" s="4"/>
      <c r="H1128" s="4"/>
      <c r="I1128" s="4"/>
      <c r="J1128" s="4"/>
      <c r="K1128" s="4"/>
      <c r="L1128" s="3"/>
      <c r="M1128" s="3"/>
      <c r="N1128" s="3"/>
      <c r="O1128" s="3"/>
      <c r="P1128" s="3"/>
      <c r="Q1128" s="3"/>
      <c r="R1128" s="3"/>
      <c r="S1128" s="3"/>
      <c r="T1128" s="3"/>
      <c r="U1128" s="3"/>
      <c r="V1128" s="7"/>
      <c r="W1128" s="7"/>
    </row>
    <row r="1129" spans="2:23" x14ac:dyDescent="0.2">
      <c r="B1129" s="3"/>
      <c r="C1129" s="3"/>
      <c r="D1129" s="3"/>
      <c r="E1129" s="4"/>
      <c r="F1129" s="4"/>
      <c r="G1129" s="4"/>
      <c r="H1129" s="4"/>
      <c r="I1129" s="4"/>
      <c r="J1129" s="4"/>
      <c r="K1129" s="4"/>
      <c r="L1129" s="3"/>
      <c r="M1129" s="3"/>
      <c r="N1129" s="3"/>
      <c r="O1129" s="3"/>
      <c r="P1129" s="3"/>
      <c r="Q1129" s="3"/>
      <c r="R1129" s="3"/>
      <c r="S1129" s="3"/>
      <c r="T1129" s="3"/>
      <c r="U1129" s="3"/>
      <c r="V1129" s="7"/>
      <c r="W1129" s="7"/>
    </row>
    <row r="1130" spans="2:23" x14ac:dyDescent="0.2">
      <c r="B1130" s="3"/>
      <c r="C1130" s="3"/>
      <c r="D1130" s="3"/>
      <c r="E1130" s="4"/>
      <c r="F1130" s="4"/>
      <c r="G1130" s="4"/>
      <c r="H1130" s="4"/>
      <c r="I1130" s="4"/>
      <c r="J1130" s="4"/>
      <c r="K1130" s="4"/>
      <c r="L1130" s="3"/>
      <c r="M1130" s="3"/>
      <c r="N1130" s="3"/>
      <c r="O1130" s="3"/>
      <c r="P1130" s="3"/>
      <c r="Q1130" s="3"/>
      <c r="R1130" s="3"/>
      <c r="S1130" s="3"/>
      <c r="T1130" s="3"/>
      <c r="U1130" s="3"/>
      <c r="V1130" s="7"/>
      <c r="W1130" s="7"/>
    </row>
    <row r="1131" spans="2:23" x14ac:dyDescent="0.2">
      <c r="B1131" s="3"/>
      <c r="C1131" s="3"/>
      <c r="D1131" s="3"/>
      <c r="E1131" s="4"/>
      <c r="F1131" s="4"/>
      <c r="G1131" s="4"/>
      <c r="H1131" s="4"/>
      <c r="I1131" s="4"/>
      <c r="J1131" s="4"/>
      <c r="K1131" s="4"/>
      <c r="L1131" s="3"/>
      <c r="M1131" s="3"/>
      <c r="N1131" s="3"/>
      <c r="O1131" s="3"/>
      <c r="P1131" s="3"/>
      <c r="Q1131" s="3"/>
      <c r="R1131" s="3"/>
      <c r="S1131" s="3"/>
      <c r="T1131" s="3"/>
      <c r="U1131" s="3"/>
      <c r="V1131" s="7"/>
      <c r="W1131" s="7"/>
    </row>
    <row r="1132" spans="2:23" x14ac:dyDescent="0.2">
      <c r="B1132" s="3"/>
      <c r="C1132" s="3"/>
      <c r="D1132" s="3"/>
      <c r="E1132" s="4"/>
      <c r="F1132" s="4"/>
      <c r="G1132" s="4"/>
      <c r="H1132" s="4"/>
      <c r="I1132" s="4"/>
      <c r="J1132" s="4"/>
      <c r="K1132" s="4"/>
      <c r="L1132" s="3"/>
      <c r="M1132" s="3"/>
      <c r="N1132" s="3"/>
      <c r="O1132" s="3"/>
      <c r="P1132" s="3"/>
      <c r="Q1132" s="3"/>
      <c r="R1132" s="3"/>
      <c r="S1132" s="3"/>
      <c r="T1132" s="3"/>
      <c r="U1132" s="3"/>
      <c r="V1132" s="7"/>
      <c r="W1132" s="7"/>
    </row>
    <row r="1133" spans="2:23" x14ac:dyDescent="0.2">
      <c r="B1133" s="3"/>
      <c r="C1133" s="3"/>
      <c r="D1133" s="3"/>
      <c r="E1133" s="4"/>
      <c r="F1133" s="4"/>
      <c r="G1133" s="4"/>
      <c r="H1133" s="4"/>
      <c r="I1133" s="4"/>
      <c r="J1133" s="4"/>
      <c r="K1133" s="4"/>
      <c r="L1133" s="3"/>
      <c r="M1133" s="3"/>
      <c r="N1133" s="3"/>
      <c r="O1133" s="3"/>
      <c r="P1133" s="3"/>
      <c r="Q1133" s="3"/>
      <c r="R1133" s="3"/>
      <c r="S1133" s="3"/>
      <c r="T1133" s="3"/>
      <c r="U1133" s="3"/>
      <c r="V1133" s="7"/>
      <c r="W1133" s="7"/>
    </row>
    <row r="1134" spans="2:23" x14ac:dyDescent="0.2">
      <c r="B1134" s="3"/>
      <c r="C1134" s="3"/>
      <c r="D1134" s="3"/>
      <c r="E1134" s="4"/>
      <c r="F1134" s="4"/>
      <c r="G1134" s="4"/>
      <c r="H1134" s="4"/>
      <c r="I1134" s="4"/>
      <c r="J1134" s="4"/>
      <c r="K1134" s="4"/>
      <c r="L1134" s="3"/>
      <c r="M1134" s="3"/>
      <c r="N1134" s="3"/>
      <c r="O1134" s="3"/>
      <c r="P1134" s="3"/>
      <c r="Q1134" s="3"/>
      <c r="R1134" s="3"/>
      <c r="S1134" s="3"/>
      <c r="T1134" s="3"/>
      <c r="U1134" s="3"/>
      <c r="V1134" s="7"/>
      <c r="W1134" s="7"/>
    </row>
    <row r="1135" spans="2:23" x14ac:dyDescent="0.2">
      <c r="B1135" s="3"/>
      <c r="C1135" s="3"/>
      <c r="D1135" s="3"/>
      <c r="E1135" s="4"/>
      <c r="F1135" s="4"/>
      <c r="G1135" s="4"/>
      <c r="H1135" s="4"/>
      <c r="I1135" s="4"/>
      <c r="J1135" s="4"/>
      <c r="K1135" s="4"/>
      <c r="L1135" s="3"/>
      <c r="M1135" s="3"/>
      <c r="N1135" s="3"/>
      <c r="O1135" s="3"/>
      <c r="P1135" s="3"/>
      <c r="Q1135" s="3"/>
      <c r="R1135" s="3"/>
      <c r="S1135" s="3"/>
      <c r="T1135" s="3"/>
      <c r="U1135" s="3"/>
      <c r="V1135" s="7"/>
      <c r="W1135" s="7"/>
    </row>
    <row r="1136" spans="2:23" x14ac:dyDescent="0.2">
      <c r="B1136" s="3"/>
      <c r="C1136" s="3"/>
      <c r="D1136" s="3"/>
      <c r="E1136" s="4"/>
      <c r="F1136" s="4"/>
      <c r="G1136" s="4"/>
      <c r="H1136" s="4"/>
      <c r="I1136" s="4"/>
      <c r="J1136" s="4"/>
      <c r="K1136" s="4"/>
      <c r="L1136" s="3"/>
      <c r="M1136" s="3"/>
      <c r="N1136" s="3"/>
      <c r="O1136" s="3"/>
      <c r="P1136" s="3"/>
      <c r="Q1136" s="3"/>
      <c r="R1136" s="3"/>
      <c r="S1136" s="3"/>
      <c r="T1136" s="3"/>
      <c r="U1136" s="3"/>
      <c r="V1136" s="7"/>
      <c r="W1136" s="7"/>
    </row>
    <row r="1137" spans="2:23" x14ac:dyDescent="0.2">
      <c r="B1137" s="3"/>
      <c r="C1137" s="3"/>
      <c r="D1137" s="3"/>
      <c r="E1137" s="4"/>
      <c r="F1137" s="4"/>
      <c r="G1137" s="4"/>
      <c r="H1137" s="4"/>
      <c r="I1137" s="4"/>
      <c r="J1137" s="4"/>
      <c r="K1137" s="4"/>
      <c r="L1137" s="3"/>
      <c r="M1137" s="3"/>
      <c r="N1137" s="3"/>
      <c r="O1137" s="3"/>
      <c r="P1137" s="3"/>
      <c r="Q1137" s="3"/>
      <c r="R1137" s="3"/>
      <c r="S1137" s="3"/>
      <c r="T1137" s="3"/>
      <c r="U1137" s="3"/>
      <c r="V1137" s="7"/>
      <c r="W1137" s="7"/>
    </row>
    <row r="1138" spans="2:23" x14ac:dyDescent="0.2">
      <c r="B1138" s="3"/>
      <c r="C1138" s="3"/>
      <c r="D1138" s="3"/>
      <c r="E1138" s="4"/>
      <c r="F1138" s="4"/>
      <c r="G1138" s="4"/>
      <c r="H1138" s="4"/>
      <c r="I1138" s="4"/>
      <c r="J1138" s="4"/>
      <c r="K1138" s="4"/>
      <c r="L1138" s="3"/>
      <c r="M1138" s="3"/>
      <c r="N1138" s="3"/>
      <c r="O1138" s="3"/>
      <c r="P1138" s="3"/>
      <c r="Q1138" s="3"/>
      <c r="R1138" s="3"/>
      <c r="S1138" s="3"/>
      <c r="T1138" s="3"/>
      <c r="U1138" s="3"/>
      <c r="V1138" s="7"/>
      <c r="W1138" s="7"/>
    </row>
    <row r="1139" spans="2:23" x14ac:dyDescent="0.2">
      <c r="B1139" s="3"/>
      <c r="C1139" s="3"/>
      <c r="D1139" s="3"/>
      <c r="E1139" s="4"/>
      <c r="F1139" s="4"/>
      <c r="G1139" s="4"/>
      <c r="H1139" s="4"/>
      <c r="I1139" s="4"/>
      <c r="J1139" s="4"/>
      <c r="K1139" s="4"/>
      <c r="L1139" s="3"/>
      <c r="M1139" s="3"/>
      <c r="N1139" s="3"/>
      <c r="O1139" s="3"/>
      <c r="P1139" s="3"/>
      <c r="Q1139" s="3"/>
      <c r="R1139" s="3"/>
      <c r="S1139" s="3"/>
      <c r="T1139" s="3"/>
      <c r="U1139" s="3"/>
      <c r="V1139" s="7"/>
      <c r="W1139" s="7"/>
    </row>
    <row r="1140" spans="2:23" x14ac:dyDescent="0.2">
      <c r="B1140" s="3"/>
      <c r="C1140" s="3"/>
      <c r="D1140" s="3"/>
      <c r="E1140" s="4"/>
      <c r="F1140" s="4"/>
      <c r="G1140" s="4"/>
      <c r="H1140" s="4"/>
      <c r="I1140" s="4"/>
      <c r="J1140" s="4"/>
      <c r="K1140" s="4"/>
      <c r="L1140" s="3"/>
      <c r="M1140" s="3"/>
      <c r="N1140" s="3"/>
      <c r="O1140" s="3"/>
      <c r="P1140" s="3"/>
      <c r="Q1140" s="3"/>
      <c r="R1140" s="3"/>
      <c r="S1140" s="3"/>
      <c r="T1140" s="3"/>
      <c r="U1140" s="3"/>
      <c r="V1140" s="7"/>
      <c r="W1140" s="7"/>
    </row>
    <row r="1141" spans="2:23" x14ac:dyDescent="0.2">
      <c r="B1141" s="3"/>
      <c r="C1141" s="3"/>
      <c r="D1141" s="3"/>
      <c r="E1141" s="4"/>
      <c r="F1141" s="4"/>
      <c r="G1141" s="4"/>
      <c r="H1141" s="4"/>
      <c r="I1141" s="4"/>
      <c r="J1141" s="4"/>
      <c r="K1141" s="4"/>
      <c r="L1141" s="3"/>
      <c r="M1141" s="3"/>
      <c r="N1141" s="3"/>
      <c r="O1141" s="3"/>
      <c r="P1141" s="3"/>
      <c r="Q1141" s="3"/>
      <c r="R1141" s="3"/>
      <c r="S1141" s="3"/>
      <c r="T1141" s="3"/>
      <c r="U1141" s="3"/>
      <c r="V1141" s="7"/>
      <c r="W1141" s="7"/>
    </row>
    <row r="1142" spans="2:23" x14ac:dyDescent="0.2">
      <c r="B1142" s="3"/>
      <c r="C1142" s="3"/>
      <c r="D1142" s="3"/>
      <c r="E1142" s="4"/>
      <c r="F1142" s="4"/>
      <c r="G1142" s="4"/>
      <c r="H1142" s="4"/>
      <c r="I1142" s="4"/>
      <c r="J1142" s="4"/>
      <c r="K1142" s="4"/>
      <c r="L1142" s="3"/>
      <c r="M1142" s="3"/>
      <c r="N1142" s="3"/>
      <c r="O1142" s="3"/>
      <c r="P1142" s="3"/>
      <c r="Q1142" s="3"/>
      <c r="R1142" s="3"/>
      <c r="S1142" s="3"/>
      <c r="T1142" s="3"/>
      <c r="U1142" s="3"/>
      <c r="V1142" s="7"/>
      <c r="W1142" s="7"/>
    </row>
    <row r="1143" spans="2:23" x14ac:dyDescent="0.2">
      <c r="B1143" s="3"/>
      <c r="C1143" s="3"/>
      <c r="D1143" s="3"/>
      <c r="E1143" s="4"/>
      <c r="F1143" s="4"/>
      <c r="G1143" s="4"/>
      <c r="H1143" s="4"/>
      <c r="I1143" s="4"/>
      <c r="J1143" s="4"/>
      <c r="K1143" s="4"/>
      <c r="L1143" s="3"/>
      <c r="M1143" s="3"/>
      <c r="N1143" s="3"/>
      <c r="O1143" s="3"/>
      <c r="P1143" s="3"/>
      <c r="Q1143" s="3"/>
      <c r="R1143" s="3"/>
      <c r="S1143" s="3"/>
      <c r="T1143" s="3"/>
      <c r="U1143" s="3"/>
      <c r="V1143" s="7"/>
      <c r="W1143" s="7"/>
    </row>
    <row r="1144" spans="2:23" x14ac:dyDescent="0.2">
      <c r="B1144" s="3"/>
      <c r="C1144" s="3"/>
      <c r="D1144" s="3"/>
      <c r="E1144" s="4"/>
      <c r="F1144" s="4"/>
      <c r="G1144" s="4"/>
      <c r="H1144" s="4"/>
      <c r="I1144" s="4"/>
      <c r="J1144" s="4"/>
      <c r="K1144" s="4"/>
      <c r="L1144" s="3"/>
      <c r="M1144" s="3"/>
      <c r="N1144" s="3"/>
      <c r="O1144" s="3"/>
      <c r="P1144" s="3"/>
      <c r="Q1144" s="3"/>
      <c r="R1144" s="3"/>
      <c r="S1144" s="3"/>
      <c r="T1144" s="3"/>
      <c r="U1144" s="3"/>
      <c r="V1144" s="7"/>
      <c r="W1144" s="7"/>
    </row>
    <row r="1145" spans="2:23" x14ac:dyDescent="0.2">
      <c r="E1145" s="1"/>
      <c r="F1145" s="1"/>
      <c r="H1145" s="1"/>
      <c r="I1145" s="1"/>
      <c r="J1145" s="1"/>
      <c r="K1145" s="1"/>
    </row>
    <row r="1146" spans="2:23" x14ac:dyDescent="0.2">
      <c r="E1146" s="1"/>
      <c r="F1146" s="1"/>
      <c r="H1146" s="1"/>
      <c r="I1146" s="1"/>
      <c r="J1146" s="1"/>
      <c r="K1146" s="1"/>
    </row>
    <row r="1147" spans="2:23" x14ac:dyDescent="0.2">
      <c r="E1147" s="1"/>
      <c r="F1147" s="1"/>
      <c r="H1147" s="1"/>
      <c r="I1147" s="1"/>
      <c r="J1147" s="1"/>
      <c r="K1147" s="1"/>
    </row>
    <row r="1148" spans="2:23" x14ac:dyDescent="0.2">
      <c r="E1148" s="1"/>
      <c r="F1148" s="1"/>
      <c r="H1148" s="1"/>
      <c r="I1148" s="1"/>
      <c r="J1148" s="1"/>
      <c r="K1148" s="1"/>
    </row>
    <row r="1149" spans="2:23" x14ac:dyDescent="0.2">
      <c r="E1149" s="1"/>
      <c r="F1149" s="1"/>
      <c r="H1149" s="1"/>
      <c r="I1149" s="1"/>
      <c r="J1149" s="1"/>
      <c r="K1149" s="1"/>
    </row>
    <row r="1150" spans="2:23" x14ac:dyDescent="0.2">
      <c r="E1150" s="1"/>
      <c r="F1150" s="1"/>
      <c r="H1150" s="1"/>
      <c r="I1150" s="1"/>
      <c r="J1150" s="1"/>
      <c r="K1150" s="1"/>
    </row>
    <row r="1151" spans="2:23" x14ac:dyDescent="0.2">
      <c r="E1151" s="1"/>
      <c r="F1151" s="1"/>
      <c r="H1151" s="1"/>
      <c r="I1151" s="1"/>
      <c r="J1151" s="1"/>
      <c r="K1151" s="1"/>
    </row>
    <row r="1152" spans="2:23" x14ac:dyDescent="0.2">
      <c r="E1152" s="1"/>
      <c r="F1152" s="1"/>
      <c r="H1152" s="1"/>
      <c r="I1152" s="1"/>
      <c r="J1152" s="1"/>
      <c r="K1152" s="1"/>
    </row>
    <row r="1153" spans="5:11" x14ac:dyDescent="0.2">
      <c r="E1153" s="1"/>
      <c r="F1153" s="1"/>
      <c r="H1153" s="1"/>
      <c r="I1153" s="1"/>
      <c r="J1153" s="1"/>
      <c r="K1153" s="1"/>
    </row>
    <row r="1154" spans="5:11" x14ac:dyDescent="0.2">
      <c r="E1154" s="1"/>
      <c r="F1154" s="1"/>
      <c r="H1154" s="1"/>
      <c r="I1154" s="1"/>
      <c r="J1154" s="1"/>
      <c r="K1154" s="1"/>
    </row>
    <row r="1155" spans="5:11" x14ac:dyDescent="0.2">
      <c r="E1155" s="1"/>
      <c r="F1155" s="1"/>
      <c r="H1155" s="1"/>
      <c r="I1155" s="1"/>
      <c r="J1155" s="1"/>
      <c r="K1155" s="1"/>
    </row>
    <row r="1156" spans="5:11" x14ac:dyDescent="0.2">
      <c r="E1156" s="1"/>
      <c r="F1156" s="1"/>
      <c r="H1156" s="1"/>
      <c r="I1156" s="1"/>
      <c r="J1156" s="1"/>
      <c r="K1156" s="1"/>
    </row>
    <row r="1157" spans="5:11" x14ac:dyDescent="0.2">
      <c r="E1157" s="1"/>
      <c r="F1157" s="1"/>
      <c r="H1157" s="1"/>
      <c r="I1157" s="1"/>
      <c r="J1157" s="1"/>
      <c r="K1157" s="1"/>
    </row>
    <row r="1158" spans="5:11" x14ac:dyDescent="0.2">
      <c r="E1158" s="1"/>
      <c r="F1158" s="1"/>
      <c r="H1158" s="1"/>
      <c r="I1158" s="1"/>
      <c r="J1158" s="1"/>
      <c r="K1158" s="1"/>
    </row>
    <row r="1159" spans="5:11" x14ac:dyDescent="0.2">
      <c r="E1159" s="1"/>
      <c r="F1159" s="1"/>
      <c r="H1159" s="1"/>
      <c r="I1159" s="1"/>
      <c r="J1159" s="1"/>
      <c r="K1159" s="1"/>
    </row>
    <row r="1160" spans="5:11" x14ac:dyDescent="0.2">
      <c r="E1160" s="1"/>
      <c r="F1160" s="1"/>
      <c r="H1160" s="1"/>
      <c r="I1160" s="1"/>
      <c r="J1160" s="1"/>
      <c r="K1160" s="1"/>
    </row>
    <row r="1161" spans="5:11" x14ac:dyDescent="0.2">
      <c r="E1161" s="1"/>
      <c r="F1161" s="1"/>
      <c r="H1161" s="1"/>
      <c r="I1161" s="1"/>
      <c r="J1161" s="1"/>
      <c r="K1161" s="1"/>
    </row>
    <row r="1162" spans="5:11" x14ac:dyDescent="0.2">
      <c r="E1162" s="1"/>
      <c r="F1162" s="1"/>
      <c r="H1162" s="1"/>
      <c r="I1162" s="1"/>
      <c r="J1162" s="1"/>
      <c r="K1162" s="1"/>
    </row>
    <row r="1163" spans="5:11" x14ac:dyDescent="0.2">
      <c r="E1163" s="1"/>
      <c r="F1163" s="1"/>
      <c r="H1163" s="1"/>
      <c r="I1163" s="1"/>
      <c r="J1163" s="1"/>
      <c r="K1163" s="1"/>
    </row>
    <row r="1164" spans="5:11" x14ac:dyDescent="0.2">
      <c r="E1164" s="1"/>
      <c r="F1164" s="1"/>
      <c r="H1164" s="1"/>
      <c r="I1164" s="1"/>
      <c r="J1164" s="1"/>
      <c r="K1164" s="1"/>
    </row>
    <row r="1165" spans="5:11" x14ac:dyDescent="0.2">
      <c r="E1165" s="1"/>
      <c r="F1165" s="1"/>
      <c r="H1165" s="1"/>
      <c r="I1165" s="1"/>
      <c r="J1165" s="1"/>
      <c r="K1165" s="1"/>
    </row>
    <row r="1166" spans="5:11" x14ac:dyDescent="0.2">
      <c r="E1166" s="1"/>
      <c r="F1166" s="1"/>
      <c r="H1166" s="1"/>
      <c r="I1166" s="1"/>
      <c r="J1166" s="1"/>
      <c r="K1166" s="1"/>
    </row>
    <row r="1167" spans="5:11" x14ac:dyDescent="0.2">
      <c r="E1167" s="1"/>
      <c r="F1167" s="1"/>
      <c r="H1167" s="1"/>
      <c r="I1167" s="1"/>
      <c r="J1167" s="1"/>
      <c r="K1167" s="1"/>
    </row>
    <row r="1168" spans="5:11" x14ac:dyDescent="0.2">
      <c r="E1168" s="1"/>
      <c r="F1168" s="1"/>
      <c r="H1168" s="1"/>
      <c r="I1168" s="1"/>
      <c r="J1168" s="1"/>
      <c r="K1168" s="1"/>
    </row>
    <row r="1169" spans="5:11" x14ac:dyDescent="0.2">
      <c r="E1169" s="1"/>
      <c r="F1169" s="1"/>
      <c r="H1169" s="1"/>
      <c r="I1169" s="1"/>
      <c r="J1169" s="1"/>
      <c r="K1169" s="1"/>
    </row>
    <row r="1170" spans="5:11" x14ac:dyDescent="0.2">
      <c r="E1170" s="1"/>
      <c r="F1170" s="1"/>
      <c r="H1170" s="1"/>
      <c r="I1170" s="1"/>
      <c r="J1170" s="1"/>
      <c r="K1170" s="1"/>
    </row>
    <row r="1171" spans="5:11" x14ac:dyDescent="0.2">
      <c r="E1171" s="1"/>
      <c r="F1171" s="1"/>
      <c r="H1171" s="1"/>
      <c r="I1171" s="1"/>
      <c r="J1171" s="1"/>
      <c r="K1171" s="1"/>
    </row>
    <row r="1172" spans="5:11" x14ac:dyDescent="0.2">
      <c r="E1172" s="1"/>
      <c r="F1172" s="1"/>
      <c r="H1172" s="1"/>
      <c r="I1172" s="1"/>
      <c r="J1172" s="1"/>
      <c r="K1172" s="1"/>
    </row>
    <row r="1173" spans="5:11" x14ac:dyDescent="0.2">
      <c r="E1173" s="1"/>
      <c r="F1173" s="1"/>
      <c r="H1173" s="1"/>
      <c r="I1173" s="1"/>
      <c r="J1173" s="1"/>
      <c r="K1173" s="1"/>
    </row>
    <row r="1174" spans="5:11" x14ac:dyDescent="0.2">
      <c r="E1174" s="1"/>
      <c r="F1174" s="1"/>
      <c r="H1174" s="1"/>
      <c r="I1174" s="1"/>
      <c r="J1174" s="1"/>
      <c r="K1174" s="1"/>
    </row>
    <row r="1175" spans="5:11" x14ac:dyDescent="0.2">
      <c r="E1175" s="1"/>
      <c r="F1175" s="1"/>
      <c r="H1175" s="1"/>
      <c r="I1175" s="1"/>
      <c r="J1175" s="1"/>
      <c r="K1175" s="1"/>
    </row>
    <row r="1176" spans="5:11" x14ac:dyDescent="0.2">
      <c r="E1176" s="1"/>
      <c r="F1176" s="1"/>
      <c r="H1176" s="1"/>
      <c r="I1176" s="1"/>
      <c r="J1176" s="1"/>
      <c r="K1176" s="1"/>
    </row>
    <row r="1177" spans="5:11" x14ac:dyDescent="0.2">
      <c r="E1177" s="1"/>
      <c r="F1177" s="1"/>
      <c r="H1177" s="1"/>
      <c r="I1177" s="1"/>
      <c r="J1177" s="1"/>
      <c r="K1177" s="1"/>
    </row>
    <row r="1178" spans="5:11" x14ac:dyDescent="0.2">
      <c r="E1178" s="1"/>
      <c r="F1178" s="1"/>
      <c r="H1178" s="1"/>
      <c r="I1178" s="1"/>
      <c r="J1178" s="1"/>
      <c r="K1178" s="1"/>
    </row>
    <row r="1179" spans="5:11" x14ac:dyDescent="0.2">
      <c r="E1179" s="1"/>
      <c r="F1179" s="1"/>
      <c r="H1179" s="1"/>
      <c r="I1179" s="1"/>
      <c r="J1179" s="1"/>
      <c r="K1179" s="1"/>
    </row>
    <row r="1180" spans="5:11" x14ac:dyDescent="0.2">
      <c r="E1180" s="1"/>
      <c r="F1180" s="1"/>
      <c r="H1180" s="1"/>
      <c r="I1180" s="1"/>
      <c r="J1180" s="1"/>
      <c r="K1180" s="1"/>
    </row>
    <row r="1181" spans="5:11" x14ac:dyDescent="0.2">
      <c r="E1181" s="1"/>
      <c r="F1181" s="1"/>
      <c r="H1181" s="1"/>
      <c r="I1181" s="1"/>
      <c r="J1181" s="1"/>
      <c r="K1181" s="1"/>
    </row>
    <row r="1182" spans="5:11" x14ac:dyDescent="0.2">
      <c r="E1182" s="1"/>
      <c r="F1182" s="1"/>
      <c r="H1182" s="1"/>
      <c r="I1182" s="1"/>
      <c r="J1182" s="1"/>
      <c r="K1182" s="1"/>
    </row>
    <row r="1183" spans="5:11" x14ac:dyDescent="0.2">
      <c r="E1183" s="1"/>
      <c r="F1183" s="1"/>
      <c r="H1183" s="1"/>
      <c r="I1183" s="1"/>
      <c r="J1183" s="1"/>
      <c r="K1183" s="1"/>
    </row>
    <row r="1184" spans="5:11" x14ac:dyDescent="0.2">
      <c r="E1184" s="1"/>
      <c r="F1184" s="1"/>
      <c r="H1184" s="1"/>
      <c r="I1184" s="1"/>
      <c r="J1184" s="1"/>
      <c r="K1184" s="1"/>
    </row>
    <row r="1185" spans="5:11" x14ac:dyDescent="0.2">
      <c r="E1185" s="1"/>
      <c r="F1185" s="1"/>
      <c r="H1185" s="1"/>
      <c r="I1185" s="1"/>
      <c r="J1185" s="1"/>
      <c r="K1185" s="1"/>
    </row>
    <row r="1186" spans="5:11" x14ac:dyDescent="0.2">
      <c r="E1186" s="1"/>
      <c r="F1186" s="1"/>
      <c r="H1186" s="1"/>
      <c r="I1186" s="1"/>
      <c r="J1186" s="1"/>
      <c r="K1186" s="1"/>
    </row>
    <row r="1187" spans="5:11" x14ac:dyDescent="0.2">
      <c r="E1187" s="1"/>
      <c r="F1187" s="1"/>
      <c r="H1187" s="1"/>
      <c r="I1187" s="1"/>
      <c r="J1187" s="1"/>
      <c r="K1187" s="1"/>
    </row>
    <row r="1188" spans="5:11" x14ac:dyDescent="0.2">
      <c r="E1188" s="1"/>
      <c r="F1188" s="1"/>
      <c r="H1188" s="1"/>
      <c r="I1188" s="1"/>
      <c r="J1188" s="1"/>
      <c r="K1188" s="1"/>
    </row>
    <row r="1189" spans="5:11" x14ac:dyDescent="0.2">
      <c r="E1189" s="1"/>
      <c r="F1189" s="1"/>
      <c r="H1189" s="1"/>
      <c r="I1189" s="1"/>
      <c r="J1189" s="1"/>
      <c r="K1189" s="1"/>
    </row>
    <row r="1190" spans="5:11" x14ac:dyDescent="0.2">
      <c r="E1190" s="1"/>
      <c r="F1190" s="1"/>
      <c r="H1190" s="1"/>
      <c r="I1190" s="1"/>
      <c r="J1190" s="1"/>
      <c r="K1190" s="1"/>
    </row>
    <row r="1191" spans="5:11" x14ac:dyDescent="0.2">
      <c r="E1191" s="1"/>
      <c r="F1191" s="1"/>
      <c r="H1191" s="1"/>
      <c r="I1191" s="1"/>
      <c r="J1191" s="1"/>
      <c r="K1191" s="1"/>
    </row>
    <row r="1192" spans="5:11" x14ac:dyDescent="0.2">
      <c r="E1192" s="1"/>
      <c r="F1192" s="1"/>
      <c r="H1192" s="1"/>
      <c r="I1192" s="1"/>
      <c r="J1192" s="1"/>
      <c r="K1192" s="1"/>
    </row>
    <row r="1193" spans="5:11" x14ac:dyDescent="0.2">
      <c r="E1193" s="1"/>
      <c r="F1193" s="1"/>
      <c r="H1193" s="1"/>
      <c r="I1193" s="1"/>
      <c r="J1193" s="1"/>
      <c r="K1193" s="1"/>
    </row>
    <row r="1194" spans="5:11" x14ac:dyDescent="0.2">
      <c r="E1194" s="1"/>
      <c r="F1194" s="1"/>
      <c r="H1194" s="1"/>
      <c r="I1194" s="1"/>
      <c r="J1194" s="1"/>
      <c r="K1194" s="1"/>
    </row>
    <row r="1195" spans="5:11" x14ac:dyDescent="0.2">
      <c r="E1195" s="1"/>
      <c r="F1195" s="1"/>
      <c r="H1195" s="1"/>
      <c r="I1195" s="1"/>
      <c r="J1195" s="1"/>
      <c r="K1195" s="1"/>
    </row>
    <row r="1196" spans="5:11" x14ac:dyDescent="0.2">
      <c r="E1196" s="1"/>
      <c r="F1196" s="1"/>
      <c r="H1196" s="1"/>
      <c r="I1196" s="1"/>
      <c r="J1196" s="1"/>
      <c r="K1196" s="1"/>
    </row>
    <row r="1197" spans="5:11" x14ac:dyDescent="0.2">
      <c r="E1197" s="1"/>
      <c r="F1197" s="1"/>
      <c r="H1197" s="1"/>
      <c r="I1197" s="1"/>
      <c r="J1197" s="1"/>
      <c r="K1197" s="1"/>
    </row>
    <row r="1198" spans="5:11" x14ac:dyDescent="0.2">
      <c r="E1198" s="1"/>
      <c r="F1198" s="1"/>
      <c r="H1198" s="1"/>
      <c r="I1198" s="1"/>
      <c r="J1198" s="1"/>
      <c r="K1198" s="1"/>
    </row>
    <row r="1199" spans="5:11" x14ac:dyDescent="0.2">
      <c r="E1199" s="1"/>
      <c r="F1199" s="1"/>
      <c r="H1199" s="1"/>
      <c r="I1199" s="1"/>
      <c r="J1199" s="1"/>
      <c r="K1199" s="1"/>
    </row>
    <row r="1200" spans="5:11" x14ac:dyDescent="0.2">
      <c r="E1200" s="1"/>
      <c r="F1200" s="1"/>
      <c r="H1200" s="1"/>
      <c r="I1200" s="1"/>
      <c r="J1200" s="1"/>
      <c r="K1200" s="1"/>
    </row>
    <row r="1201" spans="5:11" x14ac:dyDescent="0.2">
      <c r="E1201" s="1"/>
      <c r="F1201" s="1"/>
      <c r="H1201" s="1"/>
      <c r="I1201" s="1"/>
      <c r="J1201" s="1"/>
      <c r="K1201" s="1"/>
    </row>
    <row r="1202" spans="5:11" x14ac:dyDescent="0.2">
      <c r="E1202" s="1"/>
      <c r="F1202" s="1"/>
      <c r="H1202" s="1"/>
      <c r="I1202" s="1"/>
      <c r="J1202" s="1"/>
      <c r="K1202" s="1"/>
    </row>
    <row r="1203" spans="5:11" x14ac:dyDescent="0.2">
      <c r="E1203" s="1"/>
      <c r="F1203" s="1"/>
      <c r="H1203" s="1"/>
      <c r="I1203" s="1"/>
      <c r="J1203" s="1"/>
      <c r="K1203" s="1"/>
    </row>
    <row r="1204" spans="5:11" x14ac:dyDescent="0.2">
      <c r="E1204" s="1"/>
      <c r="F1204" s="1"/>
      <c r="H1204" s="1"/>
      <c r="I1204" s="1"/>
      <c r="J1204" s="1"/>
      <c r="K1204" s="1"/>
    </row>
    <row r="1205" spans="5:11" x14ac:dyDescent="0.2">
      <c r="E1205" s="1"/>
      <c r="F1205" s="1"/>
      <c r="H1205" s="1"/>
      <c r="I1205" s="1"/>
      <c r="J1205" s="1"/>
      <c r="K1205" s="1"/>
    </row>
    <row r="1206" spans="5:11" x14ac:dyDescent="0.2">
      <c r="E1206" s="1"/>
      <c r="F1206" s="1"/>
      <c r="H1206" s="1"/>
      <c r="I1206" s="1"/>
      <c r="J1206" s="1"/>
      <c r="K1206" s="1"/>
    </row>
    <row r="1207" spans="5:11" x14ac:dyDescent="0.2">
      <c r="E1207" s="1"/>
      <c r="F1207" s="1"/>
      <c r="H1207" s="1"/>
      <c r="I1207" s="1"/>
      <c r="J1207" s="1"/>
      <c r="K1207" s="1"/>
    </row>
    <row r="1208" spans="5:11" x14ac:dyDescent="0.2">
      <c r="E1208" s="1"/>
      <c r="F1208" s="1"/>
      <c r="H1208" s="1"/>
      <c r="I1208" s="1"/>
      <c r="J1208" s="1"/>
      <c r="K1208" s="1"/>
    </row>
    <row r="1209" spans="5:11" x14ac:dyDescent="0.2">
      <c r="E1209" s="1"/>
      <c r="F1209" s="1"/>
      <c r="H1209" s="1"/>
      <c r="I1209" s="1"/>
      <c r="J1209" s="1"/>
      <c r="K1209" s="1"/>
    </row>
    <row r="1210" spans="5:11" x14ac:dyDescent="0.2">
      <c r="E1210" s="1"/>
      <c r="F1210" s="1"/>
      <c r="H1210" s="1"/>
      <c r="I1210" s="1"/>
      <c r="J1210" s="1"/>
      <c r="K1210" s="1"/>
    </row>
    <row r="1211" spans="5:11" x14ac:dyDescent="0.2">
      <c r="E1211" s="1"/>
      <c r="F1211" s="1"/>
      <c r="H1211" s="1"/>
      <c r="I1211" s="1"/>
      <c r="J1211" s="1"/>
      <c r="K1211" s="1"/>
    </row>
    <row r="1212" spans="5:11" x14ac:dyDescent="0.2">
      <c r="E1212" s="1"/>
      <c r="F1212" s="1"/>
      <c r="H1212" s="1"/>
      <c r="I1212" s="1"/>
      <c r="J1212" s="1"/>
      <c r="K1212" s="1"/>
    </row>
    <row r="1213" spans="5:11" x14ac:dyDescent="0.2">
      <c r="E1213" s="1"/>
      <c r="F1213" s="1"/>
      <c r="H1213" s="1"/>
      <c r="I1213" s="1"/>
      <c r="J1213" s="1"/>
      <c r="K1213" s="1"/>
    </row>
    <row r="1214" spans="5:11" x14ac:dyDescent="0.2">
      <c r="E1214" s="1"/>
      <c r="F1214" s="1"/>
      <c r="H1214" s="1"/>
      <c r="I1214" s="1"/>
      <c r="J1214" s="1"/>
      <c r="K1214" s="1"/>
    </row>
    <row r="1215" spans="5:11" x14ac:dyDescent="0.2">
      <c r="E1215" s="1"/>
      <c r="F1215" s="1"/>
      <c r="H1215" s="1"/>
      <c r="I1215" s="1"/>
      <c r="J1215" s="1"/>
      <c r="K1215" s="1"/>
    </row>
    <row r="1216" spans="5:11" x14ac:dyDescent="0.2">
      <c r="E1216" s="1"/>
      <c r="F1216" s="1"/>
      <c r="H1216" s="1"/>
      <c r="I1216" s="1"/>
      <c r="J1216" s="1"/>
      <c r="K1216" s="1"/>
    </row>
    <row r="1217" spans="5:11" x14ac:dyDescent="0.2">
      <c r="E1217" s="1"/>
      <c r="F1217" s="1"/>
      <c r="H1217" s="1"/>
      <c r="I1217" s="1"/>
      <c r="J1217" s="1"/>
      <c r="K1217" s="1"/>
    </row>
    <row r="1218" spans="5:11" x14ac:dyDescent="0.2">
      <c r="E1218" s="1"/>
      <c r="F1218" s="1"/>
      <c r="H1218" s="1"/>
      <c r="I1218" s="1"/>
      <c r="J1218" s="1"/>
      <c r="K1218" s="1"/>
    </row>
    <row r="1219" spans="5:11" x14ac:dyDescent="0.2">
      <c r="E1219" s="1"/>
      <c r="F1219" s="1"/>
      <c r="H1219" s="1"/>
      <c r="I1219" s="1"/>
      <c r="J1219" s="1"/>
      <c r="K1219" s="1"/>
    </row>
    <row r="1220" spans="5:11" x14ac:dyDescent="0.2">
      <c r="E1220" s="1"/>
      <c r="F1220" s="1"/>
      <c r="H1220" s="1"/>
      <c r="I1220" s="1"/>
      <c r="J1220" s="1"/>
      <c r="K1220" s="1"/>
    </row>
    <row r="1221" spans="5:11" x14ac:dyDescent="0.2">
      <c r="E1221" s="1"/>
      <c r="F1221" s="1"/>
      <c r="H1221" s="1"/>
      <c r="I1221" s="1"/>
      <c r="J1221" s="1"/>
      <c r="K1221" s="1"/>
    </row>
    <row r="1222" spans="5:11" x14ac:dyDescent="0.2">
      <c r="E1222" s="1"/>
      <c r="F1222" s="1"/>
      <c r="H1222" s="1"/>
      <c r="I1222" s="1"/>
      <c r="J1222" s="1"/>
      <c r="K1222" s="1"/>
    </row>
    <row r="1223" spans="5:11" x14ac:dyDescent="0.2">
      <c r="E1223" s="1"/>
      <c r="F1223" s="1"/>
      <c r="H1223" s="1"/>
      <c r="I1223" s="1"/>
      <c r="J1223" s="1"/>
      <c r="K1223" s="1"/>
    </row>
    <row r="1224" spans="5:11" x14ac:dyDescent="0.2">
      <c r="E1224" s="1"/>
      <c r="F1224" s="1"/>
      <c r="H1224" s="1"/>
      <c r="I1224" s="1"/>
      <c r="J1224" s="1"/>
      <c r="K1224" s="1"/>
    </row>
    <row r="1225" spans="5:11" x14ac:dyDescent="0.2">
      <c r="E1225" s="1"/>
      <c r="F1225" s="1"/>
      <c r="H1225" s="1"/>
      <c r="I1225" s="1"/>
      <c r="J1225" s="1"/>
      <c r="K1225" s="1"/>
    </row>
    <row r="1226" spans="5:11" x14ac:dyDescent="0.2">
      <c r="E1226" s="1"/>
      <c r="F1226" s="1"/>
      <c r="H1226" s="1"/>
      <c r="I1226" s="1"/>
      <c r="J1226" s="1"/>
      <c r="K1226" s="1"/>
    </row>
    <row r="1227" spans="5:11" x14ac:dyDescent="0.2">
      <c r="E1227" s="1"/>
      <c r="F1227" s="1"/>
      <c r="H1227" s="1"/>
      <c r="I1227" s="1"/>
      <c r="J1227" s="1"/>
      <c r="K1227" s="1"/>
    </row>
    <row r="1228" spans="5:11" x14ac:dyDescent="0.2">
      <c r="E1228" s="1"/>
      <c r="F1228" s="1"/>
      <c r="H1228" s="1"/>
      <c r="I1228" s="1"/>
      <c r="J1228" s="1"/>
      <c r="K1228" s="1"/>
    </row>
    <row r="1229" spans="5:11" x14ac:dyDescent="0.2">
      <c r="E1229" s="1"/>
      <c r="F1229" s="1"/>
      <c r="H1229" s="1"/>
      <c r="I1229" s="1"/>
      <c r="J1229" s="1"/>
      <c r="K1229" s="1"/>
    </row>
    <row r="1230" spans="5:11" x14ac:dyDescent="0.2">
      <c r="E1230" s="1"/>
      <c r="F1230" s="1"/>
      <c r="H1230" s="1"/>
      <c r="I1230" s="1"/>
      <c r="J1230" s="1"/>
      <c r="K1230" s="1"/>
    </row>
    <row r="1231" spans="5:11" x14ac:dyDescent="0.2">
      <c r="E1231" s="1"/>
      <c r="F1231" s="1"/>
      <c r="H1231" s="1"/>
      <c r="I1231" s="1"/>
      <c r="J1231" s="1"/>
      <c r="K1231" s="1"/>
    </row>
    <row r="1232" spans="5:11" x14ac:dyDescent="0.2">
      <c r="E1232" s="1"/>
      <c r="F1232" s="1"/>
      <c r="H1232" s="1"/>
      <c r="I1232" s="1"/>
      <c r="J1232" s="1"/>
      <c r="K1232" s="1"/>
    </row>
    <row r="1233" spans="5:11" x14ac:dyDescent="0.2">
      <c r="E1233" s="1"/>
      <c r="F1233" s="1"/>
      <c r="H1233" s="1"/>
      <c r="I1233" s="1"/>
      <c r="J1233" s="1"/>
      <c r="K1233" s="1"/>
    </row>
    <row r="1234" spans="5:11" x14ac:dyDescent="0.2">
      <c r="E1234" s="1"/>
      <c r="F1234" s="1"/>
      <c r="H1234" s="1"/>
      <c r="I1234" s="1"/>
      <c r="J1234" s="1"/>
      <c r="K1234" s="1"/>
    </row>
    <row r="1235" spans="5:11" x14ac:dyDescent="0.2">
      <c r="E1235" s="1"/>
      <c r="F1235" s="1"/>
      <c r="H1235" s="1"/>
      <c r="I1235" s="1"/>
      <c r="J1235" s="1"/>
      <c r="K1235" s="1"/>
    </row>
    <row r="1236" spans="5:11" x14ac:dyDescent="0.2">
      <c r="E1236" s="1"/>
      <c r="F1236" s="1"/>
      <c r="H1236" s="1"/>
      <c r="I1236" s="1"/>
      <c r="J1236" s="1"/>
      <c r="K1236" s="1"/>
    </row>
    <row r="1237" spans="5:11" x14ac:dyDescent="0.2">
      <c r="E1237" s="1"/>
      <c r="F1237" s="1"/>
      <c r="H1237" s="1"/>
      <c r="I1237" s="1"/>
      <c r="J1237" s="1"/>
      <c r="K1237" s="1"/>
    </row>
    <row r="1238" spans="5:11" x14ac:dyDescent="0.2">
      <c r="E1238" s="1"/>
      <c r="F1238" s="1"/>
      <c r="H1238" s="1"/>
      <c r="I1238" s="1"/>
      <c r="J1238" s="1"/>
      <c r="K1238" s="1"/>
    </row>
    <row r="1239" spans="5:11" x14ac:dyDescent="0.2">
      <c r="E1239" s="1"/>
      <c r="F1239" s="1"/>
      <c r="H1239" s="1"/>
      <c r="I1239" s="1"/>
      <c r="J1239" s="1"/>
      <c r="K1239" s="1"/>
    </row>
    <row r="1240" spans="5:11" x14ac:dyDescent="0.2">
      <c r="E1240" s="1"/>
      <c r="F1240" s="1"/>
      <c r="H1240" s="1"/>
      <c r="I1240" s="1"/>
      <c r="J1240" s="1"/>
      <c r="K1240" s="1"/>
    </row>
    <row r="1241" spans="5:11" x14ac:dyDescent="0.2">
      <c r="E1241" s="1"/>
      <c r="F1241" s="1"/>
      <c r="H1241" s="1"/>
      <c r="I1241" s="1"/>
      <c r="J1241" s="1"/>
      <c r="K1241" s="1"/>
    </row>
    <row r="1242" spans="5:11" x14ac:dyDescent="0.2">
      <c r="E1242" s="1"/>
      <c r="F1242" s="1"/>
      <c r="H1242" s="1"/>
      <c r="I1242" s="1"/>
      <c r="J1242" s="1"/>
      <c r="K1242" s="1"/>
    </row>
    <row r="1243" spans="5:11" x14ac:dyDescent="0.2">
      <c r="E1243" s="1"/>
      <c r="F1243" s="1"/>
      <c r="H1243" s="1"/>
      <c r="I1243" s="1"/>
      <c r="J1243" s="1"/>
      <c r="K1243" s="1"/>
    </row>
    <row r="1244" spans="5:11" x14ac:dyDescent="0.2">
      <c r="E1244" s="1"/>
      <c r="F1244" s="1"/>
      <c r="H1244" s="1"/>
      <c r="I1244" s="1"/>
      <c r="J1244" s="1"/>
      <c r="K1244" s="1"/>
    </row>
    <row r="1245" spans="5:11" x14ac:dyDescent="0.2">
      <c r="E1245" s="1"/>
      <c r="F1245" s="1"/>
      <c r="H1245" s="1"/>
      <c r="I1245" s="1"/>
      <c r="J1245" s="1"/>
      <c r="K1245" s="1"/>
    </row>
    <row r="1246" spans="5:11" x14ac:dyDescent="0.2">
      <c r="E1246" s="1"/>
      <c r="F1246" s="1"/>
      <c r="H1246" s="1"/>
      <c r="I1246" s="1"/>
      <c r="J1246" s="1"/>
      <c r="K1246" s="1"/>
    </row>
    <row r="1247" spans="5:11" x14ac:dyDescent="0.2">
      <c r="E1247" s="1"/>
      <c r="F1247" s="1"/>
      <c r="H1247" s="1"/>
      <c r="I1247" s="1"/>
      <c r="J1247" s="1"/>
      <c r="K1247" s="1"/>
    </row>
    <row r="1248" spans="5:11" x14ac:dyDescent="0.2">
      <c r="E1248" s="1"/>
      <c r="F1248" s="1"/>
      <c r="H1248" s="1"/>
      <c r="I1248" s="1"/>
      <c r="J1248" s="1"/>
      <c r="K1248" s="1"/>
    </row>
    <row r="1249" spans="5:11" x14ac:dyDescent="0.2">
      <c r="E1249" s="1"/>
      <c r="F1249" s="1"/>
      <c r="H1249" s="1"/>
      <c r="I1249" s="1"/>
      <c r="J1249" s="1"/>
      <c r="K1249" s="1"/>
    </row>
    <row r="1250" spans="5:11" x14ac:dyDescent="0.2">
      <c r="E1250" s="1"/>
      <c r="F1250" s="1"/>
      <c r="H1250" s="1"/>
      <c r="I1250" s="1"/>
      <c r="J1250" s="1"/>
      <c r="K1250" s="1"/>
    </row>
    <row r="1251" spans="5:11" x14ac:dyDescent="0.2">
      <c r="E1251" s="1"/>
      <c r="F1251" s="1"/>
      <c r="H1251" s="1"/>
      <c r="I1251" s="1"/>
      <c r="J1251" s="1"/>
      <c r="K1251" s="1"/>
    </row>
    <row r="1252" spans="5:11" x14ac:dyDescent="0.2">
      <c r="E1252" s="1"/>
      <c r="F1252" s="1"/>
      <c r="H1252" s="1"/>
      <c r="I1252" s="1"/>
      <c r="J1252" s="1"/>
      <c r="K1252" s="1"/>
    </row>
    <row r="1253" spans="5:11" x14ac:dyDescent="0.2">
      <c r="E1253" s="1"/>
      <c r="F1253" s="1"/>
      <c r="H1253" s="1"/>
      <c r="I1253" s="1"/>
      <c r="J1253" s="1"/>
      <c r="K1253" s="1"/>
    </row>
    <row r="1254" spans="5:11" x14ac:dyDescent="0.2">
      <c r="E1254" s="1"/>
      <c r="F1254" s="1"/>
      <c r="H1254" s="1"/>
      <c r="I1254" s="1"/>
      <c r="J1254" s="1"/>
      <c r="K1254" s="1"/>
    </row>
    <row r="1255" spans="5:11" x14ac:dyDescent="0.2">
      <c r="E1255" s="1"/>
      <c r="F1255" s="1"/>
      <c r="H1255" s="1"/>
      <c r="I1255" s="1"/>
      <c r="J1255" s="1"/>
      <c r="K1255" s="1"/>
    </row>
    <row r="1256" spans="5:11" x14ac:dyDescent="0.2">
      <c r="E1256" s="1"/>
      <c r="F1256" s="1"/>
      <c r="H1256" s="1"/>
      <c r="I1256" s="1"/>
      <c r="J1256" s="1"/>
      <c r="K1256" s="1"/>
    </row>
    <row r="1257" spans="5:11" x14ac:dyDescent="0.2">
      <c r="E1257" s="1"/>
      <c r="F1257" s="1"/>
      <c r="H1257" s="1"/>
      <c r="I1257" s="1"/>
      <c r="J1257" s="1"/>
      <c r="K1257" s="1"/>
    </row>
    <row r="1258" spans="5:11" x14ac:dyDescent="0.2">
      <c r="E1258" s="1"/>
      <c r="F1258" s="1"/>
      <c r="H1258" s="1"/>
      <c r="I1258" s="1"/>
      <c r="J1258" s="1"/>
      <c r="K1258" s="1"/>
    </row>
    <row r="1259" spans="5:11" x14ac:dyDescent="0.2">
      <c r="E1259" s="1"/>
      <c r="F1259" s="1"/>
      <c r="H1259" s="1"/>
      <c r="I1259" s="1"/>
      <c r="J1259" s="1"/>
      <c r="K1259" s="1"/>
    </row>
    <row r="1260" spans="5:11" x14ac:dyDescent="0.2">
      <c r="E1260" s="1"/>
      <c r="F1260" s="1"/>
      <c r="H1260" s="1"/>
      <c r="I1260" s="1"/>
      <c r="J1260" s="1"/>
      <c r="K1260" s="1"/>
    </row>
    <row r="1261" spans="5:11" x14ac:dyDescent="0.2">
      <c r="E1261" s="1"/>
      <c r="F1261" s="1"/>
      <c r="H1261" s="1"/>
      <c r="I1261" s="1"/>
      <c r="J1261" s="1"/>
      <c r="K1261" s="1"/>
    </row>
    <row r="1262" spans="5:11" x14ac:dyDescent="0.2">
      <c r="E1262" s="1"/>
      <c r="F1262" s="1"/>
      <c r="H1262" s="1"/>
      <c r="I1262" s="1"/>
      <c r="J1262" s="1"/>
      <c r="K1262" s="1"/>
    </row>
    <row r="1263" spans="5:11" x14ac:dyDescent="0.2">
      <c r="E1263" s="1"/>
      <c r="F1263" s="1"/>
      <c r="H1263" s="1"/>
      <c r="I1263" s="1"/>
      <c r="J1263" s="1"/>
      <c r="K1263" s="1"/>
    </row>
    <row r="1264" spans="5:11" x14ac:dyDescent="0.2">
      <c r="E1264" s="1"/>
      <c r="F1264" s="1"/>
      <c r="H1264" s="1"/>
      <c r="I1264" s="1"/>
      <c r="J1264" s="1"/>
      <c r="K1264" s="1"/>
    </row>
    <row r="1265" spans="5:11" x14ac:dyDescent="0.2">
      <c r="E1265" s="1"/>
      <c r="F1265" s="1"/>
      <c r="H1265" s="1"/>
      <c r="I1265" s="1"/>
      <c r="J1265" s="1"/>
      <c r="K1265" s="1"/>
    </row>
    <row r="1266" spans="5:11" x14ac:dyDescent="0.2">
      <c r="E1266" s="1"/>
      <c r="F1266" s="1"/>
      <c r="H1266" s="1"/>
      <c r="I1266" s="1"/>
      <c r="J1266" s="1"/>
      <c r="K1266" s="1"/>
    </row>
    <row r="1267" spans="5:11" x14ac:dyDescent="0.2">
      <c r="E1267" s="1"/>
      <c r="F1267" s="1"/>
      <c r="H1267" s="1"/>
      <c r="I1267" s="1"/>
      <c r="J1267" s="1"/>
      <c r="K1267" s="1"/>
    </row>
    <row r="1268" spans="5:11" x14ac:dyDescent="0.2">
      <c r="E1268" s="1"/>
      <c r="F1268" s="1"/>
      <c r="H1268" s="1"/>
      <c r="I1268" s="1"/>
      <c r="J1268" s="1"/>
      <c r="K1268" s="1"/>
    </row>
    <row r="1269" spans="5:11" x14ac:dyDescent="0.2">
      <c r="E1269" s="1"/>
      <c r="F1269" s="1"/>
      <c r="H1269" s="1"/>
      <c r="I1269" s="1"/>
      <c r="J1269" s="1"/>
      <c r="K1269" s="1"/>
    </row>
    <row r="1270" spans="5:11" x14ac:dyDescent="0.2">
      <c r="E1270" s="1"/>
      <c r="F1270" s="1"/>
      <c r="H1270" s="1"/>
      <c r="I1270" s="1"/>
      <c r="J1270" s="1"/>
      <c r="K1270" s="1"/>
    </row>
    <row r="1271" spans="5:11" x14ac:dyDescent="0.2">
      <c r="E1271" s="1"/>
      <c r="F1271" s="1"/>
      <c r="H1271" s="1"/>
      <c r="I1271" s="1"/>
      <c r="J1271" s="1"/>
      <c r="K1271" s="1"/>
    </row>
    <row r="1272" spans="5:11" x14ac:dyDescent="0.2">
      <c r="E1272" s="1"/>
      <c r="F1272" s="1"/>
      <c r="H1272" s="1"/>
      <c r="I1272" s="1"/>
      <c r="J1272" s="1"/>
      <c r="K1272" s="1"/>
    </row>
    <row r="1273" spans="5:11" x14ac:dyDescent="0.2">
      <c r="E1273" s="1"/>
      <c r="F1273" s="1"/>
      <c r="H1273" s="1"/>
      <c r="I1273" s="1"/>
      <c r="J1273" s="1"/>
      <c r="K1273" s="1"/>
    </row>
    <row r="1274" spans="5:11" x14ac:dyDescent="0.2">
      <c r="E1274" s="1"/>
      <c r="F1274" s="1"/>
      <c r="H1274" s="1"/>
      <c r="I1274" s="1"/>
      <c r="J1274" s="1"/>
      <c r="K1274" s="1"/>
    </row>
    <row r="1275" spans="5:11" x14ac:dyDescent="0.2">
      <c r="E1275" s="1"/>
      <c r="F1275" s="1"/>
      <c r="H1275" s="1"/>
      <c r="I1275" s="1"/>
      <c r="J1275" s="1"/>
      <c r="K1275" s="1"/>
    </row>
    <row r="1276" spans="5:11" x14ac:dyDescent="0.2">
      <c r="E1276" s="1"/>
      <c r="F1276" s="1"/>
      <c r="H1276" s="1"/>
      <c r="I1276" s="1"/>
      <c r="J1276" s="1"/>
      <c r="K1276" s="1"/>
    </row>
    <row r="1277" spans="5:11" x14ac:dyDescent="0.2">
      <c r="E1277" s="1"/>
      <c r="F1277" s="1"/>
      <c r="H1277" s="1"/>
      <c r="I1277" s="1"/>
      <c r="J1277" s="1"/>
      <c r="K1277" s="1"/>
    </row>
    <row r="1278" spans="5:11" x14ac:dyDescent="0.2">
      <c r="E1278" s="1"/>
      <c r="F1278" s="1"/>
      <c r="H1278" s="1"/>
      <c r="I1278" s="1"/>
      <c r="J1278" s="1"/>
      <c r="K1278" s="1"/>
    </row>
    <row r="1279" spans="5:11" x14ac:dyDescent="0.2">
      <c r="E1279" s="1"/>
      <c r="F1279" s="1"/>
      <c r="H1279" s="1"/>
      <c r="I1279" s="1"/>
      <c r="J1279" s="1"/>
      <c r="K1279" s="1"/>
    </row>
    <row r="1280" spans="5:11" x14ac:dyDescent="0.2">
      <c r="E1280" s="1"/>
      <c r="F1280" s="1"/>
      <c r="H1280" s="1"/>
      <c r="I1280" s="1"/>
      <c r="J1280" s="1"/>
      <c r="K1280" s="1"/>
    </row>
    <row r="1281" spans="5:11" x14ac:dyDescent="0.2">
      <c r="E1281" s="1"/>
      <c r="F1281" s="1"/>
      <c r="H1281" s="1"/>
      <c r="I1281" s="1"/>
      <c r="J1281" s="1"/>
      <c r="K1281" s="1"/>
    </row>
    <row r="1282" spans="5:11" x14ac:dyDescent="0.2">
      <c r="E1282" s="1"/>
      <c r="F1282" s="1"/>
      <c r="H1282" s="1"/>
      <c r="I1282" s="1"/>
      <c r="J1282" s="1"/>
      <c r="K1282" s="1"/>
    </row>
    <row r="1283" spans="5:11" x14ac:dyDescent="0.2">
      <c r="E1283" s="1"/>
      <c r="F1283" s="1"/>
      <c r="H1283" s="1"/>
      <c r="I1283" s="1"/>
      <c r="J1283" s="1"/>
      <c r="K1283" s="1"/>
    </row>
    <row r="1284" spans="5:11" x14ac:dyDescent="0.2">
      <c r="E1284" s="1"/>
      <c r="F1284" s="1"/>
      <c r="H1284" s="1"/>
      <c r="I1284" s="1"/>
      <c r="J1284" s="1"/>
      <c r="K1284" s="1"/>
    </row>
    <row r="1285" spans="5:11" x14ac:dyDescent="0.2">
      <c r="E1285" s="1"/>
      <c r="F1285" s="1"/>
      <c r="H1285" s="1"/>
      <c r="I1285" s="1"/>
      <c r="J1285" s="1"/>
      <c r="K1285" s="1"/>
    </row>
    <row r="1286" spans="5:11" x14ac:dyDescent="0.2">
      <c r="E1286" s="1"/>
      <c r="F1286" s="1"/>
      <c r="H1286" s="1"/>
      <c r="I1286" s="1"/>
      <c r="J1286" s="1"/>
      <c r="K1286" s="1"/>
    </row>
    <row r="1287" spans="5:11" x14ac:dyDescent="0.2">
      <c r="E1287" s="1"/>
      <c r="F1287" s="1"/>
      <c r="H1287" s="1"/>
      <c r="I1287" s="1"/>
      <c r="J1287" s="1"/>
      <c r="K1287" s="1"/>
    </row>
    <row r="1288" spans="5:11" x14ac:dyDescent="0.2">
      <c r="E1288" s="1"/>
      <c r="F1288" s="1"/>
      <c r="H1288" s="1"/>
      <c r="I1288" s="1"/>
      <c r="J1288" s="1"/>
      <c r="K1288" s="1"/>
    </row>
    <row r="1289" spans="5:11" x14ac:dyDescent="0.2">
      <c r="E1289" s="1"/>
      <c r="F1289" s="1"/>
      <c r="H1289" s="1"/>
      <c r="I1289" s="1"/>
      <c r="J1289" s="1"/>
      <c r="K1289" s="1"/>
    </row>
    <row r="1290" spans="5:11" x14ac:dyDescent="0.2">
      <c r="E1290" s="1"/>
      <c r="F1290" s="1"/>
      <c r="H1290" s="1"/>
      <c r="I1290" s="1"/>
      <c r="J1290" s="1"/>
      <c r="K1290" s="1"/>
    </row>
    <row r="1291" spans="5:11" x14ac:dyDescent="0.2">
      <c r="E1291" s="1"/>
      <c r="F1291" s="1"/>
      <c r="H1291" s="1"/>
      <c r="I1291" s="1"/>
      <c r="J1291" s="1"/>
      <c r="K1291" s="1"/>
    </row>
    <row r="1292" spans="5:11" x14ac:dyDescent="0.2">
      <c r="E1292" s="1"/>
      <c r="F1292" s="1"/>
      <c r="H1292" s="1"/>
      <c r="I1292" s="1"/>
      <c r="J1292" s="1"/>
      <c r="K1292" s="1"/>
    </row>
    <row r="1293" spans="5:11" x14ac:dyDescent="0.2">
      <c r="E1293" s="1"/>
      <c r="F1293" s="1"/>
      <c r="H1293" s="1"/>
      <c r="I1293" s="1"/>
      <c r="J1293" s="1"/>
      <c r="K1293" s="1"/>
    </row>
    <row r="1294" spans="5:11" x14ac:dyDescent="0.2">
      <c r="E1294" s="1"/>
      <c r="F1294" s="1"/>
      <c r="H1294" s="1"/>
      <c r="I1294" s="1"/>
      <c r="J1294" s="1"/>
      <c r="K1294" s="1"/>
    </row>
    <row r="1295" spans="5:11" x14ac:dyDescent="0.2">
      <c r="E1295" s="1"/>
      <c r="F1295" s="1"/>
      <c r="H1295" s="1"/>
      <c r="I1295" s="1"/>
      <c r="J1295" s="1"/>
      <c r="K1295" s="1"/>
    </row>
    <row r="1296" spans="5:11" x14ac:dyDescent="0.2">
      <c r="E1296" s="1"/>
      <c r="F1296" s="1"/>
      <c r="H1296" s="1"/>
      <c r="I1296" s="1"/>
      <c r="J1296" s="1"/>
      <c r="K1296" s="1"/>
    </row>
    <row r="1297" spans="5:11" x14ac:dyDescent="0.2">
      <c r="E1297" s="1"/>
      <c r="F1297" s="1"/>
      <c r="H1297" s="1"/>
      <c r="I1297" s="1"/>
      <c r="J1297" s="1"/>
      <c r="K1297" s="1"/>
    </row>
    <row r="1298" spans="5:11" x14ac:dyDescent="0.2">
      <c r="E1298" s="1"/>
      <c r="F1298" s="1"/>
      <c r="H1298" s="1"/>
      <c r="I1298" s="1"/>
      <c r="J1298" s="1"/>
      <c r="K1298" s="1"/>
    </row>
    <row r="1299" spans="5:11" x14ac:dyDescent="0.2">
      <c r="E1299" s="1"/>
      <c r="F1299" s="1"/>
      <c r="H1299" s="1"/>
      <c r="I1299" s="1"/>
      <c r="J1299" s="1"/>
      <c r="K1299" s="1"/>
    </row>
    <row r="1300" spans="5:11" x14ac:dyDescent="0.2">
      <c r="E1300" s="1"/>
      <c r="F1300" s="1"/>
      <c r="H1300" s="1"/>
      <c r="I1300" s="1"/>
      <c r="J1300" s="1"/>
      <c r="K1300" s="1"/>
    </row>
    <row r="1301" spans="5:11" x14ac:dyDescent="0.2">
      <c r="E1301" s="1"/>
      <c r="F1301" s="1"/>
      <c r="H1301" s="1"/>
      <c r="I1301" s="1"/>
      <c r="J1301" s="1"/>
      <c r="K1301" s="1"/>
    </row>
    <row r="1302" spans="5:11" x14ac:dyDescent="0.2">
      <c r="E1302" s="1"/>
      <c r="F1302" s="1"/>
      <c r="H1302" s="1"/>
      <c r="I1302" s="1"/>
      <c r="J1302" s="1"/>
      <c r="K1302" s="1"/>
    </row>
    <row r="1303" spans="5:11" x14ac:dyDescent="0.2">
      <c r="E1303" s="1"/>
      <c r="F1303" s="1"/>
      <c r="H1303" s="1"/>
      <c r="I1303" s="1"/>
      <c r="J1303" s="1"/>
      <c r="K1303" s="1"/>
    </row>
    <row r="1304" spans="5:11" x14ac:dyDescent="0.2">
      <c r="E1304" s="1"/>
      <c r="F1304" s="1"/>
      <c r="H1304" s="1"/>
      <c r="I1304" s="1"/>
      <c r="J1304" s="1"/>
      <c r="K1304" s="1"/>
    </row>
    <row r="1305" spans="5:11" x14ac:dyDescent="0.2">
      <c r="E1305" s="1"/>
      <c r="F1305" s="1"/>
      <c r="H1305" s="1"/>
      <c r="I1305" s="1"/>
      <c r="J1305" s="1"/>
      <c r="K1305" s="1"/>
    </row>
    <row r="1306" spans="5:11" x14ac:dyDescent="0.2">
      <c r="E1306" s="1"/>
      <c r="F1306" s="1"/>
      <c r="H1306" s="1"/>
      <c r="I1306" s="1"/>
      <c r="J1306" s="1"/>
      <c r="K1306" s="1"/>
    </row>
    <row r="1307" spans="5:11" x14ac:dyDescent="0.2">
      <c r="E1307" s="1"/>
      <c r="F1307" s="1"/>
      <c r="H1307" s="1"/>
      <c r="I1307" s="1"/>
      <c r="J1307" s="1"/>
      <c r="K1307" s="1"/>
    </row>
    <row r="1308" spans="5:11" x14ac:dyDescent="0.2">
      <c r="E1308" s="1"/>
      <c r="F1308" s="1"/>
      <c r="H1308" s="1"/>
      <c r="I1308" s="1"/>
      <c r="J1308" s="1"/>
      <c r="K1308" s="1"/>
    </row>
    <row r="1309" spans="5:11" x14ac:dyDescent="0.2">
      <c r="E1309" s="1"/>
      <c r="F1309" s="1"/>
      <c r="H1309" s="1"/>
      <c r="I1309" s="1"/>
      <c r="J1309" s="1"/>
      <c r="K1309" s="1"/>
    </row>
    <row r="1310" spans="5:11" x14ac:dyDescent="0.2">
      <c r="E1310" s="1"/>
      <c r="F1310" s="1"/>
      <c r="H1310" s="1"/>
      <c r="I1310" s="1"/>
      <c r="J1310" s="1"/>
      <c r="K1310" s="1"/>
    </row>
    <row r="1311" spans="5:11" x14ac:dyDescent="0.2">
      <c r="E1311" s="1"/>
      <c r="F1311" s="1"/>
      <c r="H1311" s="1"/>
      <c r="I1311" s="1"/>
      <c r="J1311" s="1"/>
      <c r="K1311" s="1"/>
    </row>
    <row r="1312" spans="5:11" x14ac:dyDescent="0.2">
      <c r="E1312" s="1"/>
      <c r="F1312" s="1"/>
      <c r="H1312" s="1"/>
      <c r="I1312" s="1"/>
      <c r="J1312" s="1"/>
      <c r="K1312" s="1"/>
    </row>
    <row r="1313" spans="5:11" x14ac:dyDescent="0.2">
      <c r="E1313" s="1"/>
      <c r="F1313" s="1"/>
      <c r="H1313" s="1"/>
      <c r="I1313" s="1"/>
      <c r="J1313" s="1"/>
      <c r="K1313" s="1"/>
    </row>
    <row r="1314" spans="5:11" x14ac:dyDescent="0.2">
      <c r="E1314" s="1"/>
      <c r="F1314" s="1"/>
      <c r="H1314" s="1"/>
      <c r="I1314" s="1"/>
      <c r="J1314" s="1"/>
      <c r="K1314" s="1"/>
    </row>
    <row r="1315" spans="5:11" x14ac:dyDescent="0.2">
      <c r="E1315" s="1"/>
      <c r="F1315" s="1"/>
      <c r="H1315" s="1"/>
      <c r="I1315" s="1"/>
      <c r="J1315" s="1"/>
      <c r="K1315" s="1"/>
    </row>
    <row r="1316" spans="5:11" x14ac:dyDescent="0.2">
      <c r="E1316" s="1"/>
      <c r="F1316" s="1"/>
      <c r="H1316" s="1"/>
      <c r="I1316" s="1"/>
      <c r="J1316" s="1"/>
      <c r="K1316" s="1"/>
    </row>
    <row r="1317" spans="5:11" x14ac:dyDescent="0.2">
      <c r="E1317" s="1"/>
      <c r="F1317" s="1"/>
      <c r="H1317" s="1"/>
      <c r="I1317" s="1"/>
      <c r="J1317" s="1"/>
      <c r="K1317" s="1"/>
    </row>
    <row r="1318" spans="5:11" x14ac:dyDescent="0.2">
      <c r="E1318" s="1"/>
      <c r="F1318" s="1"/>
      <c r="H1318" s="1"/>
      <c r="I1318" s="1"/>
      <c r="J1318" s="1"/>
      <c r="K1318" s="1"/>
    </row>
    <row r="1319" spans="5:11" x14ac:dyDescent="0.2">
      <c r="E1319" s="1"/>
      <c r="F1319" s="1"/>
      <c r="H1319" s="1"/>
      <c r="I1319" s="1"/>
      <c r="J1319" s="1"/>
      <c r="K1319" s="1"/>
    </row>
    <row r="1320" spans="5:11" x14ac:dyDescent="0.2">
      <c r="E1320" s="1"/>
      <c r="F1320" s="1"/>
      <c r="H1320" s="1"/>
      <c r="I1320" s="1"/>
      <c r="J1320" s="1"/>
      <c r="K1320" s="1"/>
    </row>
    <row r="1321" spans="5:11" x14ac:dyDescent="0.2">
      <c r="E1321" s="1"/>
      <c r="F1321" s="1"/>
      <c r="H1321" s="1"/>
      <c r="I1321" s="1"/>
      <c r="J1321" s="1"/>
      <c r="K1321" s="1"/>
    </row>
    <row r="1322" spans="5:11" x14ac:dyDescent="0.2">
      <c r="E1322" s="1"/>
      <c r="F1322" s="1"/>
      <c r="H1322" s="1"/>
      <c r="I1322" s="1"/>
      <c r="J1322" s="1"/>
      <c r="K1322" s="1"/>
    </row>
    <row r="1323" spans="5:11" x14ac:dyDescent="0.2">
      <c r="E1323" s="1"/>
      <c r="F1323" s="1"/>
      <c r="H1323" s="1"/>
      <c r="I1323" s="1"/>
      <c r="J1323" s="1"/>
      <c r="K1323" s="1"/>
    </row>
    <row r="1324" spans="5:11" x14ac:dyDescent="0.2">
      <c r="E1324" s="1"/>
      <c r="F1324" s="1"/>
      <c r="H1324" s="1"/>
      <c r="I1324" s="1"/>
      <c r="J1324" s="1"/>
      <c r="K1324" s="1"/>
    </row>
    <row r="1325" spans="5:11" x14ac:dyDescent="0.2">
      <c r="E1325" s="1"/>
      <c r="F1325" s="1"/>
      <c r="H1325" s="1"/>
      <c r="I1325" s="1"/>
      <c r="J1325" s="1"/>
      <c r="K1325" s="1"/>
    </row>
    <row r="1326" spans="5:11" x14ac:dyDescent="0.2">
      <c r="E1326" s="1"/>
      <c r="F1326" s="1"/>
      <c r="H1326" s="1"/>
      <c r="I1326" s="1"/>
      <c r="J1326" s="1"/>
      <c r="K1326" s="1"/>
    </row>
    <row r="1327" spans="5:11" x14ac:dyDescent="0.2">
      <c r="E1327" s="1"/>
      <c r="F1327" s="1"/>
      <c r="H1327" s="1"/>
      <c r="I1327" s="1"/>
      <c r="J1327" s="1"/>
      <c r="K1327" s="1"/>
    </row>
    <row r="1328" spans="5:11" x14ac:dyDescent="0.2">
      <c r="E1328" s="1"/>
      <c r="F1328" s="1"/>
      <c r="H1328" s="1"/>
      <c r="I1328" s="1"/>
      <c r="J1328" s="1"/>
      <c r="K1328" s="1"/>
    </row>
    <row r="1329" spans="5:11" x14ac:dyDescent="0.2">
      <c r="E1329" s="1"/>
      <c r="F1329" s="1"/>
      <c r="H1329" s="1"/>
      <c r="I1329" s="1"/>
      <c r="J1329" s="1"/>
      <c r="K1329" s="1"/>
    </row>
    <row r="1330" spans="5:11" x14ac:dyDescent="0.2">
      <c r="E1330" s="1"/>
      <c r="F1330" s="1"/>
      <c r="H1330" s="1"/>
      <c r="I1330" s="1"/>
      <c r="J1330" s="1"/>
      <c r="K1330" s="1"/>
    </row>
    <row r="1331" spans="5:11" x14ac:dyDescent="0.2">
      <c r="E1331" s="1"/>
      <c r="F1331" s="1"/>
      <c r="H1331" s="1"/>
      <c r="I1331" s="1"/>
      <c r="J1331" s="1"/>
      <c r="K1331" s="1"/>
    </row>
    <row r="1332" spans="5:11" x14ac:dyDescent="0.2">
      <c r="E1332" s="1"/>
      <c r="F1332" s="1"/>
      <c r="H1332" s="1"/>
      <c r="I1332" s="1"/>
      <c r="J1332" s="1"/>
      <c r="K1332" s="1"/>
    </row>
    <row r="1333" spans="5:11" x14ac:dyDescent="0.2">
      <c r="E1333" s="1"/>
      <c r="F1333" s="1"/>
      <c r="H1333" s="1"/>
      <c r="I1333" s="1"/>
      <c r="J1333" s="1"/>
      <c r="K1333" s="1"/>
    </row>
    <row r="1334" spans="5:11" x14ac:dyDescent="0.2">
      <c r="E1334" s="1"/>
      <c r="F1334" s="1"/>
      <c r="H1334" s="1"/>
      <c r="I1334" s="1"/>
      <c r="J1334" s="1"/>
      <c r="K1334" s="1"/>
    </row>
    <row r="1335" spans="5:11" x14ac:dyDescent="0.2">
      <c r="E1335" s="1"/>
      <c r="F1335" s="1"/>
      <c r="H1335" s="1"/>
      <c r="I1335" s="1"/>
      <c r="J1335" s="1"/>
      <c r="K1335" s="1"/>
    </row>
    <row r="1336" spans="5:11" x14ac:dyDescent="0.2">
      <c r="E1336" s="1"/>
      <c r="F1336" s="1"/>
      <c r="H1336" s="1"/>
      <c r="I1336" s="1"/>
      <c r="J1336" s="1"/>
      <c r="K1336" s="1"/>
    </row>
    <row r="1337" spans="5:11" x14ac:dyDescent="0.2">
      <c r="E1337" s="1"/>
      <c r="F1337" s="1"/>
      <c r="H1337" s="1"/>
      <c r="I1337" s="1"/>
      <c r="J1337" s="1"/>
      <c r="K1337" s="1"/>
    </row>
    <row r="1338" spans="5:11" x14ac:dyDescent="0.2">
      <c r="E1338" s="1"/>
      <c r="F1338" s="1"/>
      <c r="H1338" s="1"/>
      <c r="I1338" s="1"/>
      <c r="J1338" s="1"/>
      <c r="K1338" s="1"/>
    </row>
    <row r="1339" spans="5:11" x14ac:dyDescent="0.2">
      <c r="E1339" s="1"/>
      <c r="F1339" s="1"/>
      <c r="H1339" s="1"/>
      <c r="I1339" s="1"/>
      <c r="J1339" s="1"/>
      <c r="K1339" s="1"/>
    </row>
    <row r="1340" spans="5:11" x14ac:dyDescent="0.2">
      <c r="E1340" s="1"/>
      <c r="F1340" s="1"/>
      <c r="H1340" s="1"/>
      <c r="I1340" s="1"/>
      <c r="J1340" s="1"/>
      <c r="K1340" s="1"/>
    </row>
    <row r="1341" spans="5:11" x14ac:dyDescent="0.2">
      <c r="E1341" s="1"/>
      <c r="F1341" s="1"/>
      <c r="H1341" s="1"/>
      <c r="I1341" s="1"/>
      <c r="J1341" s="1"/>
      <c r="K1341" s="1"/>
    </row>
    <row r="1342" spans="5:11" x14ac:dyDescent="0.2">
      <c r="E1342" s="1"/>
      <c r="F1342" s="1"/>
      <c r="H1342" s="1"/>
      <c r="I1342" s="1"/>
      <c r="J1342" s="1"/>
      <c r="K1342" s="1"/>
    </row>
    <row r="1343" spans="5:11" x14ac:dyDescent="0.2">
      <c r="E1343" s="1"/>
      <c r="F1343" s="1"/>
      <c r="H1343" s="1"/>
      <c r="I1343" s="1"/>
      <c r="J1343" s="1"/>
      <c r="K1343" s="1"/>
    </row>
    <row r="1344" spans="5:11" x14ac:dyDescent="0.2">
      <c r="E1344" s="1"/>
      <c r="F1344" s="1"/>
      <c r="H1344" s="1"/>
      <c r="I1344" s="1"/>
      <c r="J1344" s="1"/>
      <c r="K1344" s="1"/>
    </row>
    <row r="1345" spans="5:11" x14ac:dyDescent="0.2">
      <c r="E1345" s="1"/>
      <c r="F1345" s="1"/>
      <c r="H1345" s="1"/>
      <c r="I1345" s="1"/>
      <c r="J1345" s="1"/>
      <c r="K1345" s="1"/>
    </row>
    <row r="1346" spans="5:11" x14ac:dyDescent="0.2">
      <c r="E1346" s="1"/>
      <c r="F1346" s="1"/>
      <c r="H1346" s="1"/>
      <c r="I1346" s="1"/>
      <c r="J1346" s="1"/>
      <c r="K1346" s="1"/>
    </row>
    <row r="1347" spans="5:11" x14ac:dyDescent="0.2">
      <c r="E1347" s="1"/>
      <c r="F1347" s="1"/>
      <c r="H1347" s="1"/>
      <c r="I1347" s="1"/>
      <c r="J1347" s="1"/>
      <c r="K1347" s="1"/>
    </row>
    <row r="1348" spans="5:11" x14ac:dyDescent="0.2">
      <c r="E1348" s="1"/>
      <c r="F1348" s="1"/>
      <c r="H1348" s="1"/>
      <c r="I1348" s="1"/>
      <c r="J1348" s="1"/>
      <c r="K1348" s="1"/>
    </row>
    <row r="1349" spans="5:11" x14ac:dyDescent="0.2">
      <c r="E1349" s="1"/>
      <c r="F1349" s="1"/>
      <c r="H1349" s="1"/>
      <c r="I1349" s="1"/>
      <c r="J1349" s="1"/>
      <c r="K1349" s="1"/>
    </row>
    <row r="1350" spans="5:11" x14ac:dyDescent="0.2">
      <c r="E1350" s="1"/>
      <c r="F1350" s="1"/>
      <c r="H1350" s="1"/>
      <c r="I1350" s="1"/>
      <c r="J1350" s="1"/>
      <c r="K1350" s="1"/>
    </row>
    <row r="1351" spans="5:11" x14ac:dyDescent="0.2">
      <c r="E1351" s="1"/>
      <c r="F1351" s="1"/>
      <c r="H1351" s="1"/>
      <c r="I1351" s="1"/>
      <c r="J1351" s="1"/>
      <c r="K1351" s="1"/>
    </row>
    <row r="1352" spans="5:11" x14ac:dyDescent="0.2">
      <c r="E1352" s="1"/>
      <c r="F1352" s="1"/>
      <c r="H1352" s="1"/>
      <c r="I1352" s="1"/>
      <c r="J1352" s="1"/>
      <c r="K1352" s="1"/>
    </row>
    <row r="1353" spans="5:11" x14ac:dyDescent="0.2">
      <c r="E1353" s="1"/>
      <c r="F1353" s="1"/>
      <c r="H1353" s="1"/>
      <c r="I1353" s="1"/>
      <c r="J1353" s="1"/>
      <c r="K1353" s="1"/>
    </row>
    <row r="1354" spans="5:11" x14ac:dyDescent="0.2">
      <c r="E1354" s="1"/>
      <c r="F1354" s="1"/>
      <c r="H1354" s="1"/>
      <c r="I1354" s="1"/>
      <c r="J1354" s="1"/>
      <c r="K1354" s="1"/>
    </row>
    <row r="1355" spans="5:11" x14ac:dyDescent="0.2">
      <c r="E1355" s="1"/>
      <c r="F1355" s="1"/>
      <c r="H1355" s="1"/>
      <c r="I1355" s="1"/>
      <c r="J1355" s="1"/>
      <c r="K1355" s="1"/>
    </row>
    <row r="1356" spans="5:11" x14ac:dyDescent="0.2">
      <c r="E1356" s="1"/>
      <c r="F1356" s="1"/>
      <c r="H1356" s="1"/>
      <c r="I1356" s="1"/>
      <c r="J1356" s="1"/>
      <c r="K1356" s="1"/>
    </row>
    <row r="1357" spans="5:11" x14ac:dyDescent="0.2">
      <c r="E1357" s="1"/>
      <c r="F1357" s="1"/>
      <c r="H1357" s="1"/>
      <c r="I1357" s="1"/>
      <c r="J1357" s="1"/>
      <c r="K1357" s="1"/>
    </row>
    <row r="1358" spans="5:11" x14ac:dyDescent="0.2">
      <c r="E1358" s="1"/>
      <c r="F1358" s="1"/>
      <c r="H1358" s="1"/>
      <c r="I1358" s="1"/>
      <c r="J1358" s="1"/>
      <c r="K1358" s="1"/>
    </row>
    <row r="1359" spans="5:11" x14ac:dyDescent="0.2">
      <c r="E1359" s="1"/>
      <c r="F1359" s="1"/>
      <c r="H1359" s="1"/>
      <c r="I1359" s="1"/>
      <c r="J1359" s="1"/>
      <c r="K1359" s="1"/>
    </row>
    <row r="1360" spans="5:11" x14ac:dyDescent="0.2">
      <c r="E1360" s="1"/>
      <c r="F1360" s="1"/>
      <c r="H1360" s="1"/>
      <c r="I1360" s="1"/>
      <c r="J1360" s="1"/>
      <c r="K1360" s="1"/>
    </row>
    <row r="1361" spans="5:11" x14ac:dyDescent="0.2">
      <c r="E1361" s="1"/>
      <c r="F1361" s="1"/>
      <c r="H1361" s="1"/>
      <c r="I1361" s="1"/>
      <c r="J1361" s="1"/>
      <c r="K1361" s="1"/>
    </row>
    <row r="1362" spans="5:11" x14ac:dyDescent="0.2">
      <c r="E1362" s="1"/>
      <c r="F1362" s="1"/>
      <c r="H1362" s="1"/>
      <c r="I1362" s="1"/>
      <c r="J1362" s="1"/>
      <c r="K1362" s="1"/>
    </row>
    <row r="1363" spans="5:11" x14ac:dyDescent="0.2">
      <c r="E1363" s="1"/>
      <c r="F1363" s="1"/>
      <c r="H1363" s="1"/>
      <c r="I1363" s="1"/>
      <c r="J1363" s="1"/>
      <c r="K1363" s="1"/>
    </row>
    <row r="1364" spans="5:11" x14ac:dyDescent="0.2">
      <c r="E1364" s="1"/>
      <c r="F1364" s="1"/>
      <c r="H1364" s="1"/>
      <c r="I1364" s="1"/>
      <c r="J1364" s="1"/>
      <c r="K1364" s="1"/>
    </row>
    <row r="1365" spans="5:11" x14ac:dyDescent="0.2">
      <c r="E1365" s="1"/>
      <c r="F1365" s="1"/>
      <c r="H1365" s="1"/>
      <c r="I1365" s="1"/>
      <c r="J1365" s="1"/>
      <c r="K1365" s="1"/>
    </row>
    <row r="1366" spans="5:11" x14ac:dyDescent="0.2">
      <c r="E1366" s="1"/>
      <c r="F1366" s="1"/>
      <c r="H1366" s="1"/>
      <c r="I1366" s="1"/>
      <c r="J1366" s="1"/>
      <c r="K1366" s="1"/>
    </row>
    <row r="1367" spans="5:11" x14ac:dyDescent="0.2">
      <c r="E1367" s="1"/>
      <c r="F1367" s="1"/>
      <c r="H1367" s="1"/>
      <c r="I1367" s="1"/>
      <c r="J1367" s="1"/>
      <c r="K1367" s="1"/>
    </row>
    <row r="1368" spans="5:11" x14ac:dyDescent="0.2">
      <c r="E1368" s="1"/>
      <c r="F1368" s="1"/>
      <c r="H1368" s="1"/>
      <c r="I1368" s="1"/>
      <c r="J1368" s="1"/>
      <c r="K1368" s="1"/>
    </row>
    <row r="1369" spans="5:11" x14ac:dyDescent="0.2">
      <c r="E1369" s="1"/>
      <c r="F1369" s="1"/>
      <c r="H1369" s="1"/>
      <c r="I1369" s="1"/>
      <c r="J1369" s="1"/>
      <c r="K1369" s="1"/>
    </row>
    <row r="1370" spans="5:11" x14ac:dyDescent="0.2">
      <c r="E1370" s="1"/>
      <c r="F1370" s="1"/>
      <c r="H1370" s="1"/>
      <c r="I1370" s="1"/>
      <c r="J1370" s="1"/>
      <c r="K1370" s="1"/>
    </row>
    <row r="1371" spans="5:11" x14ac:dyDescent="0.2">
      <c r="E1371" s="1"/>
      <c r="F1371" s="1"/>
      <c r="H1371" s="1"/>
      <c r="I1371" s="1"/>
      <c r="J1371" s="1"/>
      <c r="K1371" s="1"/>
    </row>
    <row r="1372" spans="5:11" x14ac:dyDescent="0.2">
      <c r="E1372" s="1"/>
      <c r="F1372" s="1"/>
      <c r="H1372" s="1"/>
      <c r="I1372" s="1"/>
      <c r="J1372" s="1"/>
      <c r="K1372" s="1"/>
    </row>
    <row r="1373" spans="5:11" x14ac:dyDescent="0.2">
      <c r="E1373" s="1"/>
      <c r="F1373" s="1"/>
      <c r="H1373" s="1"/>
      <c r="I1373" s="1"/>
      <c r="J1373" s="1"/>
      <c r="K1373" s="1"/>
    </row>
    <row r="1374" spans="5:11" x14ac:dyDescent="0.2">
      <c r="E1374" s="1"/>
      <c r="F1374" s="1"/>
      <c r="H1374" s="1"/>
      <c r="I1374" s="1"/>
      <c r="J1374" s="1"/>
      <c r="K1374" s="1"/>
    </row>
    <row r="1375" spans="5:11" x14ac:dyDescent="0.2">
      <c r="E1375" s="1"/>
      <c r="F1375" s="1"/>
      <c r="H1375" s="1"/>
      <c r="I1375" s="1"/>
      <c r="J1375" s="1"/>
      <c r="K1375" s="1"/>
    </row>
    <row r="1376" spans="5:11" x14ac:dyDescent="0.2">
      <c r="E1376" s="1"/>
      <c r="F1376" s="1"/>
      <c r="H1376" s="1"/>
      <c r="I1376" s="1"/>
      <c r="J1376" s="1"/>
      <c r="K1376" s="1"/>
    </row>
    <row r="1377" spans="5:11" x14ac:dyDescent="0.2">
      <c r="E1377" s="1"/>
      <c r="F1377" s="1"/>
      <c r="H1377" s="1"/>
      <c r="I1377" s="1"/>
      <c r="J1377" s="1"/>
      <c r="K1377" s="1"/>
    </row>
    <row r="1378" spans="5:11" x14ac:dyDescent="0.2">
      <c r="E1378" s="1"/>
      <c r="F1378" s="1"/>
      <c r="H1378" s="1"/>
      <c r="I1378" s="1"/>
      <c r="J1378" s="1"/>
      <c r="K1378" s="1"/>
    </row>
    <row r="1379" spans="5:11" x14ac:dyDescent="0.2">
      <c r="E1379" s="1"/>
      <c r="F1379" s="1"/>
      <c r="H1379" s="1"/>
      <c r="I1379" s="1"/>
      <c r="J1379" s="1"/>
      <c r="K1379" s="1"/>
    </row>
    <row r="1380" spans="5:11" x14ac:dyDescent="0.2">
      <c r="E1380" s="1"/>
      <c r="F1380" s="1"/>
      <c r="H1380" s="1"/>
      <c r="I1380" s="1"/>
      <c r="J1380" s="1"/>
      <c r="K1380" s="1"/>
    </row>
    <row r="1381" spans="5:11" x14ac:dyDescent="0.2">
      <c r="E1381" s="1"/>
      <c r="F1381" s="1"/>
      <c r="H1381" s="1"/>
      <c r="I1381" s="1"/>
      <c r="J1381" s="1"/>
      <c r="K1381" s="1"/>
    </row>
    <row r="1382" spans="5:11" x14ac:dyDescent="0.2">
      <c r="E1382" s="1"/>
      <c r="F1382" s="1"/>
      <c r="H1382" s="1"/>
      <c r="I1382" s="1"/>
      <c r="J1382" s="1"/>
      <c r="K1382" s="1"/>
    </row>
    <row r="1383" spans="5:11" x14ac:dyDescent="0.2">
      <c r="E1383" s="1"/>
      <c r="F1383" s="1"/>
      <c r="H1383" s="1"/>
      <c r="I1383" s="1"/>
      <c r="J1383" s="1"/>
      <c r="K1383" s="1"/>
    </row>
    <row r="1384" spans="5:11" x14ac:dyDescent="0.2">
      <c r="E1384" s="1"/>
      <c r="F1384" s="1"/>
      <c r="H1384" s="1"/>
      <c r="I1384" s="1"/>
      <c r="J1384" s="1"/>
      <c r="K1384" s="1"/>
    </row>
    <row r="1385" spans="5:11" x14ac:dyDescent="0.2">
      <c r="E1385" s="1"/>
      <c r="F1385" s="1"/>
      <c r="H1385" s="1"/>
      <c r="I1385" s="1"/>
      <c r="J1385" s="1"/>
      <c r="K1385" s="1"/>
    </row>
    <row r="1386" spans="5:11" x14ac:dyDescent="0.2">
      <c r="E1386" s="1"/>
      <c r="F1386" s="1"/>
      <c r="H1386" s="1"/>
      <c r="I1386" s="1"/>
      <c r="J1386" s="1"/>
      <c r="K1386" s="1"/>
    </row>
    <row r="1387" spans="5:11" x14ac:dyDescent="0.2">
      <c r="E1387" s="1"/>
      <c r="F1387" s="1"/>
      <c r="H1387" s="1"/>
      <c r="I1387" s="1"/>
      <c r="J1387" s="1"/>
      <c r="K1387" s="1"/>
    </row>
    <row r="1388" spans="5:11" x14ac:dyDescent="0.2">
      <c r="E1388" s="1"/>
      <c r="F1388" s="1"/>
      <c r="H1388" s="1"/>
      <c r="I1388" s="1"/>
      <c r="J1388" s="1"/>
      <c r="K1388" s="1"/>
    </row>
    <row r="1389" spans="5:11" x14ac:dyDescent="0.2">
      <c r="E1389" s="1"/>
      <c r="F1389" s="1"/>
      <c r="H1389" s="1"/>
      <c r="I1389" s="1"/>
      <c r="J1389" s="1"/>
      <c r="K1389" s="1"/>
    </row>
    <row r="1390" spans="5:11" x14ac:dyDescent="0.2">
      <c r="E1390" s="1"/>
      <c r="F1390" s="1"/>
      <c r="H1390" s="1"/>
      <c r="I1390" s="1"/>
      <c r="J1390" s="1"/>
      <c r="K1390" s="1"/>
    </row>
    <row r="1391" spans="5:11" x14ac:dyDescent="0.2">
      <c r="E1391" s="1"/>
      <c r="F1391" s="1"/>
      <c r="H1391" s="1"/>
      <c r="I1391" s="1"/>
      <c r="J1391" s="1"/>
      <c r="K1391" s="1"/>
    </row>
    <row r="1392" spans="5:11" x14ac:dyDescent="0.2">
      <c r="E1392" s="1"/>
      <c r="F1392" s="1"/>
      <c r="H1392" s="1"/>
      <c r="I1392" s="1"/>
      <c r="J1392" s="1"/>
      <c r="K1392" s="1"/>
    </row>
    <row r="1393" spans="5:11" x14ac:dyDescent="0.2">
      <c r="E1393" s="1"/>
      <c r="F1393" s="1"/>
      <c r="H1393" s="1"/>
      <c r="I1393" s="1"/>
      <c r="J1393" s="1"/>
      <c r="K1393" s="1"/>
    </row>
    <row r="1394" spans="5:11" x14ac:dyDescent="0.2">
      <c r="E1394" s="1"/>
      <c r="F1394" s="1"/>
      <c r="H1394" s="1"/>
      <c r="I1394" s="1"/>
      <c r="J1394" s="1"/>
      <c r="K1394" s="1"/>
    </row>
    <row r="1395" spans="5:11" x14ac:dyDescent="0.2">
      <c r="E1395" s="1"/>
      <c r="F1395" s="1"/>
      <c r="H1395" s="1"/>
      <c r="I1395" s="1"/>
      <c r="J1395" s="1"/>
      <c r="K1395" s="1"/>
    </row>
    <row r="1396" spans="5:11" x14ac:dyDescent="0.2">
      <c r="E1396" s="1"/>
      <c r="F1396" s="1"/>
      <c r="H1396" s="1"/>
      <c r="I1396" s="1"/>
      <c r="J1396" s="1"/>
      <c r="K1396" s="1"/>
    </row>
    <row r="1397" spans="5:11" x14ac:dyDescent="0.2">
      <c r="E1397" s="1"/>
      <c r="F1397" s="1"/>
      <c r="H1397" s="1"/>
      <c r="I1397" s="1"/>
      <c r="J1397" s="1"/>
      <c r="K1397" s="1"/>
    </row>
    <row r="1398" spans="5:11" x14ac:dyDescent="0.2">
      <c r="E1398" s="1"/>
      <c r="F1398" s="1"/>
      <c r="H1398" s="1"/>
      <c r="I1398" s="1"/>
      <c r="J1398" s="1"/>
      <c r="K1398" s="1"/>
    </row>
    <row r="1399" spans="5:11" x14ac:dyDescent="0.2">
      <c r="E1399" s="1"/>
      <c r="F1399" s="1"/>
      <c r="H1399" s="1"/>
      <c r="I1399" s="1"/>
      <c r="J1399" s="1"/>
      <c r="K1399" s="1"/>
    </row>
    <row r="1400" spans="5:11" x14ac:dyDescent="0.2">
      <c r="E1400" s="1"/>
      <c r="F1400" s="1"/>
      <c r="H1400" s="1"/>
      <c r="I1400" s="1"/>
      <c r="J1400" s="1"/>
      <c r="K1400" s="1"/>
    </row>
    <row r="1401" spans="5:11" x14ac:dyDescent="0.2">
      <c r="E1401" s="1"/>
      <c r="F1401" s="1"/>
      <c r="H1401" s="1"/>
      <c r="I1401" s="1"/>
      <c r="J1401" s="1"/>
      <c r="K1401" s="1"/>
    </row>
    <row r="1402" spans="5:11" x14ac:dyDescent="0.2">
      <c r="E1402" s="1"/>
      <c r="F1402" s="1"/>
      <c r="H1402" s="1"/>
      <c r="I1402" s="1"/>
      <c r="J1402" s="1"/>
      <c r="K1402" s="1"/>
    </row>
    <row r="1403" spans="5:11" x14ac:dyDescent="0.2">
      <c r="E1403" s="1"/>
      <c r="F1403" s="1"/>
      <c r="H1403" s="1"/>
      <c r="I1403" s="1"/>
      <c r="J1403" s="1"/>
      <c r="K1403" s="1"/>
    </row>
    <row r="1404" spans="5:11" x14ac:dyDescent="0.2">
      <c r="E1404" s="1"/>
      <c r="F1404" s="1"/>
      <c r="H1404" s="1"/>
      <c r="I1404" s="1"/>
      <c r="J1404" s="1"/>
      <c r="K1404" s="1"/>
    </row>
    <row r="1405" spans="5:11" x14ac:dyDescent="0.2">
      <c r="E1405" s="1"/>
      <c r="F1405" s="1"/>
      <c r="H1405" s="1"/>
      <c r="I1405" s="1"/>
      <c r="J1405" s="1"/>
      <c r="K1405" s="1"/>
    </row>
    <row r="1406" spans="5:11" x14ac:dyDescent="0.2">
      <c r="E1406" s="1"/>
      <c r="F1406" s="1"/>
      <c r="H1406" s="1"/>
      <c r="I1406" s="1"/>
      <c r="J1406" s="1"/>
      <c r="K1406" s="1"/>
    </row>
    <row r="1407" spans="5:11" x14ac:dyDescent="0.2">
      <c r="E1407" s="1"/>
      <c r="F1407" s="1"/>
      <c r="H1407" s="1"/>
      <c r="I1407" s="1"/>
      <c r="J1407" s="1"/>
      <c r="K1407" s="1"/>
    </row>
    <row r="1408" spans="5:11" x14ac:dyDescent="0.2">
      <c r="E1408" s="1"/>
      <c r="F1408" s="1"/>
      <c r="H1408" s="1"/>
      <c r="I1408" s="1"/>
      <c r="J1408" s="1"/>
      <c r="K1408" s="1"/>
    </row>
    <row r="1409" spans="5:11" x14ac:dyDescent="0.2">
      <c r="E1409" s="1"/>
      <c r="F1409" s="1"/>
      <c r="H1409" s="1"/>
      <c r="I1409" s="1"/>
      <c r="J1409" s="1"/>
      <c r="K1409" s="1"/>
    </row>
    <row r="1410" spans="5:11" x14ac:dyDescent="0.2">
      <c r="E1410" s="1"/>
      <c r="F1410" s="1"/>
      <c r="H1410" s="1"/>
      <c r="I1410" s="1"/>
      <c r="J1410" s="1"/>
      <c r="K1410" s="1"/>
    </row>
    <row r="1411" spans="5:11" x14ac:dyDescent="0.2">
      <c r="E1411" s="1"/>
      <c r="F1411" s="1"/>
      <c r="H1411" s="1"/>
      <c r="I1411" s="1"/>
      <c r="J1411" s="1"/>
      <c r="K1411" s="1"/>
    </row>
    <row r="1412" spans="5:11" x14ac:dyDescent="0.2">
      <c r="E1412" s="1"/>
      <c r="F1412" s="1"/>
      <c r="H1412" s="1"/>
      <c r="I1412" s="1"/>
      <c r="J1412" s="1"/>
      <c r="K1412" s="1"/>
    </row>
    <row r="1413" spans="5:11" x14ac:dyDescent="0.2">
      <c r="E1413" s="1"/>
      <c r="F1413" s="1"/>
      <c r="H1413" s="1"/>
      <c r="I1413" s="1"/>
      <c r="J1413" s="1"/>
      <c r="K1413" s="1"/>
    </row>
    <row r="1414" spans="5:11" x14ac:dyDescent="0.2">
      <c r="E1414" s="1"/>
      <c r="F1414" s="1"/>
      <c r="H1414" s="1"/>
      <c r="I1414" s="1"/>
      <c r="J1414" s="1"/>
      <c r="K1414" s="1"/>
    </row>
    <row r="1415" spans="5:11" x14ac:dyDescent="0.2">
      <c r="E1415" s="1"/>
      <c r="F1415" s="1"/>
      <c r="H1415" s="1"/>
      <c r="I1415" s="1"/>
      <c r="J1415" s="1"/>
      <c r="K1415" s="1"/>
    </row>
    <row r="1416" spans="5:11" x14ac:dyDescent="0.2">
      <c r="E1416" s="1"/>
      <c r="F1416" s="1"/>
      <c r="H1416" s="1"/>
      <c r="I1416" s="1"/>
      <c r="J1416" s="1"/>
      <c r="K1416" s="1"/>
    </row>
    <row r="1417" spans="5:11" x14ac:dyDescent="0.2">
      <c r="E1417" s="1"/>
      <c r="F1417" s="1"/>
      <c r="H1417" s="1"/>
      <c r="I1417" s="1"/>
      <c r="J1417" s="1"/>
      <c r="K1417" s="1"/>
    </row>
    <row r="1418" spans="5:11" x14ac:dyDescent="0.2">
      <c r="E1418" s="1"/>
      <c r="F1418" s="1"/>
      <c r="H1418" s="1"/>
      <c r="I1418" s="1"/>
      <c r="J1418" s="1"/>
      <c r="K1418" s="1"/>
    </row>
    <row r="1419" spans="5:11" x14ac:dyDescent="0.2">
      <c r="E1419" s="1"/>
      <c r="F1419" s="1"/>
      <c r="H1419" s="1"/>
      <c r="I1419" s="1"/>
      <c r="J1419" s="1"/>
      <c r="K1419" s="1"/>
    </row>
    <row r="1420" spans="5:11" x14ac:dyDescent="0.2">
      <c r="E1420" s="1"/>
      <c r="F1420" s="1"/>
      <c r="H1420" s="1"/>
      <c r="I1420" s="1"/>
      <c r="J1420" s="1"/>
      <c r="K1420" s="1"/>
    </row>
    <row r="1421" spans="5:11" x14ac:dyDescent="0.2">
      <c r="E1421" s="1"/>
      <c r="F1421" s="1"/>
      <c r="H1421" s="1"/>
      <c r="I1421" s="1"/>
      <c r="J1421" s="1"/>
      <c r="K1421" s="1"/>
    </row>
    <row r="1422" spans="5:11" x14ac:dyDescent="0.2">
      <c r="E1422" s="1"/>
      <c r="F1422" s="1"/>
      <c r="H1422" s="1"/>
      <c r="I1422" s="1"/>
      <c r="J1422" s="1"/>
      <c r="K1422" s="1"/>
    </row>
    <row r="1423" spans="5:11" x14ac:dyDescent="0.2">
      <c r="E1423" s="1"/>
      <c r="F1423" s="1"/>
      <c r="H1423" s="1"/>
      <c r="I1423" s="1"/>
      <c r="J1423" s="1"/>
      <c r="K1423" s="1"/>
    </row>
    <row r="1424" spans="5:11" x14ac:dyDescent="0.2">
      <c r="E1424" s="1"/>
      <c r="F1424" s="1"/>
      <c r="H1424" s="1"/>
      <c r="I1424" s="1"/>
      <c r="J1424" s="1"/>
      <c r="K1424" s="1"/>
    </row>
    <row r="1425" spans="5:11" x14ac:dyDescent="0.2">
      <c r="E1425" s="1"/>
      <c r="F1425" s="1"/>
      <c r="H1425" s="1"/>
      <c r="I1425" s="1"/>
      <c r="J1425" s="1"/>
      <c r="K1425" s="1"/>
    </row>
    <row r="1426" spans="5:11" x14ac:dyDescent="0.2">
      <c r="E1426" s="1"/>
      <c r="F1426" s="1"/>
      <c r="H1426" s="1"/>
      <c r="I1426" s="1"/>
      <c r="J1426" s="1"/>
      <c r="K1426" s="1"/>
    </row>
    <row r="1427" spans="5:11" x14ac:dyDescent="0.2">
      <c r="E1427" s="1"/>
      <c r="F1427" s="1"/>
      <c r="H1427" s="1"/>
      <c r="I1427" s="1"/>
      <c r="J1427" s="1"/>
      <c r="K1427" s="1"/>
    </row>
    <row r="1428" spans="5:11" x14ac:dyDescent="0.2">
      <c r="E1428" s="1"/>
      <c r="F1428" s="1"/>
      <c r="H1428" s="1"/>
      <c r="I1428" s="1"/>
      <c r="J1428" s="1"/>
      <c r="K1428" s="1"/>
    </row>
    <row r="1429" spans="5:11" x14ac:dyDescent="0.2">
      <c r="E1429" s="1"/>
      <c r="F1429" s="1"/>
      <c r="H1429" s="1"/>
      <c r="I1429" s="1"/>
      <c r="J1429" s="1"/>
      <c r="K1429" s="1"/>
    </row>
    <row r="1430" spans="5:11" x14ac:dyDescent="0.2">
      <c r="E1430" s="1"/>
      <c r="F1430" s="1"/>
      <c r="H1430" s="1"/>
      <c r="I1430" s="1"/>
      <c r="J1430" s="1"/>
      <c r="K1430" s="1"/>
    </row>
    <row r="1431" spans="5:11" x14ac:dyDescent="0.2">
      <c r="E1431" s="1"/>
      <c r="F1431" s="1"/>
      <c r="H1431" s="1"/>
      <c r="I1431" s="1"/>
      <c r="J1431" s="1"/>
      <c r="K1431" s="1"/>
    </row>
    <row r="1432" spans="5:11" x14ac:dyDescent="0.2">
      <c r="E1432" s="1"/>
      <c r="F1432" s="1"/>
      <c r="H1432" s="1"/>
      <c r="I1432" s="1"/>
      <c r="J1432" s="1"/>
      <c r="K1432" s="1"/>
    </row>
    <row r="1433" spans="5:11" x14ac:dyDescent="0.2">
      <c r="E1433" s="1"/>
      <c r="F1433" s="1"/>
      <c r="H1433" s="1"/>
      <c r="I1433" s="1"/>
      <c r="J1433" s="1"/>
      <c r="K1433" s="1"/>
    </row>
    <row r="1434" spans="5:11" x14ac:dyDescent="0.2">
      <c r="E1434" s="1"/>
      <c r="F1434" s="1"/>
      <c r="H1434" s="1"/>
      <c r="I1434" s="1"/>
      <c r="J1434" s="1"/>
      <c r="K1434" s="1"/>
    </row>
    <row r="1435" spans="5:11" x14ac:dyDescent="0.2">
      <c r="E1435" s="1"/>
      <c r="F1435" s="1"/>
      <c r="H1435" s="1"/>
      <c r="I1435" s="1"/>
      <c r="J1435" s="1"/>
      <c r="K1435" s="1"/>
    </row>
    <row r="1436" spans="5:11" x14ac:dyDescent="0.2">
      <c r="E1436" s="1"/>
      <c r="F1436" s="1"/>
      <c r="H1436" s="1"/>
      <c r="I1436" s="1"/>
      <c r="J1436" s="1"/>
      <c r="K1436" s="1"/>
    </row>
    <row r="1437" spans="5:11" x14ac:dyDescent="0.2">
      <c r="E1437" s="1"/>
      <c r="F1437" s="1"/>
      <c r="H1437" s="1"/>
      <c r="I1437" s="1"/>
      <c r="J1437" s="1"/>
      <c r="K1437" s="1"/>
    </row>
    <row r="1438" spans="5:11" x14ac:dyDescent="0.2">
      <c r="E1438" s="1"/>
      <c r="F1438" s="1"/>
      <c r="H1438" s="1"/>
      <c r="I1438" s="1"/>
      <c r="J1438" s="1"/>
      <c r="K1438" s="1"/>
    </row>
    <row r="1439" spans="5:11" x14ac:dyDescent="0.2">
      <c r="E1439" s="1"/>
      <c r="F1439" s="1"/>
      <c r="H1439" s="1"/>
      <c r="I1439" s="1"/>
      <c r="J1439" s="1"/>
      <c r="K1439" s="1"/>
    </row>
    <row r="1440" spans="5:11" x14ac:dyDescent="0.2">
      <c r="E1440" s="1"/>
      <c r="F1440" s="1"/>
      <c r="H1440" s="1"/>
      <c r="I1440" s="1"/>
      <c r="J1440" s="1"/>
      <c r="K1440" s="1"/>
    </row>
    <row r="1441" spans="5:11" x14ac:dyDescent="0.2">
      <c r="E1441" s="1"/>
      <c r="F1441" s="1"/>
      <c r="H1441" s="1"/>
      <c r="I1441" s="1"/>
      <c r="J1441" s="1"/>
      <c r="K1441" s="1"/>
    </row>
    <row r="1442" spans="5:11" x14ac:dyDescent="0.2">
      <c r="E1442" s="1"/>
      <c r="F1442" s="1"/>
      <c r="H1442" s="1"/>
      <c r="I1442" s="1"/>
      <c r="J1442" s="1"/>
      <c r="K1442" s="1"/>
    </row>
    <row r="1443" spans="5:11" x14ac:dyDescent="0.2">
      <c r="E1443" s="1"/>
      <c r="F1443" s="1"/>
      <c r="H1443" s="1"/>
      <c r="I1443" s="1"/>
      <c r="J1443" s="1"/>
      <c r="K1443" s="1"/>
    </row>
    <row r="1444" spans="5:11" x14ac:dyDescent="0.2">
      <c r="E1444" s="1"/>
      <c r="F1444" s="1"/>
      <c r="H1444" s="1"/>
      <c r="I1444" s="1"/>
      <c r="J1444" s="1"/>
      <c r="K1444" s="1"/>
    </row>
    <row r="1445" spans="5:11" x14ac:dyDescent="0.2">
      <c r="E1445" s="1"/>
      <c r="F1445" s="1"/>
      <c r="H1445" s="1"/>
      <c r="I1445" s="1"/>
      <c r="J1445" s="1"/>
      <c r="K1445" s="1"/>
    </row>
    <row r="1446" spans="5:11" x14ac:dyDescent="0.2">
      <c r="E1446" s="1"/>
      <c r="F1446" s="1"/>
      <c r="H1446" s="1"/>
      <c r="I1446" s="1"/>
      <c r="J1446" s="1"/>
      <c r="K1446" s="1"/>
    </row>
    <row r="1447" spans="5:11" x14ac:dyDescent="0.2">
      <c r="E1447" s="1"/>
      <c r="F1447" s="1"/>
      <c r="H1447" s="1"/>
      <c r="I1447" s="1"/>
      <c r="J1447" s="1"/>
      <c r="K1447" s="1"/>
    </row>
    <row r="1448" spans="5:11" x14ac:dyDescent="0.2">
      <c r="E1448" s="1"/>
      <c r="F1448" s="1"/>
      <c r="H1448" s="1"/>
      <c r="I1448" s="1"/>
      <c r="J1448" s="1"/>
      <c r="K1448" s="1"/>
    </row>
    <row r="1449" spans="5:11" x14ac:dyDescent="0.2">
      <c r="E1449" s="1"/>
      <c r="F1449" s="1"/>
      <c r="H1449" s="1"/>
      <c r="I1449" s="1"/>
      <c r="J1449" s="1"/>
      <c r="K1449" s="1"/>
    </row>
    <row r="1450" spans="5:11" x14ac:dyDescent="0.2">
      <c r="E1450" s="1"/>
      <c r="F1450" s="1"/>
      <c r="H1450" s="1"/>
      <c r="I1450" s="1"/>
      <c r="J1450" s="1"/>
      <c r="K1450" s="1"/>
    </row>
    <row r="1451" spans="5:11" x14ac:dyDescent="0.2">
      <c r="E1451" s="1"/>
      <c r="F1451" s="1"/>
      <c r="H1451" s="1"/>
      <c r="I1451" s="1"/>
      <c r="J1451" s="1"/>
      <c r="K1451" s="1"/>
    </row>
    <row r="1452" spans="5:11" x14ac:dyDescent="0.2">
      <c r="E1452" s="1"/>
      <c r="F1452" s="1"/>
      <c r="H1452" s="1"/>
      <c r="I1452" s="1"/>
      <c r="J1452" s="1"/>
      <c r="K1452" s="1"/>
    </row>
    <row r="1453" spans="5:11" x14ac:dyDescent="0.2">
      <c r="E1453" s="1"/>
      <c r="F1453" s="1"/>
      <c r="H1453" s="1"/>
      <c r="I1453" s="1"/>
      <c r="J1453" s="1"/>
      <c r="K1453" s="1"/>
    </row>
    <row r="1454" spans="5:11" x14ac:dyDescent="0.2">
      <c r="E1454" s="1"/>
      <c r="F1454" s="1"/>
      <c r="H1454" s="1"/>
      <c r="I1454" s="1"/>
      <c r="J1454" s="1"/>
      <c r="K1454" s="1"/>
    </row>
    <row r="1455" spans="5:11" x14ac:dyDescent="0.2">
      <c r="E1455" s="1"/>
      <c r="F1455" s="1"/>
      <c r="H1455" s="1"/>
      <c r="I1455" s="1"/>
      <c r="J1455" s="1"/>
      <c r="K1455" s="1"/>
    </row>
    <row r="1456" spans="5:11" x14ac:dyDescent="0.2">
      <c r="E1456" s="1"/>
      <c r="F1456" s="1"/>
      <c r="H1456" s="1"/>
      <c r="I1456" s="1"/>
      <c r="J1456" s="1"/>
      <c r="K1456" s="1"/>
    </row>
    <row r="1457" spans="5:11" x14ac:dyDescent="0.2">
      <c r="E1457" s="1"/>
      <c r="F1457" s="1"/>
      <c r="H1457" s="1"/>
      <c r="I1457" s="1"/>
      <c r="J1457" s="1"/>
      <c r="K1457" s="1"/>
    </row>
    <row r="1458" spans="5:11" x14ac:dyDescent="0.2">
      <c r="E1458" s="1"/>
      <c r="F1458" s="1"/>
      <c r="H1458" s="1"/>
      <c r="I1458" s="1"/>
      <c r="J1458" s="1"/>
      <c r="K1458" s="1"/>
    </row>
    <row r="1459" spans="5:11" x14ac:dyDescent="0.2">
      <c r="E1459" s="1"/>
      <c r="F1459" s="1"/>
      <c r="H1459" s="1"/>
      <c r="I1459" s="1"/>
      <c r="J1459" s="1"/>
      <c r="K1459" s="1"/>
    </row>
    <row r="1460" spans="5:11" x14ac:dyDescent="0.2">
      <c r="E1460" s="1"/>
      <c r="F1460" s="1"/>
      <c r="H1460" s="1"/>
      <c r="I1460" s="1"/>
      <c r="J1460" s="1"/>
      <c r="K1460" s="1"/>
    </row>
    <row r="1461" spans="5:11" x14ac:dyDescent="0.2">
      <c r="E1461" s="1"/>
      <c r="F1461" s="1"/>
      <c r="H1461" s="1"/>
      <c r="I1461" s="1"/>
      <c r="J1461" s="1"/>
      <c r="K1461" s="1"/>
    </row>
    <row r="1462" spans="5:11" x14ac:dyDescent="0.2">
      <c r="E1462" s="1"/>
      <c r="F1462" s="1"/>
      <c r="H1462" s="1"/>
      <c r="I1462" s="1"/>
      <c r="J1462" s="1"/>
      <c r="K1462" s="1"/>
    </row>
    <row r="1463" spans="5:11" x14ac:dyDescent="0.2">
      <c r="E1463" s="1"/>
      <c r="F1463" s="1"/>
      <c r="H1463" s="1"/>
      <c r="I1463" s="1"/>
      <c r="J1463" s="1"/>
      <c r="K1463" s="1"/>
    </row>
    <row r="1464" spans="5:11" x14ac:dyDescent="0.2">
      <c r="E1464" s="1"/>
      <c r="F1464" s="1"/>
      <c r="H1464" s="1"/>
      <c r="I1464" s="1"/>
      <c r="J1464" s="1"/>
      <c r="K1464" s="1"/>
    </row>
    <row r="1465" spans="5:11" x14ac:dyDescent="0.2">
      <c r="E1465" s="1"/>
      <c r="F1465" s="1"/>
      <c r="H1465" s="1"/>
      <c r="I1465" s="1"/>
      <c r="J1465" s="1"/>
      <c r="K1465" s="1"/>
    </row>
    <row r="1466" spans="5:11" x14ac:dyDescent="0.2">
      <c r="E1466" s="1"/>
      <c r="F1466" s="1"/>
      <c r="H1466" s="1"/>
      <c r="I1466" s="1"/>
      <c r="J1466" s="1"/>
      <c r="K1466" s="1"/>
    </row>
    <row r="1467" spans="5:11" x14ac:dyDescent="0.2">
      <c r="E1467" s="1"/>
      <c r="F1467" s="1"/>
      <c r="H1467" s="1"/>
      <c r="I1467" s="1"/>
      <c r="J1467" s="1"/>
      <c r="K1467" s="1"/>
    </row>
    <row r="1468" spans="5:11" x14ac:dyDescent="0.2">
      <c r="E1468" s="1"/>
      <c r="F1468" s="1"/>
      <c r="H1468" s="1"/>
      <c r="I1468" s="1"/>
      <c r="J1468" s="1"/>
      <c r="K1468" s="1"/>
    </row>
    <row r="1469" spans="5:11" x14ac:dyDescent="0.2">
      <c r="E1469" s="1"/>
      <c r="F1469" s="1"/>
      <c r="H1469" s="1"/>
      <c r="I1469" s="1"/>
      <c r="J1469" s="1"/>
      <c r="K1469" s="1"/>
    </row>
    <row r="1470" spans="5:11" x14ac:dyDescent="0.2">
      <c r="E1470" s="1"/>
      <c r="F1470" s="1"/>
      <c r="H1470" s="1"/>
      <c r="I1470" s="1"/>
      <c r="J1470" s="1"/>
      <c r="K1470" s="1"/>
    </row>
    <row r="1471" spans="5:11" x14ac:dyDescent="0.2">
      <c r="E1471" s="1"/>
      <c r="F1471" s="1"/>
      <c r="H1471" s="1"/>
      <c r="I1471" s="1"/>
      <c r="J1471" s="1"/>
      <c r="K1471" s="1"/>
    </row>
    <row r="1472" spans="5:11" x14ac:dyDescent="0.2">
      <c r="E1472" s="1"/>
      <c r="F1472" s="1"/>
      <c r="H1472" s="1"/>
      <c r="I1472" s="1"/>
      <c r="J1472" s="1"/>
      <c r="K1472" s="1"/>
    </row>
    <row r="1473" spans="5:11" x14ac:dyDescent="0.2">
      <c r="E1473" s="1"/>
      <c r="F1473" s="1"/>
      <c r="H1473" s="1"/>
      <c r="I1473" s="1"/>
      <c r="J1473" s="1"/>
      <c r="K1473" s="1"/>
    </row>
    <row r="1474" spans="5:11" x14ac:dyDescent="0.2">
      <c r="E1474" s="1"/>
      <c r="F1474" s="1"/>
      <c r="H1474" s="1"/>
      <c r="I1474" s="1"/>
      <c r="J1474" s="1"/>
      <c r="K1474" s="1"/>
    </row>
    <row r="1475" spans="5:11" x14ac:dyDescent="0.2">
      <c r="E1475" s="1"/>
      <c r="F1475" s="1"/>
      <c r="H1475" s="1"/>
      <c r="I1475" s="1"/>
      <c r="J1475" s="1"/>
      <c r="K1475" s="1"/>
    </row>
    <row r="1476" spans="5:11" x14ac:dyDescent="0.2">
      <c r="E1476" s="1"/>
      <c r="F1476" s="1"/>
      <c r="H1476" s="1"/>
      <c r="I1476" s="1"/>
      <c r="J1476" s="1"/>
      <c r="K1476" s="1"/>
    </row>
    <row r="1477" spans="5:11" x14ac:dyDescent="0.2">
      <c r="E1477" s="1"/>
      <c r="F1477" s="1"/>
      <c r="H1477" s="1"/>
      <c r="I1477" s="1"/>
      <c r="J1477" s="1"/>
      <c r="K1477" s="1"/>
    </row>
    <row r="1478" spans="5:11" x14ac:dyDescent="0.2">
      <c r="E1478" s="1"/>
      <c r="F1478" s="1"/>
      <c r="H1478" s="1"/>
      <c r="I1478" s="1"/>
      <c r="J1478" s="1"/>
      <c r="K1478" s="1"/>
    </row>
    <row r="1479" spans="5:11" x14ac:dyDescent="0.2">
      <c r="E1479" s="1"/>
      <c r="F1479" s="1"/>
      <c r="H1479" s="1"/>
      <c r="I1479" s="1"/>
      <c r="J1479" s="1"/>
      <c r="K1479" s="1"/>
    </row>
    <row r="1480" spans="5:11" x14ac:dyDescent="0.2">
      <c r="E1480" s="1"/>
      <c r="F1480" s="1"/>
      <c r="H1480" s="1"/>
      <c r="I1480" s="1"/>
      <c r="J1480" s="1"/>
      <c r="K1480" s="1"/>
    </row>
    <row r="1481" spans="5:11" x14ac:dyDescent="0.2">
      <c r="E1481" s="1"/>
      <c r="F1481" s="1"/>
      <c r="H1481" s="1"/>
      <c r="I1481" s="1"/>
      <c r="J1481" s="1"/>
      <c r="K1481" s="1"/>
    </row>
    <row r="1482" spans="5:11" x14ac:dyDescent="0.2">
      <c r="E1482" s="1"/>
      <c r="F1482" s="1"/>
      <c r="H1482" s="1"/>
      <c r="I1482" s="1"/>
      <c r="J1482" s="1"/>
      <c r="K1482" s="1"/>
    </row>
    <row r="1483" spans="5:11" x14ac:dyDescent="0.2">
      <c r="E1483" s="1"/>
      <c r="F1483" s="1"/>
      <c r="H1483" s="1"/>
      <c r="I1483" s="1"/>
      <c r="J1483" s="1"/>
      <c r="K1483" s="1"/>
    </row>
    <row r="1484" spans="5:11" x14ac:dyDescent="0.2">
      <c r="E1484" s="1"/>
      <c r="F1484" s="1"/>
      <c r="H1484" s="1"/>
      <c r="I1484" s="1"/>
      <c r="J1484" s="1"/>
      <c r="K1484" s="1"/>
    </row>
    <row r="1485" spans="5:11" x14ac:dyDescent="0.2">
      <c r="E1485" s="1"/>
      <c r="F1485" s="1"/>
      <c r="H1485" s="1"/>
      <c r="I1485" s="1"/>
      <c r="J1485" s="1"/>
      <c r="K1485" s="1"/>
    </row>
    <row r="1486" spans="5:11" x14ac:dyDescent="0.2">
      <c r="E1486" s="1"/>
      <c r="F1486" s="1"/>
      <c r="H1486" s="1"/>
      <c r="I1486" s="1"/>
      <c r="J1486" s="1"/>
      <c r="K1486" s="1"/>
    </row>
    <row r="1487" spans="5:11" x14ac:dyDescent="0.2">
      <c r="E1487" s="1"/>
      <c r="F1487" s="1"/>
      <c r="H1487" s="1"/>
      <c r="I1487" s="1"/>
      <c r="J1487" s="1"/>
      <c r="K1487" s="1"/>
    </row>
    <row r="1488" spans="5:11" x14ac:dyDescent="0.2">
      <c r="E1488" s="1"/>
      <c r="F1488" s="1"/>
      <c r="H1488" s="1"/>
      <c r="I1488" s="1"/>
      <c r="J1488" s="1"/>
      <c r="K1488" s="1"/>
    </row>
    <row r="1489" spans="5:11" x14ac:dyDescent="0.2">
      <c r="E1489" s="1"/>
      <c r="F1489" s="1"/>
      <c r="H1489" s="1"/>
      <c r="I1489" s="1"/>
      <c r="J1489" s="1"/>
      <c r="K1489" s="1"/>
    </row>
    <row r="1490" spans="5:11" x14ac:dyDescent="0.2">
      <c r="E1490" s="1"/>
      <c r="F1490" s="1"/>
      <c r="H1490" s="1"/>
      <c r="I1490" s="1"/>
      <c r="J1490" s="1"/>
      <c r="K1490" s="1"/>
    </row>
    <row r="1491" spans="5:11" x14ac:dyDescent="0.2">
      <c r="E1491" s="1"/>
      <c r="F1491" s="1"/>
      <c r="H1491" s="1"/>
      <c r="I1491" s="1"/>
      <c r="J1491" s="1"/>
      <c r="K1491" s="1"/>
    </row>
    <row r="1492" spans="5:11" x14ac:dyDescent="0.2">
      <c r="E1492" s="1"/>
      <c r="F1492" s="1"/>
      <c r="H1492" s="1"/>
      <c r="I1492" s="1"/>
      <c r="J1492" s="1"/>
      <c r="K1492" s="1"/>
    </row>
    <row r="1493" spans="5:11" x14ac:dyDescent="0.2">
      <c r="E1493" s="1"/>
      <c r="F1493" s="1"/>
      <c r="H1493" s="1"/>
      <c r="I1493" s="1"/>
      <c r="J1493" s="1"/>
      <c r="K1493" s="1"/>
    </row>
    <row r="1494" spans="5:11" x14ac:dyDescent="0.2">
      <c r="E1494" s="1"/>
      <c r="F1494" s="1"/>
      <c r="H1494" s="1"/>
      <c r="I1494" s="1"/>
      <c r="J1494" s="1"/>
      <c r="K1494" s="1"/>
    </row>
    <row r="1495" spans="5:11" x14ac:dyDescent="0.2">
      <c r="E1495" s="1"/>
      <c r="F1495" s="1"/>
      <c r="H1495" s="1"/>
      <c r="I1495" s="1"/>
      <c r="J1495" s="1"/>
      <c r="K1495" s="1"/>
    </row>
    <row r="1496" spans="5:11" x14ac:dyDescent="0.2">
      <c r="E1496" s="1"/>
      <c r="F1496" s="1"/>
      <c r="H1496" s="1"/>
      <c r="I1496" s="1"/>
      <c r="J1496" s="1"/>
      <c r="K1496" s="1"/>
    </row>
    <row r="1497" spans="5:11" x14ac:dyDescent="0.2">
      <c r="E1497" s="1"/>
      <c r="F1497" s="1"/>
      <c r="H1497" s="1"/>
      <c r="I1497" s="1"/>
      <c r="J1497" s="1"/>
      <c r="K1497" s="1"/>
    </row>
    <row r="1498" spans="5:11" x14ac:dyDescent="0.2">
      <c r="E1498" s="1"/>
      <c r="F1498" s="1"/>
      <c r="H1498" s="1"/>
      <c r="I1498" s="1"/>
      <c r="J1498" s="1"/>
      <c r="K1498" s="1"/>
    </row>
    <row r="1499" spans="5:11" x14ac:dyDescent="0.2">
      <c r="E1499" s="1"/>
      <c r="F1499" s="1"/>
      <c r="H1499" s="1"/>
      <c r="I1499" s="1"/>
      <c r="J1499" s="1"/>
      <c r="K1499" s="1"/>
    </row>
    <row r="1500" spans="5:11" x14ac:dyDescent="0.2">
      <c r="E1500" s="1"/>
      <c r="F1500" s="1"/>
      <c r="H1500" s="1"/>
      <c r="I1500" s="1"/>
      <c r="J1500" s="1"/>
      <c r="K1500" s="1"/>
    </row>
    <row r="1501" spans="5:11" x14ac:dyDescent="0.2">
      <c r="E1501" s="1"/>
      <c r="F1501" s="1"/>
      <c r="H1501" s="1"/>
      <c r="I1501" s="1"/>
      <c r="J1501" s="1"/>
      <c r="K1501" s="1"/>
    </row>
    <row r="1502" spans="5:11" x14ac:dyDescent="0.2">
      <c r="E1502" s="1"/>
      <c r="F1502" s="1"/>
      <c r="H1502" s="1"/>
      <c r="I1502" s="1"/>
      <c r="J1502" s="1"/>
      <c r="K1502" s="1"/>
    </row>
    <row r="1503" spans="5:11" x14ac:dyDescent="0.2">
      <c r="E1503" s="1"/>
      <c r="F1503" s="1"/>
      <c r="H1503" s="1"/>
      <c r="I1503" s="1"/>
      <c r="J1503" s="1"/>
      <c r="K1503" s="1"/>
    </row>
    <row r="1504" spans="5:11" x14ac:dyDescent="0.2">
      <c r="E1504" s="1"/>
      <c r="F1504" s="1"/>
      <c r="H1504" s="1"/>
      <c r="I1504" s="1"/>
      <c r="J1504" s="1"/>
      <c r="K1504" s="1"/>
    </row>
    <row r="1505" spans="5:11" x14ac:dyDescent="0.2">
      <c r="E1505" s="1"/>
      <c r="F1505" s="1"/>
      <c r="H1505" s="1"/>
      <c r="I1505" s="1"/>
      <c r="J1505" s="1"/>
      <c r="K1505" s="1"/>
    </row>
    <row r="1506" spans="5:11" x14ac:dyDescent="0.2">
      <c r="E1506" s="1"/>
      <c r="F1506" s="1"/>
      <c r="H1506" s="1"/>
      <c r="I1506" s="1"/>
      <c r="J1506" s="1"/>
      <c r="K1506" s="1"/>
    </row>
    <row r="1507" spans="5:11" x14ac:dyDescent="0.2">
      <c r="E1507" s="1"/>
      <c r="F1507" s="1"/>
      <c r="H1507" s="1"/>
      <c r="I1507" s="1"/>
      <c r="J1507" s="1"/>
      <c r="K1507" s="1"/>
    </row>
    <row r="1508" spans="5:11" x14ac:dyDescent="0.2">
      <c r="E1508" s="1"/>
      <c r="F1508" s="1"/>
      <c r="H1508" s="1"/>
      <c r="I1508" s="1"/>
      <c r="J1508" s="1"/>
      <c r="K1508" s="1"/>
    </row>
    <row r="1509" spans="5:11" x14ac:dyDescent="0.2">
      <c r="E1509" s="1"/>
      <c r="F1509" s="1"/>
      <c r="H1509" s="1"/>
      <c r="I1509" s="1"/>
      <c r="J1509" s="1"/>
      <c r="K1509" s="1"/>
    </row>
    <row r="1510" spans="5:11" x14ac:dyDescent="0.2">
      <c r="E1510" s="1"/>
      <c r="F1510" s="1"/>
      <c r="H1510" s="1"/>
      <c r="I1510" s="1"/>
      <c r="J1510" s="1"/>
      <c r="K1510" s="1"/>
    </row>
    <row r="1511" spans="5:11" x14ac:dyDescent="0.2">
      <c r="E1511" s="1"/>
      <c r="F1511" s="1"/>
      <c r="H1511" s="1"/>
      <c r="I1511" s="1"/>
      <c r="J1511" s="1"/>
      <c r="K1511" s="1"/>
    </row>
    <row r="1512" spans="5:11" x14ac:dyDescent="0.2">
      <c r="E1512" s="1"/>
      <c r="F1512" s="1"/>
      <c r="H1512" s="1"/>
      <c r="I1512" s="1"/>
      <c r="J1512" s="1"/>
      <c r="K1512" s="1"/>
    </row>
    <row r="1513" spans="5:11" x14ac:dyDescent="0.2">
      <c r="E1513" s="1"/>
      <c r="F1513" s="1"/>
      <c r="H1513" s="1"/>
      <c r="I1513" s="1"/>
      <c r="J1513" s="1"/>
      <c r="K1513" s="1"/>
    </row>
    <row r="1514" spans="5:11" x14ac:dyDescent="0.2">
      <c r="E1514" s="1"/>
      <c r="F1514" s="1"/>
      <c r="H1514" s="1"/>
      <c r="I1514" s="1"/>
      <c r="J1514" s="1"/>
      <c r="K1514" s="1"/>
    </row>
    <row r="1515" spans="5:11" x14ac:dyDescent="0.2">
      <c r="E1515" s="1"/>
      <c r="F1515" s="1"/>
      <c r="H1515" s="1"/>
      <c r="I1515" s="1"/>
      <c r="J1515" s="1"/>
      <c r="K1515" s="1"/>
    </row>
    <row r="1516" spans="5:11" x14ac:dyDescent="0.2">
      <c r="E1516" s="1"/>
      <c r="F1516" s="1"/>
      <c r="H1516" s="1"/>
      <c r="I1516" s="1"/>
      <c r="J1516" s="1"/>
      <c r="K1516" s="1"/>
    </row>
    <row r="1517" spans="5:11" x14ac:dyDescent="0.2">
      <c r="E1517" s="1"/>
      <c r="F1517" s="1"/>
      <c r="H1517" s="1"/>
      <c r="I1517" s="1"/>
      <c r="J1517" s="1"/>
      <c r="K1517" s="1"/>
    </row>
    <row r="1518" spans="5:11" x14ac:dyDescent="0.2">
      <c r="E1518" s="1"/>
      <c r="F1518" s="1"/>
      <c r="H1518" s="1"/>
      <c r="I1518" s="1"/>
      <c r="J1518" s="1"/>
      <c r="K1518" s="1"/>
    </row>
    <row r="1519" spans="5:11" x14ac:dyDescent="0.2">
      <c r="E1519" s="1"/>
      <c r="F1519" s="1"/>
      <c r="H1519" s="1"/>
      <c r="I1519" s="1"/>
      <c r="J1519" s="1"/>
      <c r="K1519" s="1"/>
    </row>
    <row r="1520" spans="5:11" x14ac:dyDescent="0.2">
      <c r="E1520" s="1"/>
      <c r="F1520" s="1"/>
      <c r="H1520" s="1"/>
      <c r="I1520" s="1"/>
      <c r="J1520" s="1"/>
      <c r="K1520" s="1"/>
    </row>
    <row r="1521" spans="5:11" x14ac:dyDescent="0.2">
      <c r="E1521" s="1"/>
      <c r="F1521" s="1"/>
      <c r="H1521" s="1"/>
      <c r="I1521" s="1"/>
      <c r="J1521" s="1"/>
      <c r="K1521" s="1"/>
    </row>
    <row r="1522" spans="5:11" x14ac:dyDescent="0.2">
      <c r="E1522" s="1"/>
      <c r="F1522" s="1"/>
      <c r="H1522" s="1"/>
      <c r="I1522" s="1"/>
      <c r="J1522" s="1"/>
      <c r="K1522" s="1"/>
    </row>
    <row r="1523" spans="5:11" x14ac:dyDescent="0.2">
      <c r="E1523" s="1"/>
      <c r="F1523" s="1"/>
      <c r="H1523" s="1"/>
      <c r="I1523" s="1"/>
      <c r="J1523" s="1"/>
      <c r="K1523" s="1"/>
    </row>
    <row r="1524" spans="5:11" x14ac:dyDescent="0.2">
      <c r="E1524" s="1"/>
      <c r="F1524" s="1"/>
      <c r="H1524" s="1"/>
      <c r="I1524" s="1"/>
      <c r="J1524" s="1"/>
      <c r="K1524" s="1"/>
    </row>
    <row r="1525" spans="5:11" x14ac:dyDescent="0.2">
      <c r="E1525" s="1"/>
      <c r="F1525" s="1"/>
      <c r="H1525" s="1"/>
      <c r="I1525" s="1"/>
      <c r="J1525" s="1"/>
      <c r="K1525" s="1"/>
    </row>
    <row r="1526" spans="5:11" x14ac:dyDescent="0.2">
      <c r="E1526" s="1"/>
      <c r="F1526" s="1"/>
      <c r="H1526" s="1"/>
      <c r="I1526" s="1"/>
      <c r="J1526" s="1"/>
      <c r="K1526" s="1"/>
    </row>
    <row r="1527" spans="5:11" x14ac:dyDescent="0.2">
      <c r="E1527" s="1"/>
      <c r="F1527" s="1"/>
      <c r="H1527" s="1"/>
      <c r="I1527" s="1"/>
      <c r="J1527" s="1"/>
      <c r="K1527" s="1"/>
    </row>
    <row r="1528" spans="5:11" x14ac:dyDescent="0.2">
      <c r="E1528" s="1"/>
      <c r="F1528" s="1"/>
      <c r="H1528" s="1"/>
      <c r="I1528" s="1"/>
      <c r="J1528" s="1"/>
      <c r="K1528" s="1"/>
    </row>
    <row r="1529" spans="5:11" x14ac:dyDescent="0.2">
      <c r="E1529" s="1"/>
      <c r="F1529" s="1"/>
      <c r="H1529" s="1"/>
      <c r="I1529" s="1"/>
      <c r="J1529" s="1"/>
      <c r="K1529" s="1"/>
    </row>
    <row r="1530" spans="5:11" x14ac:dyDescent="0.2">
      <c r="E1530" s="1"/>
      <c r="F1530" s="1"/>
      <c r="H1530" s="1"/>
      <c r="I1530" s="1"/>
      <c r="J1530" s="1"/>
      <c r="K1530" s="1"/>
    </row>
    <row r="1531" spans="5:11" x14ac:dyDescent="0.2">
      <c r="E1531" s="1"/>
      <c r="F1531" s="1"/>
      <c r="H1531" s="1"/>
      <c r="I1531" s="1"/>
      <c r="J1531" s="1"/>
      <c r="K1531" s="1"/>
    </row>
    <row r="1532" spans="5:11" x14ac:dyDescent="0.2">
      <c r="E1532" s="1"/>
      <c r="F1532" s="1"/>
      <c r="H1532" s="1"/>
      <c r="I1532" s="1"/>
      <c r="J1532" s="1"/>
      <c r="K1532" s="1"/>
    </row>
    <row r="1533" spans="5:11" x14ac:dyDescent="0.2">
      <c r="E1533" s="1"/>
      <c r="F1533" s="1"/>
      <c r="H1533" s="1"/>
      <c r="I1533" s="1"/>
      <c r="J1533" s="1"/>
      <c r="K1533" s="1"/>
    </row>
    <row r="1534" spans="5:11" x14ac:dyDescent="0.2">
      <c r="E1534" s="1"/>
      <c r="F1534" s="1"/>
      <c r="H1534" s="1"/>
      <c r="I1534" s="1"/>
      <c r="J1534" s="1"/>
      <c r="K1534" s="1"/>
    </row>
    <row r="1535" spans="5:11" x14ac:dyDescent="0.2">
      <c r="E1535" s="1"/>
      <c r="F1535" s="1"/>
      <c r="H1535" s="1"/>
      <c r="I1535" s="1"/>
      <c r="J1535" s="1"/>
      <c r="K1535" s="1"/>
    </row>
    <row r="1536" spans="5:11" x14ac:dyDescent="0.2">
      <c r="E1536" s="1"/>
      <c r="F1536" s="1"/>
      <c r="H1536" s="1"/>
      <c r="I1536" s="1"/>
      <c r="J1536" s="1"/>
      <c r="K1536" s="1"/>
    </row>
    <row r="1537" spans="5:11" x14ac:dyDescent="0.2">
      <c r="E1537" s="1"/>
      <c r="F1537" s="1"/>
      <c r="H1537" s="1"/>
      <c r="I1537" s="1"/>
      <c r="J1537" s="1"/>
      <c r="K1537" s="1"/>
    </row>
    <row r="1538" spans="5:11" x14ac:dyDescent="0.2">
      <c r="E1538" s="1"/>
      <c r="F1538" s="1"/>
      <c r="H1538" s="1"/>
      <c r="I1538" s="1"/>
      <c r="J1538" s="1"/>
      <c r="K1538" s="1"/>
    </row>
    <row r="1539" spans="5:11" x14ac:dyDescent="0.2">
      <c r="E1539" s="1"/>
      <c r="F1539" s="1"/>
      <c r="H1539" s="1"/>
      <c r="I1539" s="1"/>
      <c r="J1539" s="1"/>
      <c r="K1539" s="1"/>
    </row>
    <row r="1540" spans="5:11" x14ac:dyDescent="0.2">
      <c r="E1540" s="1"/>
      <c r="F1540" s="1"/>
      <c r="H1540" s="1"/>
      <c r="I1540" s="1"/>
      <c r="J1540" s="1"/>
      <c r="K1540" s="1"/>
    </row>
    <row r="1541" spans="5:11" x14ac:dyDescent="0.2">
      <c r="E1541" s="1"/>
      <c r="F1541" s="1"/>
      <c r="H1541" s="1"/>
      <c r="I1541" s="1"/>
      <c r="J1541" s="1"/>
      <c r="K1541" s="1"/>
    </row>
    <row r="1542" spans="5:11" x14ac:dyDescent="0.2">
      <c r="E1542" s="1"/>
      <c r="F1542" s="1"/>
      <c r="H1542" s="1"/>
      <c r="I1542" s="1"/>
      <c r="J1542" s="1"/>
      <c r="K1542" s="1"/>
    </row>
    <row r="1543" spans="5:11" x14ac:dyDescent="0.2">
      <c r="E1543" s="1"/>
      <c r="F1543" s="1"/>
      <c r="H1543" s="1"/>
      <c r="I1543" s="1"/>
      <c r="J1543" s="1"/>
      <c r="K1543" s="1"/>
    </row>
    <row r="1544" spans="5:11" x14ac:dyDescent="0.2">
      <c r="E1544" s="1"/>
      <c r="F1544" s="1"/>
      <c r="H1544" s="1"/>
      <c r="I1544" s="1"/>
      <c r="J1544" s="1"/>
      <c r="K1544" s="1"/>
    </row>
    <row r="1545" spans="5:11" x14ac:dyDescent="0.2">
      <c r="E1545" s="1"/>
      <c r="F1545" s="1"/>
      <c r="H1545" s="1"/>
      <c r="I1545" s="1"/>
      <c r="J1545" s="1"/>
      <c r="K1545" s="1"/>
    </row>
    <row r="1546" spans="5:11" x14ac:dyDescent="0.2">
      <c r="E1546" s="1"/>
      <c r="F1546" s="1"/>
      <c r="H1546" s="1"/>
      <c r="I1546" s="1"/>
      <c r="J1546" s="1"/>
      <c r="K1546" s="1"/>
    </row>
    <row r="1547" spans="5:11" x14ac:dyDescent="0.2">
      <c r="E1547" s="1"/>
      <c r="F1547" s="1"/>
      <c r="H1547" s="1"/>
      <c r="I1547" s="1"/>
      <c r="J1547" s="1"/>
      <c r="K1547" s="1"/>
    </row>
    <row r="1548" spans="5:11" x14ac:dyDescent="0.2">
      <c r="E1548" s="1"/>
      <c r="F1548" s="1"/>
      <c r="H1548" s="1"/>
      <c r="I1548" s="1"/>
      <c r="J1548" s="1"/>
      <c r="K1548" s="1"/>
    </row>
    <row r="1549" spans="5:11" x14ac:dyDescent="0.2">
      <c r="E1549" s="1"/>
      <c r="F1549" s="1"/>
      <c r="H1549" s="1"/>
      <c r="I1549" s="1"/>
      <c r="J1549" s="1"/>
      <c r="K1549" s="1"/>
    </row>
    <row r="1550" spans="5:11" x14ac:dyDescent="0.2">
      <c r="E1550" s="1"/>
      <c r="F1550" s="1"/>
      <c r="H1550" s="1"/>
      <c r="I1550" s="1"/>
      <c r="J1550" s="1"/>
      <c r="K1550" s="1"/>
    </row>
    <row r="1551" spans="5:11" x14ac:dyDescent="0.2">
      <c r="E1551" s="1"/>
      <c r="F1551" s="1"/>
      <c r="H1551" s="1"/>
      <c r="I1551" s="1"/>
      <c r="J1551" s="1"/>
      <c r="K1551" s="1"/>
    </row>
    <row r="1552" spans="5:11" x14ac:dyDescent="0.2">
      <c r="E1552" s="1"/>
      <c r="F1552" s="1"/>
      <c r="H1552" s="1"/>
      <c r="I1552" s="1"/>
      <c r="J1552" s="1"/>
      <c r="K1552" s="1"/>
    </row>
    <row r="1553" spans="5:11" x14ac:dyDescent="0.2">
      <c r="E1553" s="1"/>
      <c r="F1553" s="1"/>
      <c r="H1553" s="1"/>
      <c r="I1553" s="1"/>
      <c r="J1553" s="1"/>
      <c r="K1553" s="1"/>
    </row>
    <row r="1554" spans="5:11" x14ac:dyDescent="0.2">
      <c r="E1554" s="1"/>
      <c r="F1554" s="1"/>
      <c r="H1554" s="1"/>
      <c r="I1554" s="1"/>
      <c r="J1554" s="1"/>
      <c r="K1554" s="1"/>
    </row>
    <row r="1555" spans="5:11" x14ac:dyDescent="0.2">
      <c r="E1555" s="1"/>
      <c r="F1555" s="1"/>
      <c r="H1555" s="1"/>
      <c r="I1555" s="1"/>
      <c r="J1555" s="1"/>
      <c r="K1555" s="1"/>
    </row>
    <row r="1556" spans="5:11" x14ac:dyDescent="0.2">
      <c r="E1556" s="1"/>
      <c r="F1556" s="1"/>
      <c r="H1556" s="1"/>
      <c r="I1556" s="1"/>
      <c r="J1556" s="1"/>
      <c r="K1556" s="1"/>
    </row>
    <row r="1557" spans="5:11" x14ac:dyDescent="0.2">
      <c r="E1557" s="1"/>
      <c r="F1557" s="1"/>
      <c r="H1557" s="1"/>
      <c r="I1557" s="1"/>
      <c r="J1557" s="1"/>
      <c r="K1557" s="1"/>
    </row>
    <row r="1558" spans="5:11" x14ac:dyDescent="0.2">
      <c r="E1558" s="1"/>
      <c r="F1558" s="1"/>
      <c r="H1558" s="1"/>
      <c r="I1558" s="1"/>
      <c r="J1558" s="1"/>
      <c r="K1558" s="1"/>
    </row>
    <row r="1559" spans="5:11" x14ac:dyDescent="0.2">
      <c r="E1559" s="1"/>
      <c r="F1559" s="1"/>
      <c r="H1559" s="1"/>
      <c r="I1559" s="1"/>
      <c r="J1559" s="1"/>
      <c r="K1559" s="1"/>
    </row>
  </sheetData>
  <mergeCells count="1087">
    <mergeCell ref="AF560:AH560"/>
    <mergeCell ref="B561:B562"/>
    <mergeCell ref="C561:E562"/>
    <mergeCell ref="F561:F562"/>
    <mergeCell ref="G561:G562"/>
    <mergeCell ref="H561:W561"/>
    <mergeCell ref="X561:AA562"/>
    <mergeCell ref="AB561:AB562"/>
    <mergeCell ref="AF561:AH561"/>
    <mergeCell ref="B640:W640"/>
    <mergeCell ref="B641:B642"/>
    <mergeCell ref="C641:E642"/>
    <mergeCell ref="F641:F642"/>
    <mergeCell ref="G641:G642"/>
    <mergeCell ref="H641:W641"/>
    <mergeCell ref="X641:AA642"/>
    <mergeCell ref="AB641:AB642"/>
    <mergeCell ref="AF641:AH641"/>
    <mergeCell ref="X630:AA630"/>
    <mergeCell ref="B629:E629"/>
    <mergeCell ref="X628:AA628"/>
    <mergeCell ref="X626:AA626"/>
    <mergeCell ref="X629:AA629"/>
    <mergeCell ref="B615:E615"/>
    <mergeCell ref="B613:E613"/>
    <mergeCell ref="B635:E635"/>
    <mergeCell ref="B632:E632"/>
    <mergeCell ref="B631:E631"/>
    <mergeCell ref="X623:AA623"/>
    <mergeCell ref="B621:E621"/>
    <mergeCell ref="X625:AA625"/>
    <mergeCell ref="B624:E624"/>
    <mergeCell ref="AF398:AH398"/>
    <mergeCell ref="AB398:AB399"/>
    <mergeCell ref="AF318:AH318"/>
    <mergeCell ref="AF238:AH238"/>
    <mergeCell ref="AB318:AB319"/>
    <mergeCell ref="X318:AA319"/>
    <mergeCell ref="X291:AA291"/>
    <mergeCell ref="X145:AA145"/>
    <mergeCell ref="AB158:AB159"/>
    <mergeCell ref="B192:E192"/>
    <mergeCell ref="B220:E220"/>
    <mergeCell ref="B204:E204"/>
    <mergeCell ref="B213:E213"/>
    <mergeCell ref="B176:E176"/>
    <mergeCell ref="B182:E182"/>
    <mergeCell ref="B172:E172"/>
    <mergeCell ref="B152:E152"/>
    <mergeCell ref="AF158:AH158"/>
    <mergeCell ref="B190:E190"/>
    <mergeCell ref="AB238:AB239"/>
    <mergeCell ref="B270:E270"/>
    <mergeCell ref="B305:E305"/>
    <mergeCell ref="X331:AA331"/>
    <mergeCell ref="B318:B319"/>
    <mergeCell ref="X330:AA330"/>
    <mergeCell ref="B379:E379"/>
    <mergeCell ref="H318:W318"/>
    <mergeCell ref="B343:E343"/>
    <mergeCell ref="Q215:W215"/>
    <mergeCell ref="B160:E160"/>
    <mergeCell ref="X172:AA172"/>
    <mergeCell ref="B214:E214"/>
    <mergeCell ref="X167:AA167"/>
    <mergeCell ref="B215:E215"/>
    <mergeCell ref="B231:E231"/>
    <mergeCell ref="B189:E189"/>
    <mergeCell ref="B222:E222"/>
    <mergeCell ref="B276:E276"/>
    <mergeCell ref="X230:AA230"/>
    <mergeCell ref="B240:E240"/>
    <mergeCell ref="X240:AA240"/>
    <mergeCell ref="B560:W560"/>
    <mergeCell ref="B226:E226"/>
    <mergeCell ref="B350:E350"/>
    <mergeCell ref="B230:E230"/>
    <mergeCell ref="B538:E538"/>
    <mergeCell ref="B553:E553"/>
    <mergeCell ref="B534:E534"/>
    <mergeCell ref="B531:E531"/>
    <mergeCell ref="B555:E555"/>
    <mergeCell ref="B174:E174"/>
    <mergeCell ref="I174:M177"/>
    <mergeCell ref="B387:E387"/>
    <mergeCell ref="B197:E197"/>
    <mergeCell ref="B209:E209"/>
    <mergeCell ref="X255:AA255"/>
    <mergeCell ref="B194:E194"/>
    <mergeCell ref="B196:E196"/>
    <mergeCell ref="B241:E241"/>
    <mergeCell ref="X241:AA241"/>
    <mergeCell ref="X180:AA180"/>
    <mergeCell ref="X143:AA143"/>
    <mergeCell ref="B130:E130"/>
    <mergeCell ref="B138:E138"/>
    <mergeCell ref="X139:AA139"/>
    <mergeCell ref="B101:E101"/>
    <mergeCell ref="X126:AA126"/>
    <mergeCell ref="B116:E116"/>
    <mergeCell ref="B131:E131"/>
    <mergeCell ref="B121:E121"/>
    <mergeCell ref="B118:E118"/>
    <mergeCell ref="G119:K119"/>
    <mergeCell ref="B94:E94"/>
    <mergeCell ref="X111:AA111"/>
    <mergeCell ref="B128:E128"/>
    <mergeCell ref="X128:AA128"/>
    <mergeCell ref="X118:AA118"/>
    <mergeCell ref="X116:AA116"/>
    <mergeCell ref="B125:E125"/>
    <mergeCell ref="B124:E124"/>
    <mergeCell ref="H109:M110"/>
    <mergeCell ref="X108:AA108"/>
    <mergeCell ref="X119:AA119"/>
    <mergeCell ref="B120:E120"/>
    <mergeCell ref="B106:E106"/>
    <mergeCell ref="G118:K118"/>
    <mergeCell ref="G114:K114"/>
    <mergeCell ref="X117:AA117"/>
    <mergeCell ref="G113:K113"/>
    <mergeCell ref="G115:K115"/>
    <mergeCell ref="X154:AA154"/>
    <mergeCell ref="B154:E154"/>
    <mergeCell ref="B129:E129"/>
    <mergeCell ref="B149:E149"/>
    <mergeCell ref="X122:AA122"/>
    <mergeCell ref="X131:AA131"/>
    <mergeCell ref="B143:E143"/>
    <mergeCell ref="B150:E150"/>
    <mergeCell ref="X144:AA144"/>
    <mergeCell ref="B145:E145"/>
    <mergeCell ref="B161:E161"/>
    <mergeCell ref="AC138:AF138"/>
    <mergeCell ref="X30:AA30"/>
    <mergeCell ref="X44:AA44"/>
    <mergeCell ref="B35:E35"/>
    <mergeCell ref="H37:K37"/>
    <mergeCell ref="H35:K35"/>
    <mergeCell ref="B36:E36"/>
    <mergeCell ref="H32:K32"/>
    <mergeCell ref="H34:K34"/>
    <mergeCell ref="B30:E30"/>
    <mergeCell ref="B46:E46"/>
    <mergeCell ref="H46:K46"/>
    <mergeCell ref="B49:E49"/>
    <mergeCell ref="B50:E50"/>
    <mergeCell ref="B48:E48"/>
    <mergeCell ref="X48:AA48"/>
    <mergeCell ref="B91:E91"/>
    <mergeCell ref="H48:K48"/>
    <mergeCell ref="X47:AA47"/>
    <mergeCell ref="B74:E74"/>
    <mergeCell ref="X71:AA71"/>
    <mergeCell ref="X29:AA29"/>
    <mergeCell ref="B29:E29"/>
    <mergeCell ref="H36:K36"/>
    <mergeCell ref="B10:E10"/>
    <mergeCell ref="B11:E11"/>
    <mergeCell ref="B15:E15"/>
    <mergeCell ref="B16:E16"/>
    <mergeCell ref="X110:AA110"/>
    <mergeCell ref="B87:E87"/>
    <mergeCell ref="B111:E111"/>
    <mergeCell ref="X107:AA107"/>
    <mergeCell ref="B104:E104"/>
    <mergeCell ref="X18:AA18"/>
    <mergeCell ref="X133:AA133"/>
    <mergeCell ref="X135:AA135"/>
    <mergeCell ref="B134:E134"/>
    <mergeCell ref="AF16:AI16"/>
    <mergeCell ref="AB78:AB79"/>
    <mergeCell ref="AF13:AH13"/>
    <mergeCell ref="B54:E54"/>
    <mergeCell ref="AF78:AH78"/>
    <mergeCell ref="I72:K72"/>
    <mergeCell ref="B31:E31"/>
    <mergeCell ref="H30:K30"/>
    <mergeCell ref="B55:E55"/>
    <mergeCell ref="X70:AA70"/>
    <mergeCell ref="B22:E22"/>
    <mergeCell ref="AF28:AJ28"/>
    <mergeCell ref="AF26:AJ26"/>
    <mergeCell ref="AF25:AI25"/>
    <mergeCell ref="AF22:AI22"/>
    <mergeCell ref="B38:E38"/>
    <mergeCell ref="X24:AA24"/>
    <mergeCell ref="B21:E21"/>
    <mergeCell ref="B33:E33"/>
    <mergeCell ref="Q16:W16"/>
    <mergeCell ref="B27:E27"/>
    <mergeCell ref="B37:E37"/>
    <mergeCell ref="B40:E40"/>
    <mergeCell ref="B45:E45"/>
    <mergeCell ref="H29:K29"/>
    <mergeCell ref="B42:E42"/>
    <mergeCell ref="X41:AA41"/>
    <mergeCell ref="H39:K39"/>
    <mergeCell ref="B43:E43"/>
    <mergeCell ref="H43:K43"/>
    <mergeCell ref="X39:AA39"/>
    <mergeCell ref="H31:K31"/>
    <mergeCell ref="AF23:AI23"/>
    <mergeCell ref="X35:AA35"/>
    <mergeCell ref="X31:AA31"/>
    <mergeCell ref="B28:E28"/>
    <mergeCell ref="X40:AA40"/>
    <mergeCell ref="H45:K45"/>
    <mergeCell ref="B32:E32"/>
    <mergeCell ref="B39:E39"/>
    <mergeCell ref="X43:AA43"/>
    <mergeCell ref="H33:K33"/>
    <mergeCell ref="X36:AA36"/>
    <mergeCell ref="X38:AA38"/>
    <mergeCell ref="B41:E41"/>
    <mergeCell ref="H38:K38"/>
    <mergeCell ref="X32:AA32"/>
    <mergeCell ref="B23:E23"/>
    <mergeCell ref="X14:AA14"/>
    <mergeCell ref="B7:W7"/>
    <mergeCell ref="AE5:AI7"/>
    <mergeCell ref="AF10:AH10"/>
    <mergeCell ref="AF17:AJ17"/>
    <mergeCell ref="B18:E18"/>
    <mergeCell ref="X19:AA19"/>
    <mergeCell ref="X26:AA26"/>
    <mergeCell ref="AB8:AB9"/>
    <mergeCell ref="AF27:AJ27"/>
    <mergeCell ref="B34:E34"/>
    <mergeCell ref="C8:E9"/>
    <mergeCell ref="B12:E12"/>
    <mergeCell ref="B19:E19"/>
    <mergeCell ref="AF15:AI15"/>
    <mergeCell ref="AF18:AI18"/>
    <mergeCell ref="AF19:AJ19"/>
    <mergeCell ref="B14:E14"/>
    <mergeCell ref="B24:E24"/>
    <mergeCell ref="G8:G9"/>
    <mergeCell ref="X34:AA34"/>
    <mergeCell ref="X17:AA17"/>
    <mergeCell ref="B20:E20"/>
    <mergeCell ref="AF21:AI21"/>
    <mergeCell ref="AF20:AI20"/>
    <mergeCell ref="AF24:AJ24"/>
    <mergeCell ref="B26:E26"/>
    <mergeCell ref="B25:E25"/>
    <mergeCell ref="AF29:AJ29"/>
    <mergeCell ref="B17:E17"/>
    <mergeCell ref="X15:AA15"/>
    <mergeCell ref="Q15:W15"/>
    <mergeCell ref="B53:E53"/>
    <mergeCell ref="B71:E71"/>
    <mergeCell ref="H78:W78"/>
    <mergeCell ref="H41:K41"/>
    <mergeCell ref="F78:F79"/>
    <mergeCell ref="X45:AA45"/>
    <mergeCell ref="H44:K44"/>
    <mergeCell ref="H40:K40"/>
    <mergeCell ref="AJ1:AJ2"/>
    <mergeCell ref="AE1:AI1"/>
    <mergeCell ref="Y1:AD1"/>
    <mergeCell ref="AF11:AH11"/>
    <mergeCell ref="AE3:AI4"/>
    <mergeCell ref="F8:F9"/>
    <mergeCell ref="X8:AA9"/>
    <mergeCell ref="B13:E13"/>
    <mergeCell ref="AE2:AG2"/>
    <mergeCell ref="AF14:AH14"/>
    <mergeCell ref="AF12:AH12"/>
    <mergeCell ref="B1:W1"/>
    <mergeCell ref="X3:AD4"/>
    <mergeCell ref="Y2:AD2"/>
    <mergeCell ref="H8:W8"/>
    <mergeCell ref="B8:B9"/>
    <mergeCell ref="AC8:AI9"/>
    <mergeCell ref="B3:D5"/>
    <mergeCell ref="E5:W5"/>
    <mergeCell ref="B6:W6"/>
    <mergeCell ref="X5:AD7"/>
    <mergeCell ref="E3:W3"/>
    <mergeCell ref="E4:W4"/>
    <mergeCell ref="B2:W2"/>
    <mergeCell ref="B59:E59"/>
    <mergeCell ref="H47:K47"/>
    <mergeCell ref="B60:E60"/>
    <mergeCell ref="B64:E64"/>
    <mergeCell ref="B67:E67"/>
    <mergeCell ref="B100:E100"/>
    <mergeCell ref="X112:AA112"/>
    <mergeCell ref="B89:E89"/>
    <mergeCell ref="X114:AA114"/>
    <mergeCell ref="B113:E113"/>
    <mergeCell ref="B62:E62"/>
    <mergeCell ref="B56:E56"/>
    <mergeCell ref="I71:M71"/>
    <mergeCell ref="B117:E117"/>
    <mergeCell ref="B88:E88"/>
    <mergeCell ref="X33:AA33"/>
    <mergeCell ref="X74:AA74"/>
    <mergeCell ref="X46:AA46"/>
    <mergeCell ref="B65:E65"/>
    <mergeCell ref="B57:E57"/>
    <mergeCell ref="B86:E86"/>
    <mergeCell ref="X83:Z83"/>
    <mergeCell ref="B51:E51"/>
    <mergeCell ref="H42:K42"/>
    <mergeCell ref="F49:I52"/>
    <mergeCell ref="X42:AA42"/>
    <mergeCell ref="X37:AA37"/>
    <mergeCell ref="B44:E44"/>
    <mergeCell ref="B47:E47"/>
    <mergeCell ref="B61:E61"/>
    <mergeCell ref="B52:E52"/>
    <mergeCell ref="B58:E58"/>
    <mergeCell ref="I69:M69"/>
    <mergeCell ref="I70:M70"/>
    <mergeCell ref="B69:E69"/>
    <mergeCell ref="B70:E70"/>
    <mergeCell ref="B109:E109"/>
    <mergeCell ref="X86:Z86"/>
    <mergeCell ref="B102:E102"/>
    <mergeCell ref="G123:K123"/>
    <mergeCell ref="B63:E63"/>
    <mergeCell ref="B68:E68"/>
    <mergeCell ref="B78:B79"/>
    <mergeCell ref="X69:AA69"/>
    <mergeCell ref="X82:Z82"/>
    <mergeCell ref="B107:E107"/>
    <mergeCell ref="B93:E93"/>
    <mergeCell ref="G121:K121"/>
    <mergeCell ref="G116:K116"/>
    <mergeCell ref="B66:E66"/>
    <mergeCell ref="G108:M108"/>
    <mergeCell ref="B119:E119"/>
    <mergeCell ref="I111:W112"/>
    <mergeCell ref="B122:E122"/>
    <mergeCell ref="G122:K122"/>
    <mergeCell ref="G117:K117"/>
    <mergeCell ref="G120:K120"/>
    <mergeCell ref="X87:Z87"/>
    <mergeCell ref="X106:AA106"/>
    <mergeCell ref="G107:M107"/>
    <mergeCell ref="G78:G79"/>
    <mergeCell ref="F80:I90"/>
    <mergeCell ref="C78:E79"/>
    <mergeCell ref="B73:E73"/>
    <mergeCell ref="B81:E81"/>
    <mergeCell ref="B72:E72"/>
    <mergeCell ref="X78:AA79"/>
    <mergeCell ref="X125:AA125"/>
    <mergeCell ref="B92:E92"/>
    <mergeCell ref="B105:E105"/>
    <mergeCell ref="G105:O105"/>
    <mergeCell ref="B95:E95"/>
    <mergeCell ref="B146:E146"/>
    <mergeCell ref="X105:AA105"/>
    <mergeCell ref="B97:E97"/>
    <mergeCell ref="B127:E127"/>
    <mergeCell ref="O94:W94"/>
    <mergeCell ref="B137:E137"/>
    <mergeCell ref="B99:E99"/>
    <mergeCell ref="X115:AA115"/>
    <mergeCell ref="B103:E103"/>
    <mergeCell ref="X124:AA124"/>
    <mergeCell ref="X146:AA146"/>
    <mergeCell ref="X136:AA136"/>
    <mergeCell ref="B133:E133"/>
    <mergeCell ref="B136:E136"/>
    <mergeCell ref="X137:AA137"/>
    <mergeCell ref="X72:AA72"/>
    <mergeCell ref="X127:AA127"/>
    <mergeCell ref="X123:AA123"/>
    <mergeCell ref="G106:O106"/>
    <mergeCell ref="X138:AA138"/>
    <mergeCell ref="X134:AA134"/>
    <mergeCell ref="X140:AA140"/>
    <mergeCell ref="X129:AA129"/>
    <mergeCell ref="X121:AA121"/>
    <mergeCell ref="B115:E115"/>
    <mergeCell ref="B114:E114"/>
    <mergeCell ref="X109:AA109"/>
    <mergeCell ref="B140:E140"/>
    <mergeCell ref="B135:E135"/>
    <mergeCell ref="B83:E83"/>
    <mergeCell ref="B80:E80"/>
    <mergeCell ref="B85:E85"/>
    <mergeCell ref="X113:AA113"/>
    <mergeCell ref="B98:E98"/>
    <mergeCell ref="B110:E110"/>
    <mergeCell ref="B108:E108"/>
    <mergeCell ref="B142:E142"/>
    <mergeCell ref="X120:AA120"/>
    <mergeCell ref="B132:E132"/>
    <mergeCell ref="X132:AA132"/>
    <mergeCell ref="X130:AA130"/>
    <mergeCell ref="B90:E90"/>
    <mergeCell ref="B96:E96"/>
    <mergeCell ref="B84:E84"/>
    <mergeCell ref="B112:E112"/>
    <mergeCell ref="B139:E139"/>
    <mergeCell ref="B82:E82"/>
    <mergeCell ref="B123:E123"/>
    <mergeCell ref="B126:E126"/>
    <mergeCell ref="B535:E535"/>
    <mergeCell ref="B518:E518"/>
    <mergeCell ref="B252:E252"/>
    <mergeCell ref="X252:AA252"/>
    <mergeCell ref="X260:AA260"/>
    <mergeCell ref="B329:E329"/>
    <mergeCell ref="B198:E198"/>
    <mergeCell ref="H179:K184"/>
    <mergeCell ref="B184:E184"/>
    <mergeCell ref="B202:E202"/>
    <mergeCell ref="B216:E216"/>
    <mergeCell ref="B364:E364"/>
    <mergeCell ref="B413:E413"/>
    <mergeCell ref="X223:AA223"/>
    <mergeCell ref="B212:E212"/>
    <mergeCell ref="B188:E188"/>
    <mergeCell ref="B193:E193"/>
    <mergeCell ref="B201:E201"/>
    <mergeCell ref="B191:E191"/>
    <mergeCell ref="B254:E254"/>
    <mergeCell ref="B233:E233"/>
    <mergeCell ref="B251:E251"/>
    <mergeCell ref="B246:E246"/>
    <mergeCell ref="Q207:W207"/>
    <mergeCell ref="X242:AA242"/>
    <mergeCell ref="B232:E232"/>
    <mergeCell ref="X232:AA232"/>
    <mergeCell ref="B430:E430"/>
    <mergeCell ref="B200:E200"/>
    <mergeCell ref="B229:E229"/>
    <mergeCell ref="X229:AA229"/>
    <mergeCell ref="B524:E524"/>
    <mergeCell ref="F398:F399"/>
    <mergeCell ref="B292:E292"/>
    <mergeCell ref="X292:AA292"/>
    <mergeCell ref="B245:E245"/>
    <mergeCell ref="X245:AA245"/>
    <mergeCell ref="B227:E227"/>
    <mergeCell ref="X227:AA227"/>
    <mergeCell ref="B266:E266"/>
    <mergeCell ref="B248:E248"/>
    <mergeCell ref="B203:E203"/>
    <mergeCell ref="B180:E180"/>
    <mergeCell ref="X224:AA224"/>
    <mergeCell ref="G190:S195"/>
    <mergeCell ref="X231:AA231"/>
    <mergeCell ref="X228:AA228"/>
    <mergeCell ref="B206:E206"/>
    <mergeCell ref="B242:E242"/>
    <mergeCell ref="X225:AA225"/>
    <mergeCell ref="H202:M202"/>
    <mergeCell ref="X233:AA233"/>
    <mergeCell ref="B238:B239"/>
    <mergeCell ref="H238:W238"/>
    <mergeCell ref="B301:E301"/>
    <mergeCell ref="X181:AA181"/>
    <mergeCell ref="B243:E243"/>
    <mergeCell ref="B219:E219"/>
    <mergeCell ref="B253:E253"/>
    <mergeCell ref="X253:AA253"/>
    <mergeCell ref="X401:AA401"/>
    <mergeCell ref="X413:AA413"/>
    <mergeCell ref="X394:AA394"/>
    <mergeCell ref="B414:E414"/>
    <mergeCell ref="B344:E344"/>
    <mergeCell ref="B361:E361"/>
    <mergeCell ref="B263:E263"/>
    <mergeCell ref="X243:AA243"/>
    <mergeCell ref="X244:AA244"/>
    <mergeCell ref="B296:E296"/>
    <mergeCell ref="X254:AA254"/>
    <mergeCell ref="X301:AA301"/>
    <mergeCell ref="H268:M273"/>
    <mergeCell ref="X387:AA387"/>
    <mergeCell ref="B290:E290"/>
    <mergeCell ref="B267:E267"/>
    <mergeCell ref="B389:E389"/>
    <mergeCell ref="B353:E353"/>
    <mergeCell ref="B347:E347"/>
    <mergeCell ref="B351:E351"/>
    <mergeCell ref="B375:E375"/>
    <mergeCell ref="B320:E320"/>
    <mergeCell ref="B369:E369"/>
    <mergeCell ref="B356:E356"/>
    <mergeCell ref="B338:E338"/>
    <mergeCell ref="B341:E341"/>
    <mergeCell ref="X259:AA259"/>
    <mergeCell ref="B291:E291"/>
    <mergeCell ref="B307:E307"/>
    <mergeCell ref="B271:E271"/>
    <mergeCell ref="B260:E260"/>
    <mergeCell ref="B388:E388"/>
    <mergeCell ref="B623:E623"/>
    <mergeCell ref="B256:E256"/>
    <mergeCell ref="B259:E259"/>
    <mergeCell ref="B507:E507"/>
    <mergeCell ref="B505:E505"/>
    <mergeCell ref="B508:E508"/>
    <mergeCell ref="B496:E496"/>
    <mergeCell ref="B494:E494"/>
    <mergeCell ref="B223:E223"/>
    <mergeCell ref="B312:E312"/>
    <mergeCell ref="B261:E261"/>
    <mergeCell ref="G607:G608"/>
    <mergeCell ref="B582:E582"/>
    <mergeCell ref="B584:E584"/>
    <mergeCell ref="B571:E571"/>
    <mergeCell ref="B258:E258"/>
    <mergeCell ref="B373:E373"/>
    <mergeCell ref="B469:E469"/>
    <mergeCell ref="C479:E480"/>
    <mergeCell ref="B490:E490"/>
    <mergeCell ref="B495:E495"/>
    <mergeCell ref="B519:E519"/>
    <mergeCell ref="B520:E520"/>
    <mergeCell ref="B471:E471"/>
    <mergeCell ref="B470:E470"/>
    <mergeCell ref="B526:E526"/>
    <mergeCell ref="B511:E511"/>
    <mergeCell ref="B448:E448"/>
    <mergeCell ref="B225:E225"/>
    <mergeCell ref="B310:E310"/>
    <mergeCell ref="B359:E359"/>
    <mergeCell ref="B410:E410"/>
    <mergeCell ref="A664:A674"/>
    <mergeCell ref="B672:G672"/>
    <mergeCell ref="B653:E653"/>
    <mergeCell ref="B673:G673"/>
    <mergeCell ref="B654:E654"/>
    <mergeCell ref="B657:E657"/>
    <mergeCell ref="B674:G674"/>
    <mergeCell ref="B663:G663"/>
    <mergeCell ref="B141:E141"/>
    <mergeCell ref="B144:E144"/>
    <mergeCell ref="B199:E199"/>
    <mergeCell ref="B183:E183"/>
    <mergeCell ref="F479:F480"/>
    <mergeCell ref="B467:E467"/>
    <mergeCell ref="B454:E454"/>
    <mergeCell ref="B449:E449"/>
    <mergeCell ref="B493:E493"/>
    <mergeCell ref="B462:E462"/>
    <mergeCell ref="B625:E625"/>
    <mergeCell ref="B633:E633"/>
    <mergeCell ref="B627:E627"/>
    <mergeCell ref="B628:E628"/>
    <mergeCell ref="B649:E649"/>
    <mergeCell ref="B664:G664"/>
    <mergeCell ref="B656:E656"/>
    <mergeCell ref="B666:G666"/>
    <mergeCell ref="C607:E608"/>
    <mergeCell ref="B536:E536"/>
    <mergeCell ref="B645:E645"/>
    <mergeCell ref="B667:G667"/>
    <mergeCell ref="B585:E585"/>
    <mergeCell ref="B218:E218"/>
    <mergeCell ref="X246:AA246"/>
    <mergeCell ref="B210:E210"/>
    <mergeCell ref="B207:E207"/>
    <mergeCell ref="B181:E181"/>
    <mergeCell ref="X247:AA247"/>
    <mergeCell ref="X183:AA183"/>
    <mergeCell ref="B185:E185"/>
    <mergeCell ref="B175:E175"/>
    <mergeCell ref="B217:E217"/>
    <mergeCell ref="B170:E170"/>
    <mergeCell ref="X234:AA234"/>
    <mergeCell ref="B173:E173"/>
    <mergeCell ref="X179:AA179"/>
    <mergeCell ref="X171:AA171"/>
    <mergeCell ref="B162:E162"/>
    <mergeCell ref="G238:G239"/>
    <mergeCell ref="B234:E234"/>
    <mergeCell ref="F237:J237"/>
    <mergeCell ref="B208:E208"/>
    <mergeCell ref="Q216:W216"/>
    <mergeCell ref="B224:E224"/>
    <mergeCell ref="X166:AA166"/>
    <mergeCell ref="B178:E178"/>
    <mergeCell ref="X168:AA168"/>
    <mergeCell ref="B168:E168"/>
    <mergeCell ref="X164:AA164"/>
    <mergeCell ref="X182:AA182"/>
    <mergeCell ref="B244:E244"/>
    <mergeCell ref="B177:E177"/>
    <mergeCell ref="B221:E221"/>
    <mergeCell ref="X226:AA226"/>
    <mergeCell ref="X178:AA178"/>
    <mergeCell ref="B734:W734"/>
    <mergeCell ref="B721:W721"/>
    <mergeCell ref="B702:W702"/>
    <mergeCell ref="B700:W700"/>
    <mergeCell ref="B725:W732"/>
    <mergeCell ref="B703:W703"/>
    <mergeCell ref="B720:W720"/>
    <mergeCell ref="B718:W718"/>
    <mergeCell ref="B723:W723"/>
    <mergeCell ref="B707:W710"/>
    <mergeCell ref="B716:W717"/>
    <mergeCell ref="B706:W706"/>
    <mergeCell ref="B704:W704"/>
    <mergeCell ref="S669:S670"/>
    <mergeCell ref="C679:G679"/>
    <mergeCell ref="B652:E652"/>
    <mergeCell ref="N669:N670"/>
    <mergeCell ref="H669:H670"/>
    <mergeCell ref="B659:E659"/>
    <mergeCell ref="B662:W662"/>
    <mergeCell ref="R669:R670"/>
    <mergeCell ref="J669:J670"/>
    <mergeCell ref="B655:E655"/>
    <mergeCell ref="W669:W670"/>
    <mergeCell ref="B665:G665"/>
    <mergeCell ref="U669:U670"/>
    <mergeCell ref="I669:I670"/>
    <mergeCell ref="K669:K670"/>
    <mergeCell ref="B166:E166"/>
    <mergeCell ref="B164:E164"/>
    <mergeCell ref="B205:E205"/>
    <mergeCell ref="C158:E159"/>
    <mergeCell ref="H158:W158"/>
    <mergeCell ref="B169:E169"/>
    <mergeCell ref="B187:E187"/>
    <mergeCell ref="B151:E151"/>
    <mergeCell ref="G158:G159"/>
    <mergeCell ref="X162:AA162"/>
    <mergeCell ref="X147:AA147"/>
    <mergeCell ref="X163:AA163"/>
    <mergeCell ref="X141:AA141"/>
    <mergeCell ref="X142:AA142"/>
    <mergeCell ref="B171:E171"/>
    <mergeCell ref="X184:AA184"/>
    <mergeCell ref="B195:E195"/>
    <mergeCell ref="B179:E179"/>
    <mergeCell ref="X173:AA173"/>
    <mergeCell ref="X170:AA170"/>
    <mergeCell ref="B186:E186"/>
    <mergeCell ref="F158:F159"/>
    <mergeCell ref="B158:B159"/>
    <mergeCell ref="B163:E163"/>
    <mergeCell ref="B165:E165"/>
    <mergeCell ref="X165:AA165"/>
    <mergeCell ref="B148:E148"/>
    <mergeCell ref="X161:AA161"/>
    <mergeCell ref="X160:AA160"/>
    <mergeCell ref="X158:AA159"/>
    <mergeCell ref="B153:E153"/>
    <mergeCell ref="B147:E147"/>
    <mergeCell ref="B432:E432"/>
    <mergeCell ref="X432:AA432"/>
    <mergeCell ref="B422:E422"/>
    <mergeCell ref="X462:AA462"/>
    <mergeCell ref="X251:AA251"/>
    <mergeCell ref="B255:E255"/>
    <mergeCell ref="B452:E452"/>
    <mergeCell ref="B424:E424"/>
    <mergeCell ref="B447:E447"/>
    <mergeCell ref="X419:AA419"/>
    <mergeCell ref="C398:E399"/>
    <mergeCell ref="X421:AA421"/>
    <mergeCell ref="H398:W398"/>
    <mergeCell ref="X268:AA268"/>
    <mergeCell ref="B374:E374"/>
    <mergeCell ref="X430:AA430"/>
    <mergeCell ref="B429:E429"/>
    <mergeCell ref="X429:AA429"/>
    <mergeCell ref="B392:E392"/>
    <mergeCell ref="X392:AA392"/>
    <mergeCell ref="B450:E450"/>
    <mergeCell ref="B458:E458"/>
    <mergeCell ref="X281:AA281"/>
    <mergeCell ref="X271:AA271"/>
    <mergeCell ref="X270:AA270"/>
    <mergeCell ref="B289:E289"/>
    <mergeCell ref="B283:E283"/>
    <mergeCell ref="X448:AA448"/>
    <mergeCell ref="B288:E288"/>
    <mergeCell ref="B264:E264"/>
    <mergeCell ref="X289:AA289"/>
    <mergeCell ref="X398:AA399"/>
    <mergeCell ref="B622:E622"/>
    <mergeCell ref="B277:E277"/>
    <mergeCell ref="B272:E272"/>
    <mergeCell ref="B268:E268"/>
    <mergeCell ref="C238:E239"/>
    <mergeCell ref="X248:AA248"/>
    <mergeCell ref="X250:AA250"/>
    <mergeCell ref="X264:AA264"/>
    <mergeCell ref="X256:AA256"/>
    <mergeCell ref="B247:E247"/>
    <mergeCell ref="B543:E543"/>
    <mergeCell ref="B417:E417"/>
    <mergeCell ref="B420:E420"/>
    <mergeCell ref="B349:E349"/>
    <mergeCell ref="B459:E459"/>
    <mergeCell ref="B482:E482"/>
    <mergeCell ref="X269:AA269"/>
    <mergeCell ref="B619:E619"/>
    <mergeCell ref="B614:E614"/>
    <mergeCell ref="B616:E616"/>
    <mergeCell ref="B600:E600"/>
    <mergeCell ref="B580:E580"/>
    <mergeCell ref="F607:F608"/>
    <mergeCell ref="B591:E591"/>
    <mergeCell ref="X473:AA473"/>
    <mergeCell ref="H578:W578"/>
    <mergeCell ref="B465:E465"/>
    <mergeCell ref="B489:E489"/>
    <mergeCell ref="B453:E453"/>
    <mergeCell ref="B491:E491"/>
    <mergeCell ref="X452:AA452"/>
    <mergeCell ref="B468:E468"/>
    <mergeCell ref="X632:AA632"/>
    <mergeCell ref="X631:AA631"/>
    <mergeCell ref="B280:E280"/>
    <mergeCell ref="X263:AA263"/>
    <mergeCell ref="X273:AA273"/>
    <mergeCell ref="B284:E284"/>
    <mergeCell ref="B285:E285"/>
    <mergeCell ref="B279:E279"/>
    <mergeCell ref="B287:E287"/>
    <mergeCell ref="X288:AA288"/>
    <mergeCell ref="B503:E503"/>
    <mergeCell ref="F516:F517"/>
    <mergeCell ref="B545:E545"/>
    <mergeCell ref="X622:AA622"/>
    <mergeCell ref="G516:G517"/>
    <mergeCell ref="B527:E527"/>
    <mergeCell ref="B521:E521"/>
    <mergeCell ref="X516:AA517"/>
    <mergeCell ref="H516:W516"/>
    <mergeCell ref="B528:E528"/>
    <mergeCell ref="B539:E539"/>
    <mergeCell ref="B540:E540"/>
    <mergeCell ref="B542:E542"/>
    <mergeCell ref="B500:E500"/>
    <mergeCell ref="B501:E501"/>
    <mergeCell ref="B502:E502"/>
    <mergeCell ref="B567:E567"/>
    <mergeCell ref="B523:E523"/>
    <mergeCell ref="B533:E533"/>
    <mergeCell ref="B485:E485"/>
    <mergeCell ref="B483:E483"/>
    <mergeCell ref="X620:AA620"/>
    <mergeCell ref="X644:AA644"/>
    <mergeCell ref="B302:E302"/>
    <mergeCell ref="X238:AA239"/>
    <mergeCell ref="B308:E308"/>
    <mergeCell ref="X285:AA285"/>
    <mergeCell ref="F238:F239"/>
    <mergeCell ref="X287:AA287"/>
    <mergeCell ref="X302:AA302"/>
    <mergeCell ref="X633:AA633"/>
    <mergeCell ref="X300:AA300"/>
    <mergeCell ref="B298:E298"/>
    <mergeCell ref="X272:AA272"/>
    <mergeCell ref="B278:E278"/>
    <mergeCell ref="B326:E326"/>
    <mergeCell ref="B409:E409"/>
    <mergeCell ref="B439:E439"/>
    <mergeCell ref="B404:E404"/>
    <mergeCell ref="B403:E403"/>
    <mergeCell ref="B426:E426"/>
    <mergeCell ref="B434:E434"/>
    <mergeCell ref="B382:E382"/>
    <mergeCell ref="X290:AA290"/>
    <mergeCell ref="X286:AA286"/>
    <mergeCell ref="B281:E281"/>
    <mergeCell ref="B273:E273"/>
    <mergeCell ref="B257:E257"/>
    <mergeCell ref="X257:AA257"/>
    <mergeCell ref="B581:E581"/>
    <mergeCell ref="B479:B480"/>
    <mergeCell ref="B604:E604"/>
    <mergeCell ref="B532:E532"/>
    <mergeCell ref="B498:E498"/>
    <mergeCell ref="B644:E644"/>
    <mergeCell ref="B569:E569"/>
    <mergeCell ref="C578:E579"/>
    <mergeCell ref="B529:E529"/>
    <mergeCell ref="B565:E565"/>
    <mergeCell ref="B587:E587"/>
    <mergeCell ref="B598:E598"/>
    <mergeCell ref="B626:E626"/>
    <mergeCell ref="B586:E586"/>
    <mergeCell ref="B650:E650"/>
    <mergeCell ref="B530:E530"/>
    <mergeCell ref="B651:E651"/>
    <mergeCell ref="B602:E602"/>
    <mergeCell ref="B599:E599"/>
    <mergeCell ref="B610:E610"/>
    <mergeCell ref="B612:E612"/>
    <mergeCell ref="B643:E643"/>
    <mergeCell ref="B572:E572"/>
    <mergeCell ref="B544:E544"/>
    <mergeCell ref="B537:E537"/>
    <mergeCell ref="B541:E541"/>
    <mergeCell ref="B574:E574"/>
    <mergeCell ref="B551:E551"/>
    <mergeCell ref="B556:E556"/>
    <mergeCell ref="B570:E570"/>
    <mergeCell ref="B648:E648"/>
    <mergeCell ref="B630:E630"/>
    <mergeCell ref="B552:E552"/>
    <mergeCell ref="B549:E549"/>
    <mergeCell ref="B547:E547"/>
    <mergeCell ref="B620:E620"/>
    <mergeCell ref="B548:E548"/>
    <mergeCell ref="AF703:AH703"/>
    <mergeCell ref="O669:O670"/>
    <mergeCell ref="L669:L670"/>
    <mergeCell ref="P669:P670"/>
    <mergeCell ref="C689:I689"/>
    <mergeCell ref="C697:G697"/>
    <mergeCell ref="C698:G698"/>
    <mergeCell ref="M669:M670"/>
    <mergeCell ref="B660:E660"/>
    <mergeCell ref="B658:E658"/>
    <mergeCell ref="B668:W668"/>
    <mergeCell ref="B590:E590"/>
    <mergeCell ref="B647:E647"/>
    <mergeCell ref="B596:E596"/>
    <mergeCell ref="B601:E601"/>
    <mergeCell ref="B609:E609"/>
    <mergeCell ref="B606:W606"/>
    <mergeCell ref="B607:B608"/>
    <mergeCell ref="B617:E617"/>
    <mergeCell ref="B611:E611"/>
    <mergeCell ref="B593:E593"/>
    <mergeCell ref="B595:E595"/>
    <mergeCell ref="B603:E603"/>
    <mergeCell ref="B646:E646"/>
    <mergeCell ref="B671:G671"/>
    <mergeCell ref="C682:I683"/>
    <mergeCell ref="C690:I696"/>
    <mergeCell ref="C681:G681"/>
    <mergeCell ref="C680:G680"/>
    <mergeCell ref="C678:I678"/>
    <mergeCell ref="B676:J676"/>
    <mergeCell ref="AF662:AH662"/>
    <mergeCell ref="X643:AA643"/>
    <mergeCell ref="B573:E573"/>
    <mergeCell ref="AF577:AH577"/>
    <mergeCell ref="B546:E546"/>
    <mergeCell ref="B594:E594"/>
    <mergeCell ref="AF689:AH689"/>
    <mergeCell ref="AF515:AH515"/>
    <mergeCell ref="B516:B517"/>
    <mergeCell ref="B669:G670"/>
    <mergeCell ref="B685:W687"/>
    <mergeCell ref="T669:T670"/>
    <mergeCell ref="B589:E589"/>
    <mergeCell ref="AB516:AB517"/>
    <mergeCell ref="AF516:AH516"/>
    <mergeCell ref="B550:E550"/>
    <mergeCell ref="B522:E522"/>
    <mergeCell ref="B563:E563"/>
    <mergeCell ref="B554:E554"/>
    <mergeCell ref="B564:E564"/>
    <mergeCell ref="B575:E575"/>
    <mergeCell ref="AB607:AB608"/>
    <mergeCell ref="B634:E634"/>
    <mergeCell ref="B636:E636"/>
    <mergeCell ref="H607:W607"/>
    <mergeCell ref="B618:E618"/>
    <mergeCell ref="B592:E592"/>
    <mergeCell ref="Q669:Q670"/>
    <mergeCell ref="AB578:AB579"/>
    <mergeCell ref="X650:AA650"/>
    <mergeCell ref="V669:V670"/>
    <mergeCell ref="B588:E588"/>
    <mergeCell ref="X651:AA651"/>
    <mergeCell ref="AF478:AH478"/>
    <mergeCell ref="AB479:AB480"/>
    <mergeCell ref="AF479:AH479"/>
    <mergeCell ref="H479:W479"/>
    <mergeCell ref="AF607:AH607"/>
    <mergeCell ref="X607:AA608"/>
    <mergeCell ref="B486:E486"/>
    <mergeCell ref="B488:E488"/>
    <mergeCell ref="G479:G480"/>
    <mergeCell ref="B513:E513"/>
    <mergeCell ref="B512:E512"/>
    <mergeCell ref="B525:E525"/>
    <mergeCell ref="C516:E517"/>
    <mergeCell ref="B509:E509"/>
    <mergeCell ref="B510:E510"/>
    <mergeCell ref="B504:E504"/>
    <mergeCell ref="B487:E487"/>
    <mergeCell ref="X578:AA579"/>
    <mergeCell ref="B578:B579"/>
    <mergeCell ref="F578:F579"/>
    <mergeCell ref="G578:G579"/>
    <mergeCell ref="B583:E583"/>
    <mergeCell ref="B597:E597"/>
    <mergeCell ref="B568:E568"/>
    <mergeCell ref="AF578:AH578"/>
    <mergeCell ref="B577:W577"/>
    <mergeCell ref="B566:E566"/>
    <mergeCell ref="B515:W515"/>
    <mergeCell ref="B497:E497"/>
    <mergeCell ref="B478:W478"/>
    <mergeCell ref="B506:E506"/>
    <mergeCell ref="B499:E499"/>
    <mergeCell ref="B457:E457"/>
    <mergeCell ref="B472:E472"/>
    <mergeCell ref="B460:E460"/>
    <mergeCell ref="B492:E492"/>
    <mergeCell ref="B481:E481"/>
    <mergeCell ref="X472:AA472"/>
    <mergeCell ref="X453:AA453"/>
    <mergeCell ref="X451:AA451"/>
    <mergeCell ref="B451:E451"/>
    <mergeCell ref="X466:AA466"/>
    <mergeCell ref="X479:AA480"/>
    <mergeCell ref="X461:AA461"/>
    <mergeCell ref="X450:AA450"/>
    <mergeCell ref="X463:AA463"/>
    <mergeCell ref="X471:AA471"/>
    <mergeCell ref="X474:AA474"/>
    <mergeCell ref="B455:E455"/>
    <mergeCell ref="B461:E461"/>
    <mergeCell ref="B463:E463"/>
    <mergeCell ref="B484:E484"/>
    <mergeCell ref="X449:AA449"/>
    <mergeCell ref="B474:E474"/>
    <mergeCell ref="B464:E464"/>
    <mergeCell ref="B456:E456"/>
    <mergeCell ref="B473:E473"/>
    <mergeCell ref="X465:AA465"/>
    <mergeCell ref="X464:AA464"/>
    <mergeCell ref="B466:E466"/>
    <mergeCell ref="I442:M447"/>
    <mergeCell ref="B383:E383"/>
    <mergeCell ref="X390:AA390"/>
    <mergeCell ref="X388:AA388"/>
    <mergeCell ref="B433:E433"/>
    <mergeCell ref="X441:AA441"/>
    <mergeCell ref="B441:E441"/>
    <mergeCell ref="B431:E431"/>
    <mergeCell ref="B443:E443"/>
    <mergeCell ref="B445:E445"/>
    <mergeCell ref="X428:AA428"/>
    <mergeCell ref="B446:E446"/>
    <mergeCell ref="B440:E440"/>
    <mergeCell ref="B428:E428"/>
    <mergeCell ref="B425:E425"/>
    <mergeCell ref="B444:E444"/>
    <mergeCell ref="B405:E405"/>
    <mergeCell ref="B384:E384"/>
    <mergeCell ref="X389:AA389"/>
    <mergeCell ref="B436:E436"/>
    <mergeCell ref="X436:AA436"/>
    <mergeCell ref="X434:AA434"/>
    <mergeCell ref="B435:E435"/>
    <mergeCell ref="X435:AA435"/>
    <mergeCell ref="I437:M439"/>
    <mergeCell ref="B442:E442"/>
    <mergeCell ref="B423:E423"/>
    <mergeCell ref="B427:E427"/>
    <mergeCell ref="X427:AA427"/>
    <mergeCell ref="B438:E438"/>
    <mergeCell ref="B366:E366"/>
    <mergeCell ref="B385:E385"/>
    <mergeCell ref="B354:E354"/>
    <mergeCell ref="B393:E393"/>
    <mergeCell ref="X440:AA440"/>
    <mergeCell ref="B402:E402"/>
    <mergeCell ref="B394:E394"/>
    <mergeCell ref="B415:E415"/>
    <mergeCell ref="X423:AA423"/>
    <mergeCell ref="G398:G399"/>
    <mergeCell ref="B398:B399"/>
    <mergeCell ref="B411:E411"/>
    <mergeCell ref="B401:E401"/>
    <mergeCell ref="B419:E419"/>
    <mergeCell ref="B400:E400"/>
    <mergeCell ref="X431:AA431"/>
    <mergeCell ref="X400:AA400"/>
    <mergeCell ref="B406:E406"/>
    <mergeCell ref="B437:E437"/>
    <mergeCell ref="X420:AA420"/>
    <mergeCell ref="X418:AA418"/>
    <mergeCell ref="B418:E418"/>
    <mergeCell ref="X433:AA433"/>
    <mergeCell ref="X424:AA424"/>
    <mergeCell ref="X422:AA422"/>
    <mergeCell ref="B407:E407"/>
    <mergeCell ref="B408:E408"/>
    <mergeCell ref="B376:E376"/>
    <mergeCell ref="B421:E421"/>
    <mergeCell ref="X298:AA298"/>
    <mergeCell ref="B416:E416"/>
    <mergeCell ref="B337:E337"/>
    <mergeCell ref="B299:E299"/>
    <mergeCell ref="B360:E360"/>
    <mergeCell ref="B368:E368"/>
    <mergeCell ref="B325:E325"/>
    <mergeCell ref="B330:E330"/>
    <mergeCell ref="X367:AA367"/>
    <mergeCell ref="B304:E304"/>
    <mergeCell ref="C318:E319"/>
    <mergeCell ref="B381:E381"/>
    <mergeCell ref="B380:E380"/>
    <mergeCell ref="B386:E386"/>
    <mergeCell ref="G318:G319"/>
    <mergeCell ref="F318:F319"/>
    <mergeCell ref="Q337:W337"/>
    <mergeCell ref="X362:AA362"/>
    <mergeCell ref="X365:AA365"/>
    <mergeCell ref="X414:AA414"/>
    <mergeCell ref="X393:AA393"/>
    <mergeCell ref="X364:AA364"/>
    <mergeCell ref="X336:AA336"/>
    <mergeCell ref="B390:E390"/>
    <mergeCell ref="B378:E378"/>
    <mergeCell ref="B391:E391"/>
    <mergeCell ref="X391:AA391"/>
    <mergeCell ref="B412:E412"/>
    <mergeCell ref="X363:AA363"/>
    <mergeCell ref="B372:E372"/>
    <mergeCell ref="X297:AA297"/>
    <mergeCell ref="B339:E339"/>
    <mergeCell ref="B340:E340"/>
    <mergeCell ref="X337:AA337"/>
    <mergeCell ref="B332:E332"/>
    <mergeCell ref="X299:AA299"/>
    <mergeCell ref="B286:E286"/>
    <mergeCell ref="B370:E370"/>
    <mergeCell ref="B346:E346"/>
    <mergeCell ref="B357:E357"/>
    <mergeCell ref="B377:E377"/>
    <mergeCell ref="B371:E371"/>
    <mergeCell ref="B362:E362"/>
    <mergeCell ref="B345:E345"/>
    <mergeCell ref="B293:E293"/>
    <mergeCell ref="B334:E334"/>
    <mergeCell ref="B331:E331"/>
    <mergeCell ref="B358:E358"/>
    <mergeCell ref="B328:E328"/>
    <mergeCell ref="B309:E309"/>
    <mergeCell ref="B324:E324"/>
    <mergeCell ref="B303:E303"/>
    <mergeCell ref="B333:E333"/>
    <mergeCell ref="B335:E335"/>
    <mergeCell ref="B313:E313"/>
    <mergeCell ref="B300:E300"/>
    <mergeCell ref="B355:E355"/>
    <mergeCell ref="B367:E367"/>
    <mergeCell ref="B295:E295"/>
    <mergeCell ref="B306:E306"/>
    <mergeCell ref="B294:E294"/>
    <mergeCell ref="B265:E265"/>
    <mergeCell ref="X293:AA293"/>
    <mergeCell ref="X296:AA296"/>
    <mergeCell ref="B250:E250"/>
    <mergeCell ref="B262:E262"/>
    <mergeCell ref="B275:E275"/>
    <mergeCell ref="B274:E274"/>
    <mergeCell ref="X249:AA249"/>
    <mergeCell ref="B269:E269"/>
    <mergeCell ref="B167:E167"/>
    <mergeCell ref="X294:AA294"/>
    <mergeCell ref="B352:E352"/>
    <mergeCell ref="B321:E321"/>
    <mergeCell ref="B322:E322"/>
    <mergeCell ref="X366:AA366"/>
    <mergeCell ref="B323:E323"/>
    <mergeCell ref="B348:E348"/>
    <mergeCell ref="B311:E311"/>
    <mergeCell ref="B363:E363"/>
    <mergeCell ref="B365:E365"/>
    <mergeCell ref="B297:E297"/>
    <mergeCell ref="B327:E327"/>
    <mergeCell ref="B336:E336"/>
    <mergeCell ref="B342:E342"/>
    <mergeCell ref="B314:E314"/>
    <mergeCell ref="X283:AA283"/>
    <mergeCell ref="B282:E282"/>
    <mergeCell ref="X284:AA284"/>
    <mergeCell ref="X282:AA282"/>
    <mergeCell ref="B228:E228"/>
    <mergeCell ref="B249:E249"/>
    <mergeCell ref="B211:E211"/>
  </mergeCells>
  <phoneticPr fontId="0" type="noConversion"/>
  <hyperlinks>
    <hyperlink ref="AB12" r:id="rId1" display="https://www.jivi.com.ar/ficha.php?id=27"/>
    <hyperlink ref="AB26" r:id="rId2" display="https://www.jivi.com.ar/ficha.php?id=660"/>
    <hyperlink ref="AB33" r:id="rId3"/>
    <hyperlink ref="AB32" r:id="rId4"/>
    <hyperlink ref="AB31" r:id="rId5"/>
    <hyperlink ref="AB30" r:id="rId6"/>
    <hyperlink ref="AB29" r:id="rId7"/>
    <hyperlink ref="AB49" r:id="rId8"/>
    <hyperlink ref="AB50" r:id="rId9"/>
    <hyperlink ref="AB53" r:id="rId10" display="https://www.jivi.com.ar/ficha.php?id=41"/>
    <hyperlink ref="AB54" r:id="rId11" display="https://www.jivi.com.ar/ficha.php?id=42"/>
    <hyperlink ref="AB55" r:id="rId12" display="https://www.jivi.com.ar/ficha.php?id=649"/>
    <hyperlink ref="AB56" r:id="rId13" display="https://www.jivi.com.ar/ficha.php?id=650"/>
    <hyperlink ref="AB64" r:id="rId14" display="https://www.jivi.com.ar/ficha.php?id=164"/>
    <hyperlink ref="AB68" r:id="rId15" display="https://www.jivi.com.ar/ficha.php?id=77"/>
    <hyperlink ref="AB70" r:id="rId16"/>
    <hyperlink ref="AB72" r:id="rId17"/>
    <hyperlink ref="AB73" r:id="rId18"/>
    <hyperlink ref="AC80" r:id="rId19"/>
    <hyperlink ref="AD80" r:id="rId20"/>
    <hyperlink ref="AE80" r:id="rId21"/>
    <hyperlink ref="AF80" r:id="rId22"/>
    <hyperlink ref="AG80" r:id="rId23"/>
    <hyperlink ref="AC81" r:id="rId24"/>
    <hyperlink ref="AD81" r:id="rId25"/>
    <hyperlink ref="AE81" r:id="rId26"/>
    <hyperlink ref="AF81" r:id="rId27"/>
    <hyperlink ref="AG81" r:id="rId28"/>
    <hyperlink ref="AH81" r:id="rId29"/>
    <hyperlink ref="AC82" r:id="rId30"/>
    <hyperlink ref="AD82" r:id="rId31"/>
    <hyperlink ref="AE82" r:id="rId32"/>
    <hyperlink ref="AF82" r:id="rId33"/>
    <hyperlink ref="AH82" r:id="rId34"/>
    <hyperlink ref="AG82" r:id="rId35"/>
    <hyperlink ref="AC83" r:id="rId36"/>
    <hyperlink ref="AD83" r:id="rId37"/>
    <hyperlink ref="AE83" r:id="rId38"/>
    <hyperlink ref="AF83" r:id="rId39"/>
    <hyperlink ref="AC84" r:id="rId40"/>
    <hyperlink ref="AD84" r:id="rId41"/>
    <hyperlink ref="AE84" r:id="rId42"/>
    <hyperlink ref="AF84" r:id="rId43"/>
    <hyperlink ref="AG84" r:id="rId44"/>
    <hyperlink ref="AC85" r:id="rId45"/>
    <hyperlink ref="AD85" r:id="rId46"/>
    <hyperlink ref="AE85" r:id="rId47"/>
    <hyperlink ref="AC86" r:id="rId48"/>
    <hyperlink ref="AD86" r:id="rId49"/>
    <hyperlink ref="AE86" r:id="rId50"/>
    <hyperlink ref="AF86" r:id="rId51"/>
    <hyperlink ref="AG86" r:id="rId52"/>
    <hyperlink ref="AH86" r:id="rId53"/>
    <hyperlink ref="AB87" r:id="rId54"/>
    <hyperlink ref="AB88" r:id="rId55"/>
    <hyperlink ref="AB89" r:id="rId56"/>
    <hyperlink ref="AC90" r:id="rId57"/>
    <hyperlink ref="AD90" r:id="rId58"/>
    <hyperlink ref="AE90" r:id="rId59"/>
    <hyperlink ref="AF90" r:id="rId60"/>
    <hyperlink ref="AG90" r:id="rId61"/>
    <hyperlink ref="AB305" r:id="rId62" display="https://www.jivi.com.ar/ficha.php?id=187"/>
    <hyperlink ref="AB307" r:id="rId63" display="https://www.jivi.com.ar/ficha.php?id=4"/>
    <hyperlink ref="AB323" r:id="rId64" display="https://www.jivi.com.ar/ficha.php?id=55"/>
    <hyperlink ref="AB326" r:id="rId65" display="https://www.jivi.com.ar/ficha.php?id=209"/>
    <hyperlink ref="AB327" r:id="rId66"/>
    <hyperlink ref="AB335" r:id="rId67" display="https://www.jivi.com.ar/ficha.php?id=60"/>
    <hyperlink ref="AB337" r:id="rId68" display="https://www.jivi.com.ar/ficha.php?id=380"/>
    <hyperlink ref="AB341" r:id="rId69" display="https://www.jivi.com.ar/ficha.php?id=548"/>
    <hyperlink ref="AB342" r:id="rId70"/>
    <hyperlink ref="AB345" r:id="rId71" display="https://www.jivi.com.ar/ficha.php?id=719"/>
    <hyperlink ref="AB100" r:id="rId72" display="https://www.jivi.com.ar/ficha.php?id=326"/>
    <hyperlink ref="AB104" r:id="rId73" display="https://www.jivi.com.ar/ficha.php?id=134"/>
    <hyperlink ref="AB109" r:id="rId74" display="https://www.jivi.com.ar/ficha.php?id=10"/>
    <hyperlink ref="AB110" r:id="rId75" display="https://www.jivi.com.ar/ficha.php?id=11"/>
    <hyperlink ref="AB136" r:id="rId76" display="https://www.jivi.com.ar/ficha.php?id=394"/>
    <hyperlink ref="AB137" r:id="rId77" display="https://www.jivi.com.ar/ficha.php?id=145"/>
    <hyperlink ref="AB140" r:id="rId78" display="https://www.jivi.com.ar/ficha.php?id=18"/>
    <hyperlink ref="AB144" r:id="rId79" display="https://www.jivi.com.ar/ficha.php?id=19"/>
    <hyperlink ref="AB148" r:id="rId80" display="https://www.jivi.com.ar/ficha.php?id=142"/>
    <hyperlink ref="AB149" r:id="rId81" display="https://www.jivi.com.ar/ficha.php?id=392"/>
    <hyperlink ref="AB150" r:id="rId82" display="https://www.jivi.com.ar/ficha.php?id=393"/>
    <hyperlink ref="AB174" r:id="rId83" display="https://www.jivi.com.ar/ficha.php?id=135"/>
    <hyperlink ref="AB175" r:id="rId84" display="https://www.jivi.com.ar/ficha.php?id=136"/>
    <hyperlink ref="AB176" r:id="rId85" display="https://www.jivi.com.ar/ficha.php?id=137"/>
    <hyperlink ref="AB177" r:id="rId86" display="https://www.jivi.com.ar/ficha.php?id=138"/>
    <hyperlink ref="AB185" r:id="rId87" display="https://www.jivi.com.ar/ficha.php?id=245"/>
    <hyperlink ref="AB202" r:id="rId88" display="https://www.jivi.com.ar/ficha.php?id=166"/>
    <hyperlink ref="AB203" r:id="rId89" display="https://www.jivi.com.ar/ficha.php?id=171"/>
    <hyperlink ref="AB207" r:id="rId90" display="https://www.jivi.com.ar/ficha.php?id=168"/>
    <hyperlink ref="AB213" r:id="rId91" display="https://www.jivi.com.ar/ficha.php?id=169"/>
    <hyperlink ref="AB215" r:id="rId92" display="https://www.jivi.com.ar/ficha.php?id=148"/>
    <hyperlink ref="AB216" r:id="rId93" display="https://www.jivi.com.ar/ficha.php?id=158"/>
    <hyperlink ref="AB628" r:id="rId94" display="https://www.jivi.com.ar/ficha.php?id=621"/>
    <hyperlink ref="AB629" r:id="rId95" display="https://www.jivi.com.ar/ficha.php?id=622"/>
    <hyperlink ref="AB94" r:id="rId96" display="https://www.jivi.com.ar/ficha.php?id=456"/>
    <hyperlink ref="AB267" r:id="rId97" display="https://www.jivi.com.ar/ficha.php?id=246"/>
    <hyperlink ref="AB422" r:id="rId98" display="https://www.jivi.com.ar/ficha.php?id=431"/>
    <hyperlink ref="AB426" r:id="rId99" display="https://www.jivi.com.ar/ficha.php?id=728"/>
    <hyperlink ref="AB442" r:id="rId100"/>
    <hyperlink ref="AB444" r:id="rId101"/>
    <hyperlink ref="AB454" r:id="rId102"/>
    <hyperlink ref="AB456" r:id="rId103"/>
    <hyperlink ref="AB459" r:id="rId104"/>
    <hyperlink ref="AB460" r:id="rId105"/>
    <hyperlink ref="AB461" r:id="rId106"/>
    <hyperlink ref="AB463" r:id="rId107"/>
    <hyperlink ref="AB464" r:id="rId108"/>
    <hyperlink ref="AB466" r:id="rId109"/>
    <hyperlink ref="AB469" r:id="rId110"/>
    <hyperlink ref="AB470" r:id="rId111"/>
    <hyperlink ref="AB610" r:id="rId112"/>
    <hyperlink ref="AB616" r:id="rId113"/>
    <hyperlink ref="AB617" r:id="rId114"/>
    <hyperlink ref="AB96" r:id="rId115" display="https://www.jivi.com.ar/ficha.php?id=234"/>
    <hyperlink ref="AB312" r:id="rId116" display="https://www.jivi.com.ar/ficha.php?id=51"/>
    <hyperlink ref="AB328" r:id="rId117"/>
    <hyperlink ref="B7:V7" location="'Artículos Publicitarios'!A686" display="PARA IR A LOS RECARGOS POR IMPRESIONES ADICIONALES CLICK AQUÍ"/>
    <hyperlink ref="AB446" r:id="rId118"/>
    <hyperlink ref="AC51" r:id="rId119"/>
    <hyperlink ref="AD51" r:id="rId120"/>
    <hyperlink ref="AE51" r:id="rId121"/>
    <hyperlink ref="B7:W7" location="'Artículos Publicitarios'!A678" display="PARA IR A LOS RECARGOS POR IMPRESIONES ADICIONALES CLICK AQUÍ"/>
    <hyperlink ref="AB223" r:id="rId122" display="https://www.jivi.com.ar/ficha.php?id=840"/>
    <hyperlink ref="AE2:AF2" location="'Artículos Publicitarios'!A839" display="CLICK AQUÍ"/>
    <hyperlink ref="AE2" location="'Artículos Publicitarios'!A833" display="CLICK AQUÍ"/>
    <hyperlink ref="AB505" r:id="rId123" display="https://www.jivi.com.ar/ficha.php?id=846"/>
    <hyperlink ref="AB24" r:id="rId124" display="https://www.jivi.com.ar/ficha.php?id=848"/>
    <hyperlink ref="AB74" r:id="rId125"/>
    <hyperlink ref="AE2:AG2" location="'Artículos Publicitarios'!A740" display="CLICK AQUÍ"/>
    <hyperlink ref="B734:W734" location="'Artículos Publicitarios'!A3" display="PARA SUBIR AL PRINCIPIO DE LA LISTA CLICK AQUÍ"/>
    <hyperlink ref="AB261" r:id="rId126" display="https://www.jivi.com.ar/ficha.php?id=862"/>
    <hyperlink ref="AB42" r:id="rId127"/>
    <hyperlink ref="AB151" r:id="rId128" display="https://www.jivi.com.ar/ficha.php?id=882"/>
    <hyperlink ref="AB101" r:id="rId129"/>
    <hyperlink ref="AF11:AH11" location="'Artículos Publicitarios'!A181" display="IR A PAGINA 3"/>
    <hyperlink ref="AF78:AH78" location="'Artículos Publicitarios'!A3" display="IR A PAGINA 1"/>
    <hyperlink ref="AF158:AH158" location="'Artículos Publicitarios'!A3" display="IR A PAGINA 1"/>
    <hyperlink ref="AF238:AH238" location="'Artículos Publicitarios'!A3" display="IR A PAGINA 1"/>
    <hyperlink ref="AF318:AH318" location="'Artículos Publicitarios'!A3" display="IR A PAGINA 1"/>
    <hyperlink ref="AF398:AH398" location="'Artículos Publicitarios'!A3" display="IR A PAGINA 1"/>
    <hyperlink ref="AB632" r:id="rId130" display="https://www.jivi.com.ar/ficha.php?id=903"/>
    <hyperlink ref="AB19" r:id="rId131"/>
    <hyperlink ref="AB322" r:id="rId132" display="https://www.jivi.com.ar/ficha.php?id=916"/>
    <hyperlink ref="AB625" r:id="rId133" display="https://www.jivi.com.ar/ficha.php?id=918"/>
    <hyperlink ref="AB308" r:id="rId134" display="https://www.jivi.com.ar/ficha.php?id=926"/>
    <hyperlink ref="AB65" r:id="rId135"/>
    <hyperlink ref="AB440" r:id="rId136"/>
    <hyperlink ref="AB178" r:id="rId137" display="https://www.jivi.com.ar/ficha.php?id=948"/>
    <hyperlink ref="AB324" r:id="rId138" display="https://www.jivi.com.ar/ficha.php?id=954"/>
    <hyperlink ref="AB131" r:id="rId139"/>
    <hyperlink ref="AB133" r:id="rId140"/>
    <hyperlink ref="AB132" r:id="rId141"/>
    <hyperlink ref="AB447" r:id="rId142"/>
    <hyperlink ref="AB25" r:id="rId143"/>
    <hyperlink ref="AB313" r:id="rId144" display="https://www.jivi.com.ar/ficha.php?id=850"/>
    <hyperlink ref="AB134" r:id="rId145"/>
    <hyperlink ref="AB467" r:id="rId146"/>
    <hyperlink ref="AB468" r:id="rId147"/>
    <hyperlink ref="AB346" r:id="rId148" display="https://www.jivi.com.ar/ficha.php?id=1023"/>
    <hyperlink ref="AB309" r:id="rId149" display="https://www.jivi.com.ar/ficha.php?id=1025"/>
    <hyperlink ref="AF23" location="'Artículos Publicitarios'!A122" display="IR A PINES"/>
    <hyperlink ref="AB320" r:id="rId150" display="https://www.jivi.com.ar/ficha.php?id=647"/>
    <hyperlink ref="AB304" r:id="rId151" display="https://www.jivi.com.ar/ficha.php?id=1049"/>
    <hyperlink ref="AB452" r:id="rId152"/>
    <hyperlink ref="AB190" r:id="rId153" display="https://www.jivi.com.ar/ficha.php?id=1059"/>
    <hyperlink ref="AB192" r:id="rId154" display="https://www.jivi.com.ar/ficha.php?id=1061"/>
    <hyperlink ref="AB193" r:id="rId155" display="https://www.jivi.com.ar/ficha.php?id=1062"/>
    <hyperlink ref="AB21" r:id="rId156" display="https://www.jivi.com.ar/ficha.php?id=364"/>
    <hyperlink ref="AF25:AI25" location="'Artículos Publicitarios'!A475" display="IR A GORROS"/>
    <hyperlink ref="AB23" r:id="rId157"/>
    <hyperlink ref="AB22" r:id="rId158"/>
    <hyperlink ref="AF21:AI21" location="'Artículos Publicitarios'!A595" display="IR A PROD. SUBLIMADOS"/>
    <hyperlink ref="AB594" r:id="rId159" display="https://www.jivi.com.ar/ficha.php?id=1088"/>
    <hyperlink ref="AB595" r:id="rId160" display="https://www.jivi.com.ar/ficha.php?id=1089"/>
    <hyperlink ref="AB596" r:id="rId161" display="https://www.jivi.com.ar/ficha.php?id=1090"/>
    <hyperlink ref="AB597" r:id="rId162" display="https://www.jivi.com.ar/ficha.php?id=1091"/>
    <hyperlink ref="AB333" r:id="rId163" display="https://www.jivi.com.ar/ficha.php?id=1095"/>
    <hyperlink ref="AB310" r:id="rId164" display="https://www.jivi.com.ar/ficha.php?id=1094"/>
    <hyperlink ref="AB306" r:id="rId165" display="https://www.jivi.com.ar/ficha.php?id=297"/>
    <hyperlink ref="AB352" r:id="rId166" display="https://www.jivi.com.ar/ficha.php?id=1097"/>
    <hyperlink ref="AB98" r:id="rId167" display="https://www.jivi.com.ar/ficha.php?id=1098"/>
    <hyperlink ref="AB18" r:id="rId168"/>
    <hyperlink ref="AB218" r:id="rId169"/>
    <hyperlink ref="AB303" r:id="rId170" display="https://www.jivi.com.ar/ficha.php?id=1108"/>
    <hyperlink ref="AB336" r:id="rId171" display="https://www.jivi.com.ar/ficha.php?id=1116"/>
    <hyperlink ref="AF607:AH607" location="'Artículos Publicitarios'!A3" display="IR A PAGINA 1"/>
    <hyperlink ref="AF23:AI23" location="'Artículos Publicitarios'!A91" display="IR A PINES"/>
    <hyperlink ref="AF22:AI22" location="'Artículos Publicitarios'!A159" display="IR A CARPITAS"/>
    <hyperlink ref="AF18:AI18" location="'Artículos Publicitarios'!A132" display="IR A CINTAS COLGANTES"/>
    <hyperlink ref="AF26:AI26" location="'Artículos Publicitarios'!A264" display="IR A PORTADOCUMENTOS"/>
    <hyperlink ref="AB171" r:id="rId172" display="https://www.jivi.com.ar/ficha.php?id=1119"/>
    <hyperlink ref="AB172" r:id="rId173"/>
    <hyperlink ref="AB620" r:id="rId174" display="https://www.jivi.com.ar/ficha.php?id=1154"/>
    <hyperlink ref="AB630" r:id="rId175" display="https://www.jivi.com.ar/ficha.php?id=1157"/>
    <hyperlink ref="AB631" r:id="rId176" display="https://www.jivi.com.ar/ficha.php?id=1158"/>
    <hyperlink ref="AB592" r:id="rId177"/>
    <hyperlink ref="AB598" r:id="rId178" display="hhttps://www.jivi.com.ar/ficha.php?id=1155"/>
    <hyperlink ref="AB600" r:id="rId179" display="https://www.jivi.com.ar/ficha.php?id=1156"/>
    <hyperlink ref="AB603" r:id="rId180"/>
    <hyperlink ref="AB311" r:id="rId181"/>
    <hyperlink ref="AB52" r:id="rId182" display="https://www.jivi.com.ar/ficha.php?id=1172"/>
    <hyperlink ref="AB314" r:id="rId183"/>
    <hyperlink ref="AB97" r:id="rId184"/>
    <hyperlink ref="AB119" r:id="rId185"/>
    <hyperlink ref="AB321" r:id="rId186" display="https://www.jivi.com.ar/ficha.php?id=915"/>
    <hyperlink ref="AB107" r:id="rId187" display="https://www.jivi.com.ar/ficha.php?id=1182"/>
    <hyperlink ref="AB118" r:id="rId188" display="https://www.jivi.com.ar/ficha.php?id=1183"/>
    <hyperlink ref="AB120" r:id="rId189"/>
    <hyperlink ref="AB325" r:id="rId190" display="https://www.jivi.com.ar/ficha.php?id=349"/>
    <hyperlink ref="AB388" r:id="rId191" display="https://www.jivi.com.ar/ficha.php?id=1190"/>
    <hyperlink ref="AB105" r:id="rId192" display="https://www.jivi.com.ar/ficha.php?id=1181"/>
    <hyperlink ref="AB331" r:id="rId193"/>
    <hyperlink ref="AB448" r:id="rId194"/>
    <hyperlink ref="AB390" r:id="rId195" display="https://www.jivi.com.ar/ficha.php?id=1219"/>
    <hyperlink ref="AB47" r:id="rId196"/>
    <hyperlink ref="AB46" r:id="rId197"/>
    <hyperlink ref="AB48" r:id="rId198"/>
    <hyperlink ref="AB633" r:id="rId199" display="https://www.jivi.com.ar/ficha.php?id=904"/>
    <hyperlink ref="AB59" r:id="rId200"/>
    <hyperlink ref="AB418" r:id="rId201" display="https://www.jivi.com.ar/ficha.php?id=1225"/>
    <hyperlink ref="AB41" r:id="rId202"/>
    <hyperlink ref="AB626" r:id="rId203" display="https://www.jivi.com.ar/ficha.php?id=919"/>
    <hyperlink ref="AB191" r:id="rId204" display="https://www.jivi.com.ar/ficha.php?id=1060"/>
    <hyperlink ref="AB40" r:id="rId205"/>
    <hyperlink ref="AB152" r:id="rId206" display="https://www.jivi.com.ar/ficha.php?id=883"/>
    <hyperlink ref="AB471" r:id="rId207"/>
    <hyperlink ref="AB124" r:id="rId208" display="https://jivi.com.ar/ficha.php?id=89"/>
    <hyperlink ref="AB507" r:id="rId209" display="https://www.jivi.com.ar/ficha.php?id=1248"/>
    <hyperlink ref="AB334" r:id="rId210" display="https://www.jivi.com.ar/ficha.php?id=1253"/>
    <hyperlink ref="AB262" r:id="rId211" display="https://www.jivi.com.ar/ficha.php?id=1124"/>
    <hyperlink ref="AB153" r:id="rId212" display="https://www.jivi.com.ar/ficha.php?id=1261"/>
    <hyperlink ref="AB367" r:id="rId213" display="https://www.jivi.com.ar/ficha.php?id=1267"/>
    <hyperlink ref="AB419" r:id="rId214" display="https://www.jivi.com.ar/ficha.php?id=1268"/>
    <hyperlink ref="AB368" r:id="rId215" display="https://www.jivi.com.ar/ficha.php?id=1277"/>
    <hyperlink ref="AB648" r:id="rId216"/>
    <hyperlink ref="AB95" r:id="rId217" display="https://www.jivi.com.ar/ficha.php?id=378"/>
    <hyperlink ref="AB169" r:id="rId218"/>
    <hyperlink ref="AB106" r:id="rId219"/>
    <hyperlink ref="AB108" r:id="rId220"/>
    <hyperlink ref="AB113" r:id="rId221" display="https://www.jivi.com.ar/ficha.php?id=1305"/>
    <hyperlink ref="AB114" r:id="rId222"/>
    <hyperlink ref="AB217" r:id="rId223" display="https://www.jivi.com.ar/ficha.php?id=1287"/>
    <hyperlink ref="AB602" r:id="rId224" display="https://www.jivi.com.ar/ficha.php?id=1290"/>
    <hyperlink ref="AB163" r:id="rId225" display="https://www.jivi.com.ar/ficha.php?id=1316"/>
    <hyperlink ref="AB102" r:id="rId226" display="https://www.jivi.com.ar/ficha.php?id=1314"/>
    <hyperlink ref="AJ1:AJ2" location="'Artículos Publicitarios'!A3" display="IR A PAGINA 1"/>
    <hyperlink ref="AB168" r:id="rId227"/>
    <hyperlink ref="AB356" r:id="rId228" display="https://www.jivi.com.ar/ficha.php?id=1344"/>
    <hyperlink ref="AB115" r:id="rId229"/>
    <hyperlink ref="AF689:AH689" location="'Artículos Publicitarios'!A3" display="IR A PAGINA 1"/>
    <hyperlink ref="AB161" r:id="rId230" display="https://www.jivi.com.ar/ficha.php?id=1346"/>
    <hyperlink ref="AB162" r:id="rId231" display="https://www.jivi.com.ar/ficha.php?id=1347"/>
    <hyperlink ref="AB189" r:id="rId232" display="https://www.jivi.com.ar/ficha.php?id=1348"/>
    <hyperlink ref="AB357" r:id="rId233" display="https://www.jivi.com.ar/ficha.php?id=1359"/>
    <hyperlink ref="AB369" r:id="rId234" display="https://www.jivi.com.ar/ficha.php?id=1360"/>
    <hyperlink ref="AB170" r:id="rId235"/>
    <hyperlink ref="AB103" r:id="rId236" display="https://www.jivi.com.ar/ficha.php?id=1366"/>
    <hyperlink ref="AC8:AI9" r:id="rId237" display="REGISTRATE EN NUESTRA WEB PARA BAJAR LISTA DE PRECIOS DESDE CUALQUIER PC"/>
    <hyperlink ref="AB263" r:id="rId238" display="https://www.jivi.com.ar/ficha.php?id=864"/>
    <hyperlink ref="AB375" r:id="rId239" display="https://www.jivi.com.ar/ficha.php?id=1372"/>
    <hyperlink ref="AB372" r:id="rId240" display="https://www.jivi.com.ar/ficha.php?id=1378"/>
    <hyperlink ref="AB376" r:id="rId241" display="https://www.jivi.com.ar/ficha.php?id=1382"/>
    <hyperlink ref="AB371" r:id="rId242" display="https://www.jivi.com.ar/ficha.php?id=1383"/>
    <hyperlink ref="AB400" r:id="rId243" display="https://www.jivi.com.ar/ficha.php?id=1384"/>
    <hyperlink ref="AB126" r:id="rId244" display="https://www.jivi.com.ar/ficha.php?id=1428"/>
    <hyperlink ref="AB401" r:id="rId245" display="https://www.jivi.com.ar/ficha.php?id=1385"/>
    <hyperlink ref="AB394" r:id="rId246" display="https://www.jivi.com.ar/ficha.php?id=1387"/>
    <hyperlink ref="AB402" r:id="rId247" display="https://www.jivi.com.ar/ficha.php?id=1389"/>
    <hyperlink ref="AB20" r:id="rId248" display="https://www.jivi.com.ar/ficha.php?id=363"/>
    <hyperlink ref="AF20" location="'Artículos Publicitarios'!A582" display="IR A REMERAS"/>
    <hyperlink ref="AF20:AI20" location="'Artículos Publicitarios'!A468" display="IR A REMERAS"/>
    <hyperlink ref="AF26:AJ26" location="'Artículos Publicitarios'!A223" display="IR A PORTADOCUMENTOS"/>
    <hyperlink ref="AF24:AH24" location="'Artículos Publicitarios'!A427" display="IR A BOLIGRAFOS"/>
    <hyperlink ref="AF24:AI24" location="'Artículos Publicitarios'!A128" display="IR A LLAVEROS DE CUERO"/>
    <hyperlink ref="AF24:AJ24" location="'Artículos Publicitarios'!A612" display="IR A ART. DE CUERO - CUCHILLERIA"/>
    <hyperlink ref="AB58" r:id="rId249" display="https://www.jivi.com.ar/ficha.php?id=236"/>
    <hyperlink ref="AB164" r:id="rId250" display="https://www.jivi.com.ar/ficha.php?id=1343"/>
    <hyperlink ref="AF13:AH13" location="'Artículos Publicitarios'!A342" display="IR A PAGINA 5"/>
    <hyperlink ref="AF14:AH14" location="'Artículos Publicitarios'!A421" display="IR A PAGINA 6"/>
    <hyperlink ref="AB377" r:id="rId251" display="https://www.jivi.com.ar/ficha.php?id=1394"/>
    <hyperlink ref="AB219" r:id="rId252" display="https://www.jivi.com.ar/ficha.php?id=872"/>
    <hyperlink ref="AB146" r:id="rId253" display="https://www.jivi.com.ar/ficha.php?id=1399"/>
    <hyperlink ref="AF17:AH17" location="'Artículos Publicitarios'!A427" display="IR A BOLIGRAFOS"/>
    <hyperlink ref="AF17:AI17" location="'Artículos Publicitarios'!A128" display="IR A LLAVEROS DE CUERO"/>
    <hyperlink ref="AF17:AJ17" location="'Artículos Publicitarios'!A322" display="IR A BOLIGRAFOS"/>
    <hyperlink ref="AB393" r:id="rId254" display="https://www.jivi.com.ar/ficha.php?id=1262"/>
    <hyperlink ref="AB370" r:id="rId255" display="https://www.jivi.com.ar/ficha.php?id=1400"/>
    <hyperlink ref="AB378" r:id="rId256" display="https://www.jivi.com.ar/ficha.php?id=1401"/>
    <hyperlink ref="AB154" r:id="rId257" display="https://www.jivi.com.ar/ficha.php?id=1392"/>
    <hyperlink ref="AB256" r:id="rId258" display="https://www.jivi.com.ar/ficha.php?id=1230"/>
    <hyperlink ref="AB358" r:id="rId259" display="https://www.jivi.com.ar/ficha.php?id=1110"/>
    <hyperlink ref="AB360" r:id="rId260" display="https://www.jivi.com.ar/ficha.php?id=1111"/>
    <hyperlink ref="AF19:AI19" location="'Artículos Publicitarios'!A325" display="IR A SET DE NOTAS"/>
    <hyperlink ref="AF19:AJ19" location="'Artículos Publicitarios'!A502" display="IR A PARAGUAS"/>
    <hyperlink ref="AB91" r:id="rId261" display="https://www.jivi.com.ar/ficha.php?id=477"/>
    <hyperlink ref="AB93" r:id="rId262" display="https://www.jivi.com.ar/ficha.php?id=376"/>
    <hyperlink ref="AB13" r:id="rId263" display="https://www.jivi.com.ar/ficha.php?id=1402"/>
    <hyperlink ref="AB501" r:id="rId264" display="https://www.jivi.com.ar/ficha.php?id=1393"/>
    <hyperlink ref="AB15" r:id="rId265" display="https://www.jivi.com.ar/ficha.php?id=1405"/>
    <hyperlink ref="AB123" r:id="rId266" display="https://www.jivi.com.ar/ficha.php?id=1413"/>
    <hyperlink ref="AB167" r:id="rId267" display="https://www.jivi.com.ar/ficha.php?id=1415"/>
    <hyperlink ref="AF12:AH12" location="'Artículos Publicitarios'!A260" display="IR A PAGINA 4"/>
    <hyperlink ref="AB300" r:id="rId268" display="https://www.jivi.com.ar/ficha.php?id=1356"/>
    <hyperlink ref="AB206" r:id="rId269" display="https://www.jivi.com.ar/ficha.php?id=1084"/>
    <hyperlink ref="AB298" r:id="rId270" display="https://www.jivi.com.ar/ficha.php?id=1353"/>
    <hyperlink ref="AF27:AH27" location="'Artículos Publicitarios'!A427" display="IR A BOLIGRAFOS"/>
    <hyperlink ref="AF27:AI27" location="'Artículos Publicitarios'!A128" display="IR A LLAVEROS DE CUERO"/>
    <hyperlink ref="AF27:AJ27" location="'Artículos Publicitarios'!A651" display="IR A DELANTALES"/>
    <hyperlink ref="AB653" r:id="rId271"/>
    <hyperlink ref="AB656" r:id="rId272"/>
    <hyperlink ref="AB627" r:id="rId273" display="https://www.jivi.com.ar/ficha.php?id=1281"/>
    <hyperlink ref="AB647" r:id="rId274"/>
    <hyperlink ref="AB281" r:id="rId275" display="https://www.jivi.com.ar/ficha.php?id=1421"/>
    <hyperlink ref="AB284" r:id="rId276" display="https://www.jivi.com.ar/ficha.php?id=1422"/>
    <hyperlink ref="AB285" r:id="rId277" display="https://www.jivi.com.ar/ficha.php?id=1423"/>
    <hyperlink ref="AB296" r:id="rId278" display="https://www.jivi.com.ar/ficha.php?id=1425"/>
    <hyperlink ref="AB297" r:id="rId279" display="https://www.jivi.com.ar/ficha.php?id=1426"/>
    <hyperlink ref="AB416" r:id="rId280" display="https://www.jivi.com.ar/ficha.php?id=1429"/>
    <hyperlink ref="AB449" r:id="rId281"/>
    <hyperlink ref="AB451" r:id="rId282"/>
    <hyperlink ref="AB495" r:id="rId283" display="https://www.jivi.com.ar/ficha.php?id=1436"/>
    <hyperlink ref="AB496" r:id="rId284" display="https://www.jivi.com.ar/ficha.php?id=1437"/>
    <hyperlink ref="AB497" r:id="rId285"/>
    <hyperlink ref="AB499" r:id="rId286" display="https://www.jivi.com.ar/ficha.php?id=1439"/>
    <hyperlink ref="AB283" r:id="rId287" display="https://www.jivi.com.ar/ficha.php?id=1442"/>
    <hyperlink ref="AB295" r:id="rId288" display="https://www.jivi.com.ar/ficha.php?id=1427"/>
    <hyperlink ref="AB618" r:id="rId289"/>
    <hyperlink ref="AB351" r:id="rId290" display="https://www.jivi.com.ar/ficha.php?id=1056"/>
    <hyperlink ref="AB255" r:id="rId291" display="https://www.jivi.com.ar/ficha.php?id=1334"/>
    <hyperlink ref="AB250" r:id="rId292" display="https://www.jivi.com.ar/ficha.php?id=1335"/>
    <hyperlink ref="AB291" r:id="rId293" display="https://www.jivi.com.ar/ficha.php?id=1446"/>
    <hyperlink ref="AB299" r:id="rId294" display="https://www.jivi.com.ar/ficha.php?id=1354"/>
    <hyperlink ref="AB294" r:id="rId295" display="https://www.jivi.com.ar/ficha.php?id=1448"/>
    <hyperlink ref="AB302" r:id="rId296" display="https://www.jivi.com.ar/ficha.php?id=1450"/>
    <hyperlink ref="AB187" r:id="rId297"/>
    <hyperlink ref="AB195" r:id="rId298" display="https://www.jivi.com.ar/ficha.php?id=1064"/>
    <hyperlink ref="AB194" r:id="rId299" display="https://www.jivi.com.ar/ficha.php?id=1063"/>
    <hyperlink ref="AB441" r:id="rId300"/>
    <hyperlink ref="AB649" r:id="rId301"/>
    <hyperlink ref="AB384" r:id="rId302" display="https://www.jivi.com.ar/ficha.php?id=1463"/>
    <hyperlink ref="AB385" r:id="rId303" display="https://www.jivi.com.ar/ficha.php?id=1464"/>
    <hyperlink ref="AB406" r:id="rId304" display="https://www.jivi.com.ar/ficha.php?id=1466"/>
    <hyperlink ref="AB502" r:id="rId305" display="https://www.jivi.com.ar/ficha.php?id=1467"/>
    <hyperlink ref="AB500" r:id="rId306" display="https://www.jivi.com.ar/ficha.php?id=1468"/>
    <hyperlink ref="AB506" r:id="rId307" display="https://www.jivi.com.ar/ficha.php?id=1470"/>
    <hyperlink ref="AB510" r:id="rId308"/>
    <hyperlink ref="AB511" r:id="rId309" display="https://www.jivi.com.ar/ficha.php?id=1472"/>
    <hyperlink ref="AB462" r:id="rId310"/>
    <hyperlink ref="AB590" r:id="rId311"/>
    <hyperlink ref="AB591" r:id="rId312"/>
    <hyperlink ref="AB589" r:id="rId313"/>
    <hyperlink ref="AB210" r:id="rId314" display="https://www.jivi.com.ar/ficha.php?id=1478"/>
    <hyperlink ref="AB211" r:id="rId315"/>
    <hyperlink ref="AB212" r:id="rId316"/>
    <hyperlink ref="AB205" r:id="rId317" display="https://www.jivi.com.ar/ficha.php?id=1481"/>
    <hyperlink ref="AB220" r:id="rId318" display="https://www.jivi.com.ar/ficha.php?id=1483"/>
    <hyperlink ref="AB248" r:id="rId319" display="https://www.jivi.com.ar/ficha.php?id=1486"/>
    <hyperlink ref="AB249" r:id="rId320" display="https://www.jivi.com.ar/ficha.php?id=1488"/>
    <hyperlink ref="AB621" r:id="rId321" display="https://www.jivi.com.ar/ficha.php?id=1492"/>
    <hyperlink ref="AB622" r:id="rId322" display="https://www.jivi.com.ar/ficha.php?id=1493"/>
    <hyperlink ref="AB623" r:id="rId323" display="https://www.jivi.com.ar/ficha.php?id=1494"/>
    <hyperlink ref="AB624" r:id="rId324"/>
    <hyperlink ref="AB268" r:id="rId325" display="https://www.jivi.com.ar/ficha.php?id=1496"/>
    <hyperlink ref="AB269" r:id="rId326" display="https://www.jivi.com.ar/ficha.php?id=1497"/>
    <hyperlink ref="AB271" r:id="rId327" display="httphttps://www.jivi.com.ar/ficha.php?id=1498"/>
    <hyperlink ref="AB272" r:id="rId328" display="https://www.jivi.com.ar/ficha.php?id=1499"/>
    <hyperlink ref="AB273" r:id="rId329" display="https://www.jivi.com.ar/ficha.php?id=1500"/>
    <hyperlink ref="AB35" r:id="rId330"/>
    <hyperlink ref="AB37" r:id="rId331"/>
    <hyperlink ref="AB34" r:id="rId332"/>
    <hyperlink ref="AB36" r:id="rId333"/>
    <hyperlink ref="AB38" r:id="rId334"/>
    <hyperlink ref="AB39" r:id="rId335"/>
    <hyperlink ref="AB494" r:id="rId336" display="https://www.jivi.com.ar/ficha.php?id=1509"/>
    <hyperlink ref="AB473" r:id="rId337"/>
    <hyperlink ref="AB280" r:id="rId338" display="https://www.jivi.com.ar/ficha.php?id=1515"/>
    <hyperlink ref="AB69" r:id="rId339"/>
    <hyperlink ref="AB71" r:id="rId340"/>
    <hyperlink ref="AB380" r:id="rId341" display="https://www.jivi.com.ar/ficha.php?id=1523"/>
    <hyperlink ref="AB279" r:id="rId342" display="https://www.jivi.com.ar/ficha.php?id=1559"/>
    <hyperlink ref="AB282" r:id="rId343" display="https://www.jivi.com.ar/ficha.php?id=1527"/>
    <hyperlink ref="AB234" r:id="rId344" display="https://www.jivi.com.ar/ficha.php?id=1532"/>
    <hyperlink ref="AB246" r:id="rId345" display="https://www.jivi.com.ar/ficha.php?id=1534"/>
    <hyperlink ref="AB643" r:id="rId346" display="https://www.jivi.com.ar/ficha.php?id=1535"/>
    <hyperlink ref="AB644" r:id="rId347" display="https://www.jivi.com.ar/ficha.php?id=1536"/>
    <hyperlink ref="AB222" r:id="rId348" display="https://www.jivi.com.ar/ficha.php?id=1539"/>
    <hyperlink ref="AB130" r:id="rId349" display="https://www.jivi.com.ar/ficha.php?id=1540"/>
    <hyperlink ref="AB508" r:id="rId350" display="https://www.jivi.com.ar/ficha.php?id=1541"/>
    <hyperlink ref="AB509" r:id="rId351" display="https://www.jivi.com.ar/ficha.php?id=1542"/>
    <hyperlink ref="AB228" r:id="rId352" display="https://www.jivi.com.ar/ficha.php?id=1545"/>
    <hyperlink ref="AB359" r:id="rId353"/>
    <hyperlink ref="AB332" r:id="rId354" display="https://www.jivi.com.ar/ficha.php?id=981"/>
    <hyperlink ref="AB381" r:id="rId355" display="https://www.jivi.com.ar/ficha.php?id=1548"/>
    <hyperlink ref="AB382" r:id="rId356" display="https://www.jivi.com.ar/ficha.php?id=1549"/>
    <hyperlink ref="AB428" r:id="rId357"/>
    <hyperlink ref="AB415" r:id="rId358" display="https://www.jivi.com.ar/ficha.php?id=1552"/>
    <hyperlink ref="AB354" r:id="rId359" display="https://www.jivi.com.ar/ficha.php?id=1311"/>
    <hyperlink ref="AB145" r:id="rId360" display="https://www.jivi.com.ar/ficha.php?id=1553"/>
    <hyperlink ref="AB141" r:id="rId361" display="https://www.jivi.com.ar/ficha.php?id=1554"/>
    <hyperlink ref="AB550" r:id="rId362" display="https://www.jivi.com.ar/ficha.php?id=1555"/>
    <hyperlink ref="AB57" r:id="rId363" display="https://www.jivi.com.ar/ficha.php?id=1557"/>
    <hyperlink ref="AB654" r:id="rId364"/>
    <hyperlink ref="AB221" r:id="rId365" display="https://www.jivi.com.ar/ficha.php?id=518"/>
    <hyperlink ref="AB188" r:id="rId366" display="https://www.jivi.com.ar/ficha.php?id=1561"/>
    <hyperlink ref="AB10" r:id="rId367" display="https://www.jivi.com.ar/ficha.php?id=26"/>
    <hyperlink ref="AB224" r:id="rId368" display="https://www.jivi.com.ar/ficha.php?id=1066"/>
    <hyperlink ref="AB225" r:id="rId369" display="https://www.jivi.com.ar/ficha.php?id=1562"/>
    <hyperlink ref="AB423" r:id="rId370" display="https://www.jivi.com.ar/ficha.php?id=1563"/>
    <hyperlink ref="AB160" r:id="rId371" display="https://www.jivi.com.ar/ficha.php?id=1414"/>
    <hyperlink ref="AB16" r:id="rId372" display="https://www.jivi.com.ar/ficha.php?id=790"/>
    <hyperlink ref="AB288" r:id="rId373" display="https://www.jivi.com.ar/ficha.php?id=1407"/>
    <hyperlink ref="AB287" r:id="rId374" display="https://www.jivi.com.ar/ficha.php?id=1409"/>
    <hyperlink ref="AB289" r:id="rId375" display="https://www.jivi.com.ar/ficha.php?id=1408"/>
    <hyperlink ref="AB277" r:id="rId376" display="https://www.jivi.com.ar/ficha.php?id=1564"/>
    <hyperlink ref="AB27" r:id="rId377" display="https://www.jivi.com.ar/ficha.php?id=1434"/>
    <hyperlink ref="AB386" r:id="rId378" display="https://www.jivi.com.ar/ficha.php?id=1567"/>
    <hyperlink ref="AB43" r:id="rId379"/>
    <hyperlink ref="AB44" r:id="rId380"/>
    <hyperlink ref="AB45" r:id="rId381"/>
    <hyperlink ref="AB127" r:id="rId382" display="https://www.jivi.com.ar/ficha.php?id=1571"/>
    <hyperlink ref="AB204" r:id="rId383"/>
    <hyperlink ref="AB383" r:id="rId384" display="https://www.jivi.com.ar/ficha.php?id=1572"/>
    <hyperlink ref="AB278" r:id="rId385" display="https://www.jivi.com.ar/ficha.php?id=1573"/>
    <hyperlink ref="AB522" r:id="rId386" display="https://www.jivi.com.ar/ficha.php?id=1294"/>
    <hyperlink ref="AF28:AJ28" location="'Artículos Publicitarios'!A539" display="IR A MOCHILAS - BOLSOS - ETC"/>
    <hyperlink ref="AB528" r:id="rId387" display="https://www.jivi.com.ar/ficha.php?id=1271"/>
    <hyperlink ref="AB527" r:id="rId388" display="https://www.jivi.com.ar/ficha.php?id=1296"/>
    <hyperlink ref="AB532" r:id="rId389" display="https://www.jivi.com.ar/ficha.php?id=1139"/>
    <hyperlink ref="AB525" r:id="rId390" display="https://www.jivi.com.ar/ficha.php?id=1249"/>
    <hyperlink ref="AB569" r:id="rId391" display="https://www.jivi.com.ar/ficha.php?id=1574"/>
    <hyperlink ref="AB526" r:id="rId392" display="https://www.jivi.com.ar/ficha.php?id=1576"/>
    <hyperlink ref="AB536" r:id="rId393" display="https://www.jivi.com.ar/ficha.php?id=1580"/>
    <hyperlink ref="AB537" r:id="rId394" display="https://www.jivi.com.ar/ficha.php?id=1581"/>
    <hyperlink ref="AB541" r:id="rId395" display="https://www.jivi.com.ar/ficha.php?id=1583"/>
    <hyperlink ref="AB542" r:id="rId396" display="https://www.jivi.com.ar/ficha.php?id=1584"/>
    <hyperlink ref="AB544" r:id="rId397" display="https://www.jivi.com.ar/ficha.php?id=1586"/>
    <hyperlink ref="AB545" r:id="rId398" display="https://www.jivi.com.ar/ficha.php?id=1587"/>
    <hyperlink ref="AF29:AJ29" location="'Artículos Publicitarios'!A248" display="IR A CUADERNOS"/>
    <hyperlink ref="AB258" r:id="rId399" display="https://www.jivi.com.ar/ficha.php?id=1221"/>
    <hyperlink ref="AB264" r:id="rId400" display="https://www.jivi.com.ar/ficha.php?id=1588"/>
    <hyperlink ref="AB489" r:id="rId401"/>
    <hyperlink ref="AB490" r:id="rId402" display="https://www.jivi.com.ar/ficha.php?id=1590"/>
    <hyperlink ref="AB491" r:id="rId403"/>
    <hyperlink ref="AB492" r:id="rId404" display="https://www.jivi.com.ar/ficha.php?id=1592"/>
    <hyperlink ref="AB551" r:id="rId405" display="https://www.jivi.com.ar/ficha.php?id=1593"/>
    <hyperlink ref="AB275" r:id="rId406" display="https://www.jivi.com.ar/ficha.php?id=1595"/>
    <hyperlink ref="AB409" r:id="rId407" display="https://www.jivi.com.ar/ficha.php?id=1596"/>
    <hyperlink ref="AB552" r:id="rId408" display="https://www.jivi.com.ar/ficha.php?id=1598"/>
    <hyperlink ref="AB543" r:id="rId409" display="https://www.jivi.com.ar/ficha.php?id=1599"/>
    <hyperlink ref="AB554" r:id="rId410" display="https://www.jivi.com.ar/ficha.php?id=1602"/>
    <hyperlink ref="AB556" r:id="rId411" display="https://www.jivi.com.ar/ficha.php?id=1603"/>
    <hyperlink ref="AB60" r:id="rId412"/>
    <hyperlink ref="AB563" r:id="rId413" display="https://www.jivi.com.ar/ficha.php?id=1604"/>
    <hyperlink ref="AB564" r:id="rId414" display="https://www.jivi.com.ar/ficha.php?id=1606"/>
    <hyperlink ref="AB293" r:id="rId415" display="https://www.jivi.com.ar/ficha.php?id=1424"/>
    <hyperlink ref="AB173" r:id="rId416"/>
    <hyperlink ref="AB244" r:id="rId417" display="https://www.jivi.com.ar/ficha.php?id=1459"/>
    <hyperlink ref="AB243" r:id="rId418" display="https://www.jivi.com.ar/ficha.php?id=1608"/>
    <hyperlink ref="AB242" r:id="rId419" display="https://www.jivi.com.ar/ficha.php?id=1609"/>
    <hyperlink ref="AB259" r:id="rId420" display="https://www.jivi.com.ar/ficha.php?id=1274"/>
    <hyperlink ref="AB414" r:id="rId421" display="https://www.jivi.com.ar/ficha.php?id=1610"/>
    <hyperlink ref="AB540" r:id="rId422" display="https://www.jivi.com.ar/ficha.php?id=1611"/>
    <hyperlink ref="AB539" r:id="rId423" display="https://www.jivi.com.ar/ficha.php?id=1612"/>
    <hyperlink ref="AB198" r:id="rId424" display="https://www.jivi.com.ar/ficha.php?id=1614"/>
    <hyperlink ref="AB196" r:id="rId425" display="https://www.jivi.com.ar/ficha.php?id=1452"/>
    <hyperlink ref="AB214" r:id="rId426" display="https://www.jivi.com.ar/ficha.php?id=608"/>
    <hyperlink ref="AB365" r:id="rId427" display="https://www.jivi.com.ar/ficha.php?id=1615"/>
    <hyperlink ref="AB572" r:id="rId428" display="https://www.jivi.com.ar/ficha.php?id=1617"/>
    <hyperlink ref="AB573" r:id="rId429" display="https://www.jivi.com.ar/ficha.php?id=1618"/>
    <hyperlink ref="AB487" r:id="rId430"/>
    <hyperlink ref="AB488" r:id="rId431" display="https://www.jivi.com.ar/ficha.php?id=1620"/>
    <hyperlink ref="AB503" r:id="rId432" display="https://www.jivi.com.ar/ficha.php?id=1204"/>
    <hyperlink ref="AB504" r:id="rId433"/>
    <hyperlink ref="AB330" r:id="rId434"/>
    <hyperlink ref="AB472" r:id="rId435"/>
    <hyperlink ref="AB611" r:id="rId436"/>
    <hyperlink ref="AB658" r:id="rId437"/>
    <hyperlink ref="AB659" r:id="rId438"/>
    <hyperlink ref="AB660" r:id="rId439"/>
    <hyperlink ref="AB363" r:id="rId440" display="https://www.jivi.com.ar/ficha.php?id=1641"/>
    <hyperlink ref="AB432" r:id="rId441"/>
    <hyperlink ref="AB433" r:id="rId442"/>
    <hyperlink ref="AB434" r:id="rId443"/>
    <hyperlink ref="AB435" r:id="rId444"/>
    <hyperlink ref="AB645" r:id="rId445"/>
    <hyperlink ref="AB431" r:id="rId446"/>
    <hyperlink ref="AB166" r:id="rId447" display="https://www.jivi.com.ar/ficha.php?id=1660"/>
    <hyperlink ref="AB147" r:id="rId448" display="https://www.jivi.com.ar/ficha.php?id=1663"/>
    <hyperlink ref="AB99" r:id="rId449" display="https://www.jivi.com.ar/ficha.php?id=440"/>
    <hyperlink ref="AB646" r:id="rId450"/>
    <hyperlink ref="AB652" r:id="rId451"/>
    <hyperlink ref="AB657" r:id="rId452"/>
    <hyperlink ref="AB493" r:id="rId453" display="https://www.jivi.com.ar/ficha.php?id=1684"/>
    <hyperlink ref="AB366" r:id="rId454" display="https://www.jivi.com.ar/ficha.php?id=1272"/>
    <hyperlink ref="AB364" r:id="rId455" display="https://www.jivi.com.ar/ficha.php?id=1687"/>
    <hyperlink ref="AB362" r:id="rId456" display="https://www.jivi.com.ar/ficha.php?id=1672"/>
    <hyperlink ref="AB546" r:id="rId457" display="https://www.jivi.com.ar/ficha.php?id=1690"/>
    <hyperlink ref="AB486" r:id="rId458" display="https://www.jivi.com.ar/ficha.php?id=1691"/>
    <hyperlink ref="AB498" r:id="rId459" display="https://www.jivi.com.ar/ficha.php?id=1438"/>
    <hyperlink ref="AF479:AH479" location="'Artículos Publicitarios'!A3" display="IR A PAGINA 1"/>
    <hyperlink ref="AF516:AH516" location="'Artículos Publicitarios'!A3" display="IR A PAGINA 1"/>
    <hyperlink ref="AB410" r:id="rId460" display="https://www.jivi.com.ar/ficha.php?id=1695"/>
    <hyperlink ref="AB28" r:id="rId461" display="https://www.jivi.com.ar/ficha.php?id=36"/>
    <hyperlink ref="AB484" r:id="rId462"/>
    <hyperlink ref="AB485" r:id="rId463" display="https://www.jivi.com.ar/ficha.php?id=1698"/>
    <hyperlink ref="AB411" r:id="rId464" display="https://www.jivi.com.ar/ficha.php?id=1699"/>
    <hyperlink ref="AB474" r:id="rId465"/>
    <hyperlink ref="AB379" r:id="rId466" display="https://www.jivi.com.ar/ficha.php?id=1462"/>
    <hyperlink ref="AB233" r:id="rId467" display="https://www.jivi.com.ar/ficha.php?id=1531"/>
    <hyperlink ref="AB231" r:id="rId468" display="https://www.jivi.com.ar/ficha.php?id=1528"/>
    <hyperlink ref="AB417" r:id="rId469"/>
    <hyperlink ref="AB338" r:id="rId470" display="https://www.jivi.com.ar/ficha.php?id=977"/>
    <hyperlink ref="AB404" r:id="rId471" display="https://www.jivi.com.ar/ficha.php?id=1457"/>
    <hyperlink ref="AB403" r:id="rId472" display="https://www.jivi.com.ar/ficha.php?id=1456"/>
    <hyperlink ref="AB339" r:id="rId473" display="https://www.jivi.com.ar/ficha.php?id=1707"/>
    <hyperlink ref="AB340" r:id="rId474" display="https://www.jivi.com.ar/ficha.php?id=1708"/>
    <hyperlink ref="AB407" r:id="rId475"/>
    <hyperlink ref="AB483" r:id="rId476" display="https://www.jivi.com.ar/ficha.php?id=1722"/>
    <hyperlink ref="AB14" r:id="rId477" display="https://www.jivi.com.ar/ficha.php?id=1723"/>
    <hyperlink ref="AB184" r:id="rId478"/>
    <hyperlink ref="AB180" r:id="rId479"/>
    <hyperlink ref="AB182" r:id="rId480"/>
    <hyperlink ref="AB181" r:id="rId481"/>
    <hyperlink ref="AB183" r:id="rId482"/>
    <hyperlink ref="AB179" r:id="rId483"/>
    <hyperlink ref="AB612" r:id="rId484"/>
    <hyperlink ref="AB614" r:id="rId485"/>
    <hyperlink ref="AB634" r:id="rId486"/>
    <hyperlink ref="AB636" r:id="rId487"/>
    <hyperlink ref="AB619" r:id="rId488"/>
    <hyperlink ref="AB570" r:id="rId489" display="https://www.jivi.com.ar/ficha.php?id=1575"/>
    <hyperlink ref="AB565" r:id="rId490" display="https://www.jivi.com.ar/ficha.php?id=1743"/>
    <hyperlink ref="AB566" r:id="rId491" display="https://www.jivi.com.ar/ficha.php?id=1744"/>
    <hyperlink ref="AB567" r:id="rId492" display="https://www.jivi.com.ar/ficha.php?id=1745"/>
    <hyperlink ref="AB533" r:id="rId493" display="https://www.jivi.com.ar/ficha.php?id=1746"/>
    <hyperlink ref="AB609" r:id="rId494"/>
    <hyperlink ref="AB481" r:id="rId495"/>
    <hyperlink ref="AB482" r:id="rId496" display="https://www.jivi.com.ar/ficha.php?id=1749"/>
    <hyperlink ref="AB523" r:id="rId497"/>
    <hyperlink ref="AB655" r:id="rId498"/>
    <hyperlink ref="AB408" r:id="rId499"/>
    <hyperlink ref="AB286" r:id="rId500" display="https://www.jivi.com.ar/ficha.php?id=1461"/>
    <hyperlink ref="AB547" r:id="rId501" display="https://www.jivi.com.ar/ficha.php?id=1776"/>
    <hyperlink ref="AB125" r:id="rId502" display="https://www.jivi.com.ar/ficha.php?id=1310"/>
    <hyperlink ref="AB450" r:id="rId503"/>
    <hyperlink ref="AB63" r:id="rId504" display="https://www.jivi.com.ar/ficha.php?id=76"/>
    <hyperlink ref="AB62" r:id="rId505"/>
    <hyperlink ref="AB61" r:id="rId506"/>
    <hyperlink ref="AB226" r:id="rId507" display="https://www.jivi.com.ar/ficha.php?id=1709"/>
    <hyperlink ref="AB574" r:id="rId508" display="https://www.jivi.com.ar/ficha.php?id=1710"/>
    <hyperlink ref="AB580" r:id="rId509"/>
    <hyperlink ref="AB582" r:id="rId510"/>
    <hyperlink ref="AB583" r:id="rId511"/>
    <hyperlink ref="AB586" r:id="rId512"/>
    <hyperlink ref="AB585" r:id="rId513"/>
    <hyperlink ref="AB529" r:id="rId514" display="https://www.jivi.com.ar/ficha.php?id=1293"/>
    <hyperlink ref="AB254" r:id="rId515" display="https://www.jivi.com.ar/ficha.php?id=1340"/>
    <hyperlink ref="AB257" r:id="rId516" display="https://www.jivi.com.ar/ficha.php?id=1265"/>
    <hyperlink ref="AB247" r:id="rId517" display="https://www.jivi.com.ar/ficha.php?id=1487"/>
    <hyperlink ref="AB116" r:id="rId518"/>
    <hyperlink ref="AB121" r:id="rId519"/>
    <hyperlink ref="AB117" r:id="rId520"/>
    <hyperlink ref="AB200" r:id="rId521" display="https://www.jivi.com.ar/ficha.php?id=1319"/>
    <hyperlink ref="AB122" r:id="rId522"/>
    <hyperlink ref="AB290" r:id="rId523" display="https://www.jivi.com.ar/ficha.php?id=1447"/>
    <hyperlink ref="AB349" r:id="rId524" display="https://www.jivi.com.ar/ficha.php?id=1087"/>
    <hyperlink ref="AB453" r:id="rId525"/>
    <hyperlink ref="AB129" r:id="rId526" display="https://www.jivi.com.ar/ficha.php?id=1451"/>
    <hyperlink ref="AB251" r:id="rId527"/>
    <hyperlink ref="AB343" r:id="rId528" display="https://www.jivi.com.ar/ficha.php?id=1805"/>
    <hyperlink ref="AB301" r:id="rId529" display="https://www.jivi.com.ar/ficha.php?id=1342"/>
    <hyperlink ref="AB350" r:id="rId530" display="https://www.jivi.com.ar/ficha.php?id=1070"/>
    <hyperlink ref="AB353" r:id="rId531"/>
    <hyperlink ref="AB347" r:id="rId532" display="https://www.jivi.com.ar/ficha.php?id=1299"/>
    <hyperlink ref="AB427" r:id="rId533"/>
    <hyperlink ref="AB413" r:id="rId534" display="https://www.jivi.com.ar/ficha.php?id=1597"/>
    <hyperlink ref="AB355" r:id="rId535" display="https://www.jivi.com.ar/ficha.php?id=1131"/>
    <hyperlink ref="AB274" r:id="rId536" display="https://www.jivi.com.ar/ficha.php?id=1774"/>
    <hyperlink ref="AB389" r:id="rId537" display="https://www.jivi.com.ar/ficha.php?id=1820"/>
    <hyperlink ref="AB230" r:id="rId538" display="https://www.jivi.com.ar/ficha.php?id=1544"/>
    <hyperlink ref="AB240" r:id="rId539" display="https://www.jivi.com.ar/ficha.php?id=1533"/>
    <hyperlink ref="AF10:AH10" location="'Artículos Publicitarios'!A101" display="IR A PAGINA 2"/>
    <hyperlink ref="AB548" r:id="rId540" display="https://www.jivi.com.ar/ficha.php?id=1556"/>
    <hyperlink ref="AB568" r:id="rId541" display="https://www.jivi.com.ar/ficha.php?id=1825"/>
    <hyperlink ref="AB265" r:id="rId542" display="https://www.jivi.com.ar/ficha.php?id=1491"/>
    <hyperlink ref="AB186" r:id="rId543" display="https://www.jivi.com.ar/ficha.php?id=1491"/>
    <hyperlink ref="AB276" r:id="rId544" display="https://www.jivi.com.ar/ficha.php?id=1594"/>
    <hyperlink ref="AB405" r:id="rId545"/>
    <hyperlink ref="AB197" r:id="rId546" display="https://www.jivi.com.ar/ficha.php?id=1799"/>
    <hyperlink ref="AB650" r:id="rId547"/>
    <hyperlink ref="AB651" r:id="rId548"/>
    <hyperlink ref="AB260" r:id="rId549" display="https://www.jivi.com.ar/ficha.php?id=1077"/>
    <hyperlink ref="AB329" r:id="rId550"/>
    <hyperlink ref="AB571" r:id="rId551" display="https://www.jivi.com.ar/ficha.php?id=1616"/>
    <hyperlink ref="AB245" r:id="rId552" display="https://www.jivi.com.ar/ficha.php?id=1520"/>
    <hyperlink ref="AB252" r:id="rId553"/>
    <hyperlink ref="AB292" r:id="rId554" display="https://www.jivi.com.ar/ficha.php?id=1443"/>
    <hyperlink ref="AB128" r:id="rId555" display="https://www.jivi.com.ar/ficha.php?id=1055"/>
    <hyperlink ref="AB613" r:id="rId556"/>
    <hyperlink ref="AB635" r:id="rId557"/>
    <hyperlink ref="AB232" r:id="rId558" display="https://www.jivi.com.ar/ficha.php?id=1530"/>
    <hyperlink ref="AB374" r:id="rId559" display="https://www.jivi.com.ar/ficha.php?id=1379"/>
    <hyperlink ref="AB373" r:id="rId560" display="https://www.jivi.com.ar/ficha.php?id=1380"/>
    <hyperlink ref="AB344" r:id="rId561" display="https://www.jivi.com.ar/ficha.php?id=1840"/>
    <hyperlink ref="AB518" r:id="rId562" display="https://www.jivi.com.ar/ficha.php?id=1371"/>
    <hyperlink ref="AB584" r:id="rId563"/>
    <hyperlink ref="AB535" r:id="rId564" display="https://www.jivi.com.ar/ficha.php?id=1579"/>
    <hyperlink ref="AB530" r:id="rId565" display="https://www.jivi.com.ar/ficha.php?id=1138"/>
    <hyperlink ref="AB519" r:id="rId566" display="https://www.jivi.com.ar/ficha.php?id=1911"/>
    <hyperlink ref="AB521" r:id="rId567" display="https://www.jivi.com.ar/ficha.php?id=1916"/>
    <hyperlink ref="AB520" r:id="rId568" display="https://www.jivi.com.ar/ficha.php?id=1912"/>
    <hyperlink ref="AF561:AH561" location="'Artículos Publicitarios'!A3" display="IR A PAGINA 1"/>
    <hyperlink ref="AF641:AH641" location="'Artículos Publicitarios'!A3" display="IR A PAGINA 1"/>
    <hyperlink ref="AF15:AI15" location="'Artículos Publicitarios'!A502" display="IR A PAGINA 7"/>
    <hyperlink ref="AF16:AI16" location="'Artículos Publicitarios'!A584" display="IR A PAGINA 8"/>
    <hyperlink ref="AB387" r:id="rId569" display="https://www.jivi.com.ar/ficha.php?id=1386"/>
    <hyperlink ref="AB615" r:id="rId570"/>
    <hyperlink ref="AB361" r:id="rId571" display="https://www.jivi.com.ar/ficha.php?id=1566"/>
    <hyperlink ref="AB227" r:id="rId572" display="https://www.jivi.com.ar/ficha.php?id=1998"/>
    <hyperlink ref="AB266" r:id="rId573" display="https://www.jivi.com.ar/ficha.php?id=1411"/>
    <hyperlink ref="AB549" r:id="rId574" display="https://www.jivi.com.ar/ficha.php?id=2000"/>
    <hyperlink ref="AB538" r:id="rId575" display="https://www.jivi.com.ar/ficha.php?id=2002"/>
    <hyperlink ref="AB553" r:id="rId576" display="https://www.jivi.com.ar/ficha.php?id=1601"/>
    <hyperlink ref="AB534" r:id="rId577" display="https://www.jivi.com.ar/ficha.php?id=1577"/>
    <hyperlink ref="AB531" r:id="rId578" display="https://www.jivi.com.ar/ficha.php?id=1245"/>
    <hyperlink ref="AB555" r:id="rId579" display="https://www.jivi.com.ar/ficha.php?id=2003"/>
    <hyperlink ref="AB241" r:id="rId580" display="https://www.jivi.com.ar/ficha.php?id=2007"/>
    <hyperlink ref="AB165" r:id="rId581" display="https://www.jivi.com.ar/ficha.php?id=1258"/>
    <hyperlink ref="AB436" r:id="rId582"/>
    <hyperlink ref="AB430" r:id="rId583"/>
    <hyperlink ref="AB429" r:id="rId584"/>
    <hyperlink ref="AB392" r:id="rId585" display="https://www.jivi.com.ar/ficha.php?id=1720"/>
    <hyperlink ref="AB458" r:id="rId586"/>
    <hyperlink ref="AB229" r:id="rId587" display="https://www.jivi.com.ar/ficha.php?id=2011"/>
    <hyperlink ref="AB348" r:id="rId588"/>
    <hyperlink ref="AB524" r:id="rId589" display="https://www.jivi.com.ar/ficha.php?id=2014"/>
    <hyperlink ref="AB391" r:id="rId590" display="https://www.jivi.com.ar/ficha.php?id=2017"/>
    <hyperlink ref="AB412" r:id="rId591" display="https://www.jivi.com.ar/ficha.php?id=2018"/>
    <hyperlink ref="AB253" r:id="rId592" display="https://www.jivi.com.ar/ficha.php?id=1339"/>
  </hyperlinks>
  <pageMargins left="0.27559055118110237" right="0.11811023622047245" top="0.19685039370078741" bottom="0.15748031496062992" header="0.11811023622047245" footer="0.15748031496062992"/>
  <pageSetup paperSize="5" orientation="portrait" copies="5" r:id="rId593"/>
  <headerFooter alignWithMargins="0"/>
  <cellWatches>
    <cellWatch r="X8"/>
  </cellWatches>
  <ignoredErrors>
    <ignoredError sqref="AB634:AB635 AB609 AB619 AB636 AB645:AB649" numberStoredAsText="1"/>
    <ignoredError sqref="X602 B25:E25 C24:E24 A163 C163:E163 A189:E189 A103:E104 H395:Q395 C26:E26 H54:I54 G55:I56 H616:L618 G261 G263 B146:E146 C222:E222 G315:W315 U29 S37:S38 S34 U34 U37:U38 S40 U40 G53:I53 H442 H443:M443 H444:M444 H445:M445 H446:M446 H447:M447 J442:M442 S46 U46 F475:T475 W471 G332:G334 G272:M272 F206 G189 V91:W92 F81:I88 F90:I90 F89:I89 Q105 I57:I59 U105 S105 J80:J90 B256:E256 W512:W513 H273:M273 G94:G98 H331:J335 G80:I80 G100:G104 H351:J351 G268:M268 G269:M269 G270:M270 G271:M271 H93:W93 J10:L10 W97 X205:X207 G336:G337 J12:L12 X11 F473 W57 G483:G494 G497 G619:W619 H611:V612 G499:G511 G146 H130:I130 O107:O108 S107:S108 Q107:Q108 U107:U108 W416:X416 G255:G256 V26:V27 S29 H29:M29 H27:I27 W59 G68 I125:V125 U20:V22 G345:J346 G375:G378 G341:J342 I129 G356:J359 H354:J354 G287:G289 N268:V272 M10:V12 O29 Q29 H28:V28 W68 J64:V68 J63:W63 H61:I68 N109:Q110 J148:V148 G161:G164 I176:M176 I175:M175 I174:M174 I177:M177 H174:H177 H179:K179 H180:K184 P216:W216 P215 G380:G385 I13:V14 H17:T26 H14:H16 K27:U27 H145:W147 G178:W178 H214:W214 F432 W426 G451:G452 W481:W482 H512:I513 K512:K513 U512:U513 S512:S513 Q512:Q513 O512:O513 M512:M513 G636:H636 H144:I144 H140:I140 K140:U140 H141:U143 L144:W144 V140:W143 G248:G251 G295 G280:G285 G185 I263:V263 I126:K127 O126 Q126 S126 U126 J53:V62 W223 M126:M127 H344:K344 G297:G300 H375:K385 G614:V614 G274:G275 G291:G292 J128:V130 H613:I613 G634:H634 G232:G234 G322:K322 J373:K374 F520 G519:G521 H306:V314 K324:K326 G327:K328 K330:K335 K338:W340 K342:K343 P337 Q337 R337:W337 W332:W335 L322:V335 W343 K341:U341 G369:K372 G368:V368 K349:K359 H362:V366 G386:K386 G416:G420 F413:G414 H336:W336 H337:N337 W301:W302 H387:W387 N174:V177 W179 W184 M179:V184 H185:V189 G208:W213 G196:W201 H202:M202 G202 P207:W207 G207:O207 G205:W206 N202:W202 G203:S204 G216:O216 G215:N215 G267:V267 G277:G278 W279 H305:W305 H166:W173 G154:V154 G580:G583 H609:W609 H437:H439 H440:V441 I438:V439 I437:N437 O437:V437 G437:G441 G217:V222 H650:T660 G448:G449 L369:V386 L354:V359 G360:V360 J361:V361 H96:V104 N94:W94 H95:W95 H94:M94 J124:V124 G223 W243 G242:V243 H264:V266 H274:V304 H254:W262 F549:G549 G546 B555:G555 B556:G556 H643:V647 K648:T648 L342:V346 K345:K347 L347:Q347 L349:V352 H241:V241 H160:W164 G165:V165 J436:V436 G421:V425 G431:G432 G367:M367 W454 G459:G465 G467:G468 H459:V468 G469:W470 G471:V474 H580:V592 H481:V505 H546:W556 H525:V545 F564:V574 G454:V457 H458:I458 L458:V458 H223:V234 F240:V240 N348:V348 H507:V511 H506:O506 R506:V506 H518:V523 L353:W353 G388:V390 G392:V394 B391:V391 B392:F394 H401:V411 H412:W412 H413:V420 F433:G436 G426:G428 H426:V435 H244:W252 H253:V253 K321:V321 K320:V320 F400:V400 G563:V563 I524:V524 G615 L615 J615 K615 M615 O615 Q615 S615 U615 I615 V615 T615 R615 P615 N615 W613 M613 O613 Q613 S613 U613 J613:K613 L613 V613 T613 R613 P613 N613 U634 S634 Q634 O634 M634 K634 I634 I636 I635:V635 J636:V636 J634 L634 N634 P634 R634 T634 V634" formula="1"/>
    <ignoredError sqref="G352 G523" evalError="1"/>
    <ignoredError sqref="H352:J352" evalError="1" formula="1"/>
  </ignoredErrors>
  <drawing r:id="rId594"/>
  <legacyDrawing r:id="rId59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7" sqref="B7"/>
    </sheetView>
  </sheetViews>
  <sheetFormatPr baseColWidth="10" defaultColWidth="9.140625" defaultRowHeight="12.75" x14ac:dyDescent="0.2"/>
  <cols>
    <col min="1" max="256" width="11.42578125" customWidth="1"/>
  </cols>
  <sheetData>
    <row r="1" spans="1:1" x14ac:dyDescent="0.2">
      <c r="A1" s="38"/>
    </row>
  </sheetData>
  <phoneticPr fontId="4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Artículos Publicitarios</vt:lpstr>
      <vt:lpstr>Hoja1</vt:lpstr>
    </vt:vector>
  </TitlesOfParts>
  <Company>JIVI PROPAGANDA S.R.L.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JIVI PROPAGANDA S.R.L.</dc:creator>
  <dc:description>Esta lista puede variar sin previo aviso.</dc:description>
  <cp:lastModifiedBy>Usuario</cp:lastModifiedBy>
  <cp:revision/>
  <cp:lastPrinted>2024-11-21T11:19:28Z</cp:lastPrinted>
  <dcterms:created xsi:type="dcterms:W3CDTF">2003-01-03T20:20:32Z</dcterms:created>
  <dcterms:modified xsi:type="dcterms:W3CDTF">2024-11-21T13:47:37Z</dcterms:modified>
</cp:coreProperties>
</file>