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3" i="1" l="1"/>
  <c r="F197" i="1"/>
  <c r="F348" i="1"/>
  <c r="F379" i="1"/>
  <c r="F342" i="1"/>
  <c r="F361" i="1"/>
  <c r="F300" i="1"/>
  <c r="F369" i="1"/>
  <c r="F392" i="1"/>
  <c r="F422" i="1"/>
  <c r="F421" i="1"/>
  <c r="F567" i="1"/>
  <c r="F566" i="1"/>
  <c r="F568" i="1"/>
  <c r="F653" i="1"/>
  <c r="F652" i="1"/>
  <c r="F654" i="1"/>
  <c r="F651" i="1"/>
  <c r="H582" i="1"/>
  <c r="I582" i="1" s="1"/>
  <c r="H581" i="1"/>
  <c r="I581" i="1" s="1"/>
  <c r="H580" i="1"/>
  <c r="I580" i="1" s="1"/>
  <c r="H579" i="1"/>
  <c r="I579" i="1" s="1"/>
  <c r="H578" i="1"/>
  <c r="I578" i="1" s="1"/>
  <c r="H577" i="1"/>
  <c r="I577" i="1" s="1"/>
  <c r="H576" i="1"/>
  <c r="V583" i="1"/>
  <c r="W583" i="1" s="1"/>
  <c r="T583" i="1"/>
  <c r="U583" i="1" s="1"/>
  <c r="R583" i="1"/>
  <c r="S583" i="1" s="1"/>
  <c r="P583" i="1"/>
  <c r="Q583" i="1" s="1"/>
  <c r="N583" i="1"/>
  <c r="O583" i="1" s="1"/>
  <c r="L583" i="1"/>
  <c r="M583" i="1" s="1"/>
  <c r="J583" i="1"/>
  <c r="K583" i="1" s="1"/>
  <c r="V582" i="1"/>
  <c r="W582" i="1" s="1"/>
  <c r="T582" i="1"/>
  <c r="U582" i="1" s="1"/>
  <c r="R582" i="1"/>
  <c r="S582" i="1" s="1"/>
  <c r="P582" i="1"/>
  <c r="Q582" i="1" s="1"/>
  <c r="N582" i="1"/>
  <c r="O582" i="1" s="1"/>
  <c r="L582" i="1"/>
  <c r="M582" i="1" s="1"/>
  <c r="J582" i="1"/>
  <c r="K582" i="1" s="1"/>
  <c r="V581" i="1"/>
  <c r="W581" i="1" s="1"/>
  <c r="T581" i="1"/>
  <c r="U581" i="1" s="1"/>
  <c r="R581" i="1"/>
  <c r="S581" i="1" s="1"/>
  <c r="P581" i="1"/>
  <c r="Q581" i="1" s="1"/>
  <c r="N581" i="1"/>
  <c r="O581" i="1" s="1"/>
  <c r="L581" i="1"/>
  <c r="M581" i="1" s="1"/>
  <c r="J581" i="1"/>
  <c r="K581" i="1" s="1"/>
  <c r="V580" i="1"/>
  <c r="W580" i="1" s="1"/>
  <c r="T580" i="1"/>
  <c r="U580" i="1" s="1"/>
  <c r="R580" i="1"/>
  <c r="S580" i="1" s="1"/>
  <c r="P580" i="1"/>
  <c r="Q580" i="1" s="1"/>
  <c r="N580" i="1"/>
  <c r="O580" i="1" s="1"/>
  <c r="L580" i="1"/>
  <c r="M580" i="1" s="1"/>
  <c r="J580" i="1"/>
  <c r="K580" i="1" s="1"/>
  <c r="V579" i="1"/>
  <c r="W579" i="1" s="1"/>
  <c r="T579" i="1"/>
  <c r="U579" i="1" s="1"/>
  <c r="R579" i="1"/>
  <c r="S579" i="1" s="1"/>
  <c r="P579" i="1"/>
  <c r="Q579" i="1" s="1"/>
  <c r="N579" i="1"/>
  <c r="O579" i="1" s="1"/>
  <c r="L579" i="1"/>
  <c r="M579" i="1" s="1"/>
  <c r="J579" i="1"/>
  <c r="K579" i="1" s="1"/>
  <c r="V578" i="1"/>
  <c r="W578" i="1" s="1"/>
  <c r="T578" i="1"/>
  <c r="U578" i="1" s="1"/>
  <c r="R578" i="1"/>
  <c r="S578" i="1" s="1"/>
  <c r="P578" i="1"/>
  <c r="Q578" i="1" s="1"/>
  <c r="N578" i="1"/>
  <c r="O578" i="1" s="1"/>
  <c r="L578" i="1"/>
  <c r="M578" i="1" s="1"/>
  <c r="J578" i="1"/>
  <c r="K578" i="1" s="1"/>
  <c r="V577" i="1"/>
  <c r="W577" i="1" s="1"/>
  <c r="T577" i="1"/>
  <c r="U577" i="1" s="1"/>
  <c r="R577" i="1"/>
  <c r="S577" i="1" s="1"/>
  <c r="P577" i="1"/>
  <c r="Q577" i="1" s="1"/>
  <c r="N577" i="1"/>
  <c r="O577" i="1" s="1"/>
  <c r="L577" i="1"/>
  <c r="M577" i="1" s="1"/>
  <c r="J577" i="1"/>
  <c r="K577" i="1" s="1"/>
  <c r="V576" i="1"/>
  <c r="W576" i="1" s="1"/>
  <c r="T576" i="1"/>
  <c r="U576" i="1" s="1"/>
  <c r="R576" i="1"/>
  <c r="S576" i="1" s="1"/>
  <c r="P576" i="1"/>
  <c r="Q576" i="1" s="1"/>
  <c r="N576" i="1"/>
  <c r="O576" i="1" s="1"/>
  <c r="L576" i="1"/>
  <c r="M576" i="1" s="1"/>
  <c r="J576" i="1"/>
  <c r="K576" i="1" s="1"/>
  <c r="V575" i="1"/>
  <c r="W575" i="1" s="1"/>
  <c r="T575" i="1"/>
  <c r="U575" i="1" s="1"/>
  <c r="R575" i="1"/>
  <c r="S575" i="1" s="1"/>
  <c r="P575" i="1"/>
  <c r="Q575" i="1" s="1"/>
  <c r="N575" i="1"/>
  <c r="O575" i="1" s="1"/>
  <c r="L575" i="1"/>
  <c r="M575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84" i="1"/>
  <c r="W584" i="1" s="1"/>
  <c r="T584" i="1"/>
  <c r="U584" i="1" s="1"/>
  <c r="R584" i="1"/>
  <c r="S584" i="1" s="1"/>
  <c r="P584" i="1"/>
  <c r="Q584" i="1" s="1"/>
  <c r="N584" i="1"/>
  <c r="O584" i="1" s="1"/>
  <c r="L584" i="1"/>
  <c r="M584" i="1" s="1"/>
  <c r="J584" i="1"/>
  <c r="K584" i="1" s="1"/>
  <c r="V585" i="1"/>
  <c r="T585" i="1"/>
  <c r="R585" i="1"/>
  <c r="P585" i="1"/>
  <c r="N585" i="1"/>
  <c r="J585" i="1"/>
  <c r="L585" i="1"/>
  <c r="F130" i="1"/>
  <c r="F129" i="1"/>
  <c r="F147" i="1"/>
  <c r="F291" i="1" l="1"/>
  <c r="G291" i="1" s="1"/>
  <c r="F293" i="1"/>
  <c r="G293" i="1" s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297" i="1"/>
  <c r="W297" i="1" s="1"/>
  <c r="T297" i="1"/>
  <c r="U297" i="1" s="1"/>
  <c r="S297" i="1"/>
  <c r="R297" i="1"/>
  <c r="P297" i="1"/>
  <c r="Q297" i="1" s="1"/>
  <c r="N297" i="1"/>
  <c r="O297" i="1" s="1"/>
  <c r="L297" i="1"/>
  <c r="M297" i="1" s="1"/>
  <c r="J297" i="1"/>
  <c r="K297" i="1" s="1"/>
  <c r="H297" i="1"/>
  <c r="I297" i="1" s="1"/>
  <c r="V296" i="1"/>
  <c r="W296" i="1" s="1"/>
  <c r="U296" i="1"/>
  <c r="T296" i="1"/>
  <c r="R296" i="1"/>
  <c r="S296" i="1" s="1"/>
  <c r="P296" i="1"/>
  <c r="Q296" i="1" s="1"/>
  <c r="O296" i="1"/>
  <c r="N296" i="1"/>
  <c r="L296" i="1"/>
  <c r="M296" i="1" s="1"/>
  <c r="J296" i="1"/>
  <c r="K296" i="1" s="1"/>
  <c r="H296" i="1"/>
  <c r="I296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V290" i="1"/>
  <c r="W290" i="1" s="1"/>
  <c r="T290" i="1"/>
  <c r="U290" i="1" s="1"/>
  <c r="R290" i="1"/>
  <c r="S290" i="1" s="1"/>
  <c r="P290" i="1"/>
  <c r="Q290" i="1" s="1"/>
  <c r="O290" i="1"/>
  <c r="N290" i="1"/>
  <c r="L290" i="1"/>
  <c r="M290" i="1" s="1"/>
  <c r="J290" i="1"/>
  <c r="K290" i="1" s="1"/>
  <c r="I290" i="1"/>
  <c r="H290" i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H286" i="1"/>
  <c r="I286" i="1" s="1"/>
  <c r="V285" i="1"/>
  <c r="W285" i="1" s="1"/>
  <c r="T285" i="1"/>
  <c r="U285" i="1" s="1"/>
  <c r="S285" i="1"/>
  <c r="R285" i="1"/>
  <c r="Q285" i="1"/>
  <c r="P285" i="1"/>
  <c r="N285" i="1"/>
  <c r="O285" i="1" s="1"/>
  <c r="L285" i="1"/>
  <c r="M285" i="1" s="1"/>
  <c r="J285" i="1"/>
  <c r="K285" i="1" s="1"/>
  <c r="I285" i="1"/>
  <c r="H285" i="1"/>
  <c r="V284" i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H284" i="1"/>
  <c r="I284" i="1" s="1"/>
  <c r="V283" i="1"/>
  <c r="W283" i="1" s="1"/>
  <c r="T283" i="1"/>
  <c r="U283" i="1" s="1"/>
  <c r="S283" i="1"/>
  <c r="R283" i="1"/>
  <c r="P283" i="1"/>
  <c r="Q283" i="1" s="1"/>
  <c r="N283" i="1"/>
  <c r="O283" i="1" s="1"/>
  <c r="L283" i="1"/>
  <c r="M283" i="1" s="1"/>
  <c r="J283" i="1"/>
  <c r="K283" i="1" s="1"/>
  <c r="H283" i="1"/>
  <c r="I283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V281" i="1"/>
  <c r="W281" i="1" s="1"/>
  <c r="U281" i="1"/>
  <c r="T281" i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78" i="1"/>
  <c r="W278" i="1" s="1"/>
  <c r="T278" i="1"/>
  <c r="U278" i="1" s="1"/>
  <c r="S278" i="1"/>
  <c r="R278" i="1"/>
  <c r="P278" i="1"/>
  <c r="Q278" i="1" s="1"/>
  <c r="N278" i="1"/>
  <c r="O278" i="1" s="1"/>
  <c r="L278" i="1"/>
  <c r="M278" i="1" s="1"/>
  <c r="J278" i="1"/>
  <c r="K278" i="1" s="1"/>
  <c r="H278" i="1"/>
  <c r="I278" i="1" s="1"/>
  <c r="V275" i="1"/>
  <c r="W275" i="1" s="1"/>
  <c r="U275" i="1"/>
  <c r="T275" i="1"/>
  <c r="R275" i="1"/>
  <c r="S275" i="1" s="1"/>
  <c r="P275" i="1"/>
  <c r="Q275" i="1" s="1"/>
  <c r="N275" i="1"/>
  <c r="O275" i="1" s="1"/>
  <c r="L275" i="1"/>
  <c r="M275" i="1" s="1"/>
  <c r="V274" i="1"/>
  <c r="W274" i="1" s="1"/>
  <c r="T274" i="1"/>
  <c r="U274" i="1" s="1"/>
  <c r="S274" i="1"/>
  <c r="R274" i="1"/>
  <c r="P274" i="1"/>
  <c r="Q274" i="1" s="1"/>
  <c r="N274" i="1"/>
  <c r="O274" i="1" s="1"/>
  <c r="L274" i="1"/>
  <c r="M274" i="1" s="1"/>
  <c r="V273" i="1"/>
  <c r="W273" i="1" s="1"/>
  <c r="T273" i="1"/>
  <c r="U273" i="1" s="1"/>
  <c r="R273" i="1"/>
  <c r="S273" i="1" s="1"/>
  <c r="P273" i="1"/>
  <c r="Q273" i="1" s="1"/>
  <c r="N273" i="1"/>
  <c r="O273" i="1" s="1"/>
  <c r="L273" i="1"/>
  <c r="M273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V227" i="1"/>
  <c r="W227" i="1" s="1"/>
  <c r="T227" i="1"/>
  <c r="U227" i="1" s="1"/>
  <c r="S227" i="1"/>
  <c r="R227" i="1"/>
  <c r="P227" i="1"/>
  <c r="Q227" i="1" s="1"/>
  <c r="O227" i="1"/>
  <c r="N227" i="1"/>
  <c r="L227" i="1"/>
  <c r="M227" i="1" s="1"/>
  <c r="J227" i="1"/>
  <c r="K227" i="1" s="1"/>
  <c r="I227" i="1"/>
  <c r="H227" i="1"/>
  <c r="V225" i="1"/>
  <c r="W225" i="1" s="1"/>
  <c r="U225" i="1"/>
  <c r="T225" i="1"/>
  <c r="R225" i="1"/>
  <c r="S225" i="1" s="1"/>
  <c r="P225" i="1"/>
  <c r="Q225" i="1" s="1"/>
  <c r="N225" i="1"/>
  <c r="O225" i="1" s="1"/>
  <c r="L225" i="1"/>
  <c r="M225" i="1" s="1"/>
  <c r="J225" i="1"/>
  <c r="K225" i="1" s="1"/>
  <c r="I225" i="1"/>
  <c r="H225" i="1"/>
  <c r="L224" i="1"/>
  <c r="J224" i="1"/>
  <c r="H224" i="1"/>
  <c r="N224" i="1"/>
  <c r="T224" i="1"/>
  <c r="R224" i="1"/>
  <c r="P224" i="1"/>
  <c r="V224" i="1"/>
  <c r="L215" i="1"/>
  <c r="N214" i="1"/>
  <c r="O214" i="1" s="1"/>
  <c r="L214" i="1"/>
  <c r="M214" i="1" s="1"/>
  <c r="J214" i="1"/>
  <c r="K214" i="1" s="1"/>
  <c r="V203" i="1"/>
  <c r="W203" i="1" s="1"/>
  <c r="U203" i="1"/>
  <c r="T203" i="1"/>
  <c r="V202" i="1"/>
  <c r="W202" i="1" s="1"/>
  <c r="T202" i="1"/>
  <c r="U202" i="1" s="1"/>
  <c r="W212" i="1"/>
  <c r="V212" i="1"/>
  <c r="T212" i="1"/>
  <c r="U212" i="1" s="1"/>
  <c r="R212" i="1"/>
  <c r="S212" i="1" s="1"/>
  <c r="P212" i="1"/>
  <c r="Q212" i="1" s="1"/>
  <c r="N212" i="1"/>
  <c r="O212" i="1" s="1"/>
  <c r="L212" i="1"/>
  <c r="M212" i="1" s="1"/>
  <c r="K212" i="1"/>
  <c r="J212" i="1"/>
  <c r="V211" i="1"/>
  <c r="W211" i="1" s="1"/>
  <c r="T211" i="1"/>
  <c r="U211" i="1" s="1"/>
  <c r="S211" i="1"/>
  <c r="R211" i="1"/>
  <c r="P211" i="1"/>
  <c r="Q211" i="1" s="1"/>
  <c r="O211" i="1"/>
  <c r="N211" i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1" i="1"/>
  <c r="W201" i="1" s="1"/>
  <c r="T201" i="1"/>
  <c r="U201" i="1" s="1"/>
  <c r="R201" i="1"/>
  <c r="S201" i="1" s="1"/>
  <c r="Q201" i="1"/>
  <c r="P201" i="1"/>
  <c r="N201" i="1"/>
  <c r="O201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3" i="1"/>
  <c r="T183" i="1"/>
  <c r="R183" i="1"/>
  <c r="P183" i="1"/>
  <c r="N183" i="1"/>
  <c r="L183" i="1"/>
  <c r="V181" i="1"/>
  <c r="W181" i="1" s="1"/>
  <c r="T181" i="1"/>
  <c r="U181" i="1" s="1"/>
  <c r="S181" i="1"/>
  <c r="R181" i="1"/>
  <c r="P181" i="1"/>
  <c r="Q181" i="1" s="1"/>
  <c r="O181" i="1"/>
  <c r="N181" i="1"/>
  <c r="L181" i="1"/>
  <c r="M181" i="1" s="1"/>
  <c r="V180" i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V179" i="1"/>
  <c r="W179" i="1" s="1"/>
  <c r="U179" i="1"/>
  <c r="T179" i="1"/>
  <c r="S179" i="1"/>
  <c r="R179" i="1"/>
  <c r="P179" i="1"/>
  <c r="Q179" i="1" s="1"/>
  <c r="N179" i="1"/>
  <c r="O179" i="1" s="1"/>
  <c r="L179" i="1"/>
  <c r="M179" i="1" s="1"/>
  <c r="V178" i="1"/>
  <c r="T178" i="1"/>
  <c r="R178" i="1"/>
  <c r="P178" i="1"/>
  <c r="N178" i="1"/>
  <c r="L178" i="1"/>
  <c r="V176" i="1"/>
  <c r="W176" i="1" s="1"/>
  <c r="T176" i="1"/>
  <c r="U176" i="1" s="1"/>
  <c r="R176" i="1"/>
  <c r="S176" i="1" s="1"/>
  <c r="P176" i="1"/>
  <c r="Q176" i="1" s="1"/>
  <c r="N176" i="1"/>
  <c r="O176" i="1" s="1"/>
  <c r="V175" i="1"/>
  <c r="W175" i="1" s="1"/>
  <c r="T175" i="1"/>
  <c r="U175" i="1" s="1"/>
  <c r="R175" i="1"/>
  <c r="S175" i="1" s="1"/>
  <c r="P175" i="1"/>
  <c r="Q175" i="1" s="1"/>
  <c r="N175" i="1"/>
  <c r="O175" i="1" s="1"/>
  <c r="V174" i="1"/>
  <c r="W174" i="1" s="1"/>
  <c r="T174" i="1"/>
  <c r="U174" i="1" s="1"/>
  <c r="R174" i="1"/>
  <c r="S174" i="1" s="1"/>
  <c r="P174" i="1"/>
  <c r="Q174" i="1" s="1"/>
  <c r="N174" i="1"/>
  <c r="O174" i="1" s="1"/>
  <c r="V173" i="1"/>
  <c r="T173" i="1"/>
  <c r="R173" i="1"/>
  <c r="P173" i="1"/>
  <c r="N173" i="1"/>
  <c r="N160" i="1"/>
  <c r="O160" i="1" s="1"/>
  <c r="P160" i="1"/>
  <c r="R160" i="1"/>
  <c r="T160" i="1"/>
  <c r="U160" i="1" s="1"/>
  <c r="V160" i="1"/>
  <c r="W160" i="1" s="1"/>
  <c r="S160" i="1"/>
  <c r="Q160" i="1"/>
  <c r="L160" i="1"/>
  <c r="M160" i="1" s="1"/>
  <c r="R293" i="1" l="1"/>
  <c r="S293" i="1" s="1"/>
  <c r="T291" i="1"/>
  <c r="U291" i="1" s="1"/>
  <c r="V291" i="1"/>
  <c r="W291" i="1" s="1"/>
  <c r="H291" i="1"/>
  <c r="I291" i="1" s="1"/>
  <c r="J291" i="1"/>
  <c r="K291" i="1" s="1"/>
  <c r="L291" i="1"/>
  <c r="M291" i="1" s="1"/>
  <c r="N291" i="1"/>
  <c r="O291" i="1" s="1"/>
  <c r="P291" i="1"/>
  <c r="Q291" i="1" s="1"/>
  <c r="R291" i="1"/>
  <c r="S291" i="1" s="1"/>
  <c r="T293" i="1"/>
  <c r="U293" i="1" s="1"/>
  <c r="V293" i="1"/>
  <c r="W293" i="1" s="1"/>
  <c r="H293" i="1"/>
  <c r="I293" i="1" s="1"/>
  <c r="L293" i="1"/>
  <c r="M293" i="1" s="1"/>
  <c r="J293" i="1"/>
  <c r="K293" i="1" s="1"/>
  <c r="N293" i="1"/>
  <c r="O293" i="1" s="1"/>
  <c r="P293" i="1"/>
  <c r="Q293" i="1" s="1"/>
  <c r="F243" i="1" l="1"/>
  <c r="F229" i="1"/>
  <c r="T243" i="1" l="1"/>
  <c r="U243" i="1" s="1"/>
  <c r="R243" i="1"/>
  <c r="S243" i="1" s="1"/>
  <c r="H243" i="1"/>
  <c r="I243" i="1" s="1"/>
  <c r="P243" i="1"/>
  <c r="Q243" i="1" s="1"/>
  <c r="N243" i="1"/>
  <c r="O243" i="1" s="1"/>
  <c r="L243" i="1"/>
  <c r="M243" i="1" s="1"/>
  <c r="J243" i="1"/>
  <c r="K243" i="1" s="1"/>
  <c r="V243" i="1"/>
  <c r="W243" i="1" s="1"/>
  <c r="H229" i="1"/>
  <c r="I229" i="1" s="1"/>
  <c r="V229" i="1"/>
  <c r="W229" i="1" s="1"/>
  <c r="J229" i="1"/>
  <c r="K229" i="1" s="1"/>
  <c r="T229" i="1"/>
  <c r="U229" i="1" s="1"/>
  <c r="R229" i="1"/>
  <c r="S229" i="1" s="1"/>
  <c r="P229" i="1"/>
  <c r="Q229" i="1" s="1"/>
  <c r="N229" i="1"/>
  <c r="O229" i="1" s="1"/>
  <c r="L229" i="1"/>
  <c r="M229" i="1" s="1"/>
  <c r="F240" i="1"/>
  <c r="F384" i="1"/>
  <c r="T384" i="1" s="1"/>
  <c r="U384" i="1" s="1"/>
  <c r="F531" i="1"/>
  <c r="F443" i="1"/>
  <c r="F196" i="1"/>
  <c r="F220" i="1"/>
  <c r="F154" i="1"/>
  <c r="V154" i="1" l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L196" i="1"/>
  <c r="M196" i="1" s="1"/>
  <c r="J196" i="1"/>
  <c r="K196" i="1" s="1"/>
  <c r="N196" i="1"/>
  <c r="O196" i="1" s="1"/>
  <c r="V196" i="1"/>
  <c r="W196" i="1" s="1"/>
  <c r="T196" i="1"/>
  <c r="U196" i="1" s="1"/>
  <c r="R196" i="1"/>
  <c r="S196" i="1" s="1"/>
  <c r="P196" i="1"/>
  <c r="Q196" i="1" s="1"/>
  <c r="V220" i="1"/>
  <c r="W220" i="1" s="1"/>
  <c r="T220" i="1"/>
  <c r="U220" i="1" s="1"/>
  <c r="R220" i="1"/>
  <c r="S220" i="1" s="1"/>
  <c r="P220" i="1"/>
  <c r="Q220" i="1" s="1"/>
  <c r="N220" i="1"/>
  <c r="O220" i="1" s="1"/>
  <c r="J220" i="1"/>
  <c r="K220" i="1" s="1"/>
  <c r="L220" i="1"/>
  <c r="M220" i="1" s="1"/>
  <c r="T240" i="1"/>
  <c r="U240" i="1" s="1"/>
  <c r="R240" i="1"/>
  <c r="S240" i="1" s="1"/>
  <c r="P240" i="1"/>
  <c r="Q240" i="1" s="1"/>
  <c r="V240" i="1"/>
  <c r="W240" i="1" s="1"/>
  <c r="N240" i="1"/>
  <c r="O240" i="1" s="1"/>
  <c r="L240" i="1"/>
  <c r="M240" i="1" s="1"/>
  <c r="J240" i="1"/>
  <c r="K240" i="1" s="1"/>
  <c r="H240" i="1"/>
  <c r="I240" i="1" s="1"/>
  <c r="J384" i="1"/>
  <c r="K384" i="1" s="1"/>
  <c r="P384" i="1"/>
  <c r="Q384" i="1" s="1"/>
  <c r="V384" i="1"/>
  <c r="W384" i="1" s="1"/>
  <c r="L384" i="1"/>
  <c r="M384" i="1" s="1"/>
  <c r="N384" i="1"/>
  <c r="O384" i="1" s="1"/>
  <c r="R384" i="1"/>
  <c r="S384" i="1" s="1"/>
  <c r="G384" i="1"/>
  <c r="H384" i="1"/>
  <c r="I384" i="1" s="1"/>
  <c r="F464" i="1" l="1"/>
  <c r="F463" i="1"/>
  <c r="H335" i="1" l="1"/>
  <c r="I335" i="1" s="1"/>
  <c r="J335" i="1"/>
  <c r="K335" i="1" s="1"/>
  <c r="L335" i="1"/>
  <c r="M335" i="1" s="1"/>
  <c r="N335" i="1"/>
  <c r="O335" i="1"/>
  <c r="V419" i="1"/>
  <c r="W419" i="1" s="1"/>
  <c r="T419" i="1"/>
  <c r="U419" i="1" s="1"/>
  <c r="R419" i="1"/>
  <c r="S419" i="1" s="1"/>
  <c r="P419" i="1"/>
  <c r="Q419" i="1" s="1"/>
  <c r="N419" i="1"/>
  <c r="O419" i="1" s="1"/>
  <c r="L419" i="1"/>
  <c r="M419" i="1" s="1"/>
  <c r="J419" i="1"/>
  <c r="K419" i="1" s="1"/>
  <c r="L416" i="1"/>
  <c r="J444" i="1"/>
  <c r="K444" i="1" s="1"/>
  <c r="H444" i="1"/>
  <c r="I444" i="1" s="1"/>
  <c r="V443" i="1"/>
  <c r="W443" i="1" s="1"/>
  <c r="T443" i="1"/>
  <c r="U443" i="1" s="1"/>
  <c r="R443" i="1"/>
  <c r="S443" i="1" s="1"/>
  <c r="P443" i="1"/>
  <c r="Q443" i="1" s="1"/>
  <c r="N443" i="1"/>
  <c r="O443" i="1" s="1"/>
  <c r="L443" i="1"/>
  <c r="M443" i="1" s="1"/>
  <c r="J443" i="1"/>
  <c r="K443" i="1" s="1"/>
  <c r="H443" i="1"/>
  <c r="I443" i="1" s="1"/>
  <c r="V442" i="1"/>
  <c r="W442" i="1" s="1"/>
  <c r="T442" i="1"/>
  <c r="U442" i="1" s="1"/>
  <c r="R442" i="1"/>
  <c r="S442" i="1" s="1"/>
  <c r="P442" i="1"/>
  <c r="Q442" i="1" s="1"/>
  <c r="N442" i="1"/>
  <c r="O442" i="1" s="1"/>
  <c r="L442" i="1"/>
  <c r="M442" i="1" s="1"/>
  <c r="J442" i="1"/>
  <c r="K442" i="1" s="1"/>
  <c r="H442" i="1"/>
  <c r="I442" i="1" s="1"/>
  <c r="T410" i="1"/>
  <c r="R410" i="1"/>
  <c r="P410" i="1"/>
  <c r="N410" i="1"/>
  <c r="L410" i="1"/>
  <c r="T415" i="1"/>
  <c r="U415" i="1" s="1"/>
  <c r="R415" i="1"/>
  <c r="S415" i="1" s="1"/>
  <c r="P415" i="1"/>
  <c r="Q415" i="1" s="1"/>
  <c r="N415" i="1"/>
  <c r="O415" i="1" s="1"/>
  <c r="L415" i="1"/>
  <c r="M415" i="1" s="1"/>
  <c r="T414" i="1"/>
  <c r="U414" i="1" s="1"/>
  <c r="R414" i="1"/>
  <c r="S414" i="1" s="1"/>
  <c r="P414" i="1"/>
  <c r="Q414" i="1" s="1"/>
  <c r="N414" i="1"/>
  <c r="O414" i="1" s="1"/>
  <c r="L414" i="1"/>
  <c r="M414" i="1" s="1"/>
  <c r="T413" i="1"/>
  <c r="U413" i="1" s="1"/>
  <c r="R413" i="1"/>
  <c r="S413" i="1" s="1"/>
  <c r="P413" i="1"/>
  <c r="Q413" i="1" s="1"/>
  <c r="N413" i="1"/>
  <c r="O413" i="1" s="1"/>
  <c r="L413" i="1"/>
  <c r="M413" i="1" s="1"/>
  <c r="T412" i="1"/>
  <c r="R412" i="1"/>
  <c r="P412" i="1"/>
  <c r="N412" i="1"/>
  <c r="L412" i="1"/>
  <c r="T411" i="1"/>
  <c r="R411" i="1"/>
  <c r="P411" i="1"/>
  <c r="N411" i="1"/>
  <c r="L411" i="1"/>
  <c r="J411" i="1"/>
  <c r="L380" i="1"/>
  <c r="M380" i="1" s="1"/>
  <c r="N380" i="1"/>
  <c r="O380" i="1" s="1"/>
  <c r="P380" i="1"/>
  <c r="Q380" i="1" s="1"/>
  <c r="R380" i="1"/>
  <c r="S380" i="1"/>
  <c r="T380" i="1"/>
  <c r="U380" i="1"/>
  <c r="V380" i="1"/>
  <c r="W380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J302" i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V529" i="1" l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G529" i="1"/>
  <c r="F521" i="1"/>
  <c r="T521" i="1" s="1"/>
  <c r="U521" i="1" s="1"/>
  <c r="F520" i="1"/>
  <c r="T520" i="1" s="1"/>
  <c r="U520" i="1" s="1"/>
  <c r="F519" i="1"/>
  <c r="R519" i="1" s="1"/>
  <c r="S519" i="1" s="1"/>
  <c r="L521" i="1" l="1"/>
  <c r="M521" i="1" s="1"/>
  <c r="N521" i="1"/>
  <c r="O521" i="1" s="1"/>
  <c r="R521" i="1"/>
  <c r="S521" i="1" s="1"/>
  <c r="G521" i="1"/>
  <c r="V521" i="1"/>
  <c r="W521" i="1" s="1"/>
  <c r="P521" i="1"/>
  <c r="Q521" i="1" s="1"/>
  <c r="V520" i="1"/>
  <c r="W520" i="1" s="1"/>
  <c r="L520" i="1"/>
  <c r="M520" i="1" s="1"/>
  <c r="R520" i="1"/>
  <c r="S520" i="1" s="1"/>
  <c r="N520" i="1"/>
  <c r="O520" i="1" s="1"/>
  <c r="P520" i="1"/>
  <c r="Q520" i="1" s="1"/>
  <c r="G520" i="1"/>
  <c r="L519" i="1"/>
  <c r="M519" i="1" s="1"/>
  <c r="N519" i="1"/>
  <c r="O519" i="1" s="1"/>
  <c r="V519" i="1"/>
  <c r="W519" i="1" s="1"/>
  <c r="P519" i="1"/>
  <c r="Q519" i="1" s="1"/>
  <c r="G519" i="1"/>
  <c r="T519" i="1"/>
  <c r="U519" i="1" s="1"/>
  <c r="W437" i="1"/>
  <c r="U437" i="1"/>
  <c r="S437" i="1"/>
  <c r="Q437" i="1"/>
  <c r="O437" i="1"/>
  <c r="W436" i="1"/>
  <c r="U436" i="1"/>
  <c r="S436" i="1"/>
  <c r="Q436" i="1"/>
  <c r="O436" i="1"/>
  <c r="W431" i="1"/>
  <c r="U431" i="1"/>
  <c r="S431" i="1"/>
  <c r="Q431" i="1"/>
  <c r="O431" i="1"/>
  <c r="W430" i="1"/>
  <c r="U430" i="1"/>
  <c r="S430" i="1"/>
  <c r="Q430" i="1"/>
  <c r="O430" i="1"/>
  <c r="F532" i="1"/>
  <c r="P532" i="1" s="1"/>
  <c r="Q532" i="1" s="1"/>
  <c r="F445" i="1"/>
  <c r="P445" i="1" l="1"/>
  <c r="Q445" i="1" s="1"/>
  <c r="N445" i="1"/>
  <c r="O445" i="1" s="1"/>
  <c r="L445" i="1"/>
  <c r="M445" i="1" s="1"/>
  <c r="J445" i="1"/>
  <c r="K445" i="1" s="1"/>
  <c r="T445" i="1"/>
  <c r="U445" i="1" s="1"/>
  <c r="H445" i="1"/>
  <c r="I445" i="1" s="1"/>
  <c r="V445" i="1"/>
  <c r="W445" i="1" s="1"/>
  <c r="R445" i="1"/>
  <c r="S445" i="1" s="1"/>
  <c r="L532" i="1"/>
  <c r="M532" i="1" s="1"/>
  <c r="N532" i="1"/>
  <c r="O532" i="1" s="1"/>
  <c r="R532" i="1"/>
  <c r="S532" i="1" s="1"/>
  <c r="G532" i="1"/>
  <c r="H532" i="1"/>
  <c r="I532" i="1" s="1"/>
  <c r="T532" i="1"/>
  <c r="U532" i="1" s="1"/>
  <c r="J532" i="1"/>
  <c r="K532" i="1" s="1"/>
  <c r="V532" i="1"/>
  <c r="W532" i="1" s="1"/>
  <c r="F613" i="1" l="1"/>
  <c r="F628" i="1"/>
  <c r="F364" i="1" l="1"/>
  <c r="V364" i="1" l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F365" i="1"/>
  <c r="F390" i="1"/>
  <c r="F370" i="1"/>
  <c r="F371" i="1"/>
  <c r="F230" i="1"/>
  <c r="F257" i="1"/>
  <c r="F199" i="1"/>
  <c r="F271" i="1"/>
  <c r="F423" i="1"/>
  <c r="F629" i="1"/>
  <c r="P629" i="1" s="1"/>
  <c r="Q629" i="1" s="1"/>
  <c r="F607" i="1"/>
  <c r="V607" i="1" s="1"/>
  <c r="F164" i="1"/>
  <c r="F128" i="1"/>
  <c r="V128" i="1" s="1"/>
  <c r="W128" i="1" s="1"/>
  <c r="G160" i="1"/>
  <c r="T199" i="1" l="1"/>
  <c r="U199" i="1" s="1"/>
  <c r="R199" i="1"/>
  <c r="S199" i="1" s="1"/>
  <c r="P199" i="1"/>
  <c r="Q199" i="1" s="1"/>
  <c r="N199" i="1"/>
  <c r="O199" i="1" s="1"/>
  <c r="V199" i="1"/>
  <c r="W199" i="1" s="1"/>
  <c r="L199" i="1"/>
  <c r="M199" i="1" s="1"/>
  <c r="J199" i="1"/>
  <c r="K199" i="1" s="1"/>
  <c r="H199" i="1"/>
  <c r="I199" i="1" s="1"/>
  <c r="N257" i="1"/>
  <c r="O257" i="1" s="1"/>
  <c r="L257" i="1"/>
  <c r="M257" i="1" s="1"/>
  <c r="J257" i="1"/>
  <c r="K257" i="1" s="1"/>
  <c r="H257" i="1"/>
  <c r="I257" i="1" s="1"/>
  <c r="V257" i="1"/>
  <c r="W257" i="1" s="1"/>
  <c r="T257" i="1"/>
  <c r="U257" i="1" s="1"/>
  <c r="P257" i="1"/>
  <c r="Q257" i="1" s="1"/>
  <c r="R257" i="1"/>
  <c r="S257" i="1" s="1"/>
  <c r="J230" i="1"/>
  <c r="K230" i="1" s="1"/>
  <c r="H230" i="1"/>
  <c r="I230" i="1" s="1"/>
  <c r="V230" i="1"/>
  <c r="W230" i="1" s="1"/>
  <c r="T230" i="1"/>
  <c r="U230" i="1" s="1"/>
  <c r="R230" i="1"/>
  <c r="S230" i="1" s="1"/>
  <c r="P230" i="1"/>
  <c r="Q230" i="1" s="1"/>
  <c r="L230" i="1"/>
  <c r="M230" i="1" s="1"/>
  <c r="N230" i="1"/>
  <c r="O230" i="1" s="1"/>
  <c r="P164" i="1"/>
  <c r="Q164" i="1" s="1"/>
  <c r="N164" i="1"/>
  <c r="O164" i="1" s="1"/>
  <c r="L164" i="1"/>
  <c r="M164" i="1" s="1"/>
  <c r="J164" i="1"/>
  <c r="K164" i="1" s="1"/>
  <c r="V164" i="1"/>
  <c r="W164" i="1" s="1"/>
  <c r="T164" i="1"/>
  <c r="U164" i="1" s="1"/>
  <c r="R164" i="1"/>
  <c r="S164" i="1" s="1"/>
  <c r="H164" i="1"/>
  <c r="V271" i="1"/>
  <c r="T271" i="1"/>
  <c r="R271" i="1"/>
  <c r="P271" i="1"/>
  <c r="N271" i="1"/>
  <c r="L271" i="1"/>
  <c r="J271" i="1"/>
  <c r="H271" i="1"/>
  <c r="L371" i="1"/>
  <c r="M371" i="1" s="1"/>
  <c r="N371" i="1"/>
  <c r="O371" i="1" s="1"/>
  <c r="P371" i="1"/>
  <c r="Q371" i="1" s="1"/>
  <c r="R371" i="1"/>
  <c r="S371" i="1" s="1"/>
  <c r="T371" i="1"/>
  <c r="U371" i="1" s="1"/>
  <c r="V371" i="1"/>
  <c r="W371" i="1" s="1"/>
  <c r="L370" i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N365" i="1"/>
  <c r="O365" i="1" s="1"/>
  <c r="L365" i="1"/>
  <c r="M365" i="1" s="1"/>
  <c r="R365" i="1"/>
  <c r="S365" i="1" s="1"/>
  <c r="V365" i="1"/>
  <c r="W365" i="1" s="1"/>
  <c r="T365" i="1"/>
  <c r="U365" i="1" s="1"/>
  <c r="P365" i="1"/>
  <c r="Q365" i="1" s="1"/>
  <c r="P423" i="1"/>
  <c r="Q423" i="1" s="1"/>
  <c r="T423" i="1"/>
  <c r="U423" i="1" s="1"/>
  <c r="N423" i="1"/>
  <c r="O423" i="1" s="1"/>
  <c r="L423" i="1"/>
  <c r="M423" i="1" s="1"/>
  <c r="J423" i="1"/>
  <c r="K423" i="1" s="1"/>
  <c r="H423" i="1"/>
  <c r="I423" i="1" s="1"/>
  <c r="V423" i="1"/>
  <c r="W423" i="1" s="1"/>
  <c r="R423" i="1"/>
  <c r="S423" i="1" s="1"/>
  <c r="V390" i="1"/>
  <c r="W390" i="1" s="1"/>
  <c r="T390" i="1"/>
  <c r="U390" i="1" s="1"/>
  <c r="R390" i="1"/>
  <c r="S390" i="1" s="1"/>
  <c r="P390" i="1"/>
  <c r="Q390" i="1" s="1"/>
  <c r="N390" i="1"/>
  <c r="O390" i="1" s="1"/>
  <c r="L390" i="1"/>
  <c r="M390" i="1" s="1"/>
  <c r="J390" i="1"/>
  <c r="K390" i="1" s="1"/>
  <c r="H390" i="1"/>
  <c r="I390" i="1" s="1"/>
  <c r="G365" i="1"/>
  <c r="G370" i="1"/>
  <c r="G371" i="1"/>
  <c r="G230" i="1"/>
  <c r="L607" i="1"/>
  <c r="M607" i="1" s="1"/>
  <c r="P607" i="1"/>
  <c r="Q607" i="1" s="1"/>
  <c r="R607" i="1"/>
  <c r="S607" i="1" s="1"/>
  <c r="H607" i="1"/>
  <c r="I607" i="1" s="1"/>
  <c r="J607" i="1"/>
  <c r="K607" i="1" s="1"/>
  <c r="N607" i="1"/>
  <c r="O607" i="1" s="1"/>
  <c r="T607" i="1"/>
  <c r="U607" i="1" s="1"/>
  <c r="R629" i="1"/>
  <c r="S629" i="1" s="1"/>
  <c r="L629" i="1"/>
  <c r="M629" i="1" s="1"/>
  <c r="N629" i="1"/>
  <c r="O629" i="1" s="1"/>
  <c r="T629" i="1"/>
  <c r="U629" i="1" s="1"/>
  <c r="G629" i="1"/>
  <c r="J629" i="1"/>
  <c r="K629" i="1" s="1"/>
  <c r="V629" i="1"/>
  <c r="W629" i="1" s="1"/>
  <c r="W607" i="1"/>
  <c r="G607" i="1"/>
  <c r="I164" i="1"/>
  <c r="R128" i="1"/>
  <c r="S128" i="1" s="1"/>
  <c r="T128" i="1"/>
  <c r="U128" i="1" s="1"/>
  <c r="L128" i="1"/>
  <c r="M128" i="1" s="1"/>
  <c r="N128" i="1"/>
  <c r="O128" i="1" s="1"/>
  <c r="P128" i="1"/>
  <c r="Q128" i="1" s="1"/>
  <c r="G128" i="1"/>
  <c r="J128" i="1"/>
  <c r="K128" i="1" s="1"/>
  <c r="F385" i="1" l="1"/>
  <c r="F388" i="1"/>
  <c r="P388" i="1" l="1"/>
  <c r="Q388" i="1" s="1"/>
  <c r="N388" i="1"/>
  <c r="O388" i="1" s="1"/>
  <c r="L388" i="1"/>
  <c r="M388" i="1" s="1"/>
  <c r="J388" i="1"/>
  <c r="K388" i="1" s="1"/>
  <c r="T388" i="1"/>
  <c r="U388" i="1" s="1"/>
  <c r="H388" i="1"/>
  <c r="I388" i="1" s="1"/>
  <c r="V388" i="1"/>
  <c r="W388" i="1" s="1"/>
  <c r="R388" i="1"/>
  <c r="S388" i="1" s="1"/>
  <c r="P385" i="1"/>
  <c r="Q385" i="1" s="1"/>
  <c r="N385" i="1"/>
  <c r="O385" i="1" s="1"/>
  <c r="L385" i="1"/>
  <c r="M385" i="1" s="1"/>
  <c r="J385" i="1"/>
  <c r="K385" i="1" s="1"/>
  <c r="H385" i="1"/>
  <c r="I385" i="1" s="1"/>
  <c r="T385" i="1"/>
  <c r="U385" i="1" s="1"/>
  <c r="V385" i="1"/>
  <c r="W385" i="1" s="1"/>
  <c r="R385" i="1"/>
  <c r="S385" i="1" s="1"/>
  <c r="F289" i="1"/>
  <c r="R289" i="1" l="1"/>
  <c r="S289" i="1" s="1"/>
  <c r="P289" i="1"/>
  <c r="Q289" i="1" s="1"/>
  <c r="N289" i="1"/>
  <c r="O289" i="1" s="1"/>
  <c r="L289" i="1"/>
  <c r="M289" i="1" s="1"/>
  <c r="T289" i="1"/>
  <c r="U289" i="1" s="1"/>
  <c r="J289" i="1"/>
  <c r="K289" i="1" s="1"/>
  <c r="H289" i="1"/>
  <c r="I289" i="1" s="1"/>
  <c r="V289" i="1"/>
  <c r="W289" i="1" s="1"/>
  <c r="G289" i="1"/>
  <c r="F250" i="1"/>
  <c r="U271" i="1"/>
  <c r="V250" i="1" l="1"/>
  <c r="W250" i="1" s="1"/>
  <c r="T250" i="1"/>
  <c r="U250" i="1" s="1"/>
  <c r="R250" i="1"/>
  <c r="S250" i="1" s="1"/>
  <c r="H250" i="1"/>
  <c r="I250" i="1" s="1"/>
  <c r="P250" i="1"/>
  <c r="Q250" i="1" s="1"/>
  <c r="N250" i="1"/>
  <c r="O250" i="1" s="1"/>
  <c r="L250" i="1"/>
  <c r="M250" i="1" s="1"/>
  <c r="J250" i="1"/>
  <c r="K250" i="1" s="1"/>
  <c r="G250" i="1"/>
  <c r="W271" i="1"/>
  <c r="M271" i="1"/>
  <c r="O271" i="1"/>
  <c r="Q271" i="1"/>
  <c r="S271" i="1"/>
  <c r="G271" i="1"/>
  <c r="I271" i="1"/>
  <c r="K271" i="1"/>
  <c r="F242" i="1" l="1"/>
  <c r="V242" i="1" l="1"/>
  <c r="W242" i="1" s="1"/>
  <c r="H242" i="1"/>
  <c r="I242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G242" i="1"/>
  <c r="F609" i="1"/>
  <c r="L609" i="1" s="1"/>
  <c r="M609" i="1" s="1"/>
  <c r="F565" i="1"/>
  <c r="R565" i="1" s="1"/>
  <c r="S565" i="1" s="1"/>
  <c r="T609" i="1" l="1"/>
  <c r="U609" i="1" s="1"/>
  <c r="V609" i="1"/>
  <c r="W609" i="1" s="1"/>
  <c r="P609" i="1"/>
  <c r="Q609" i="1" s="1"/>
  <c r="R609" i="1"/>
  <c r="S609" i="1" s="1"/>
  <c r="N609" i="1"/>
  <c r="O609" i="1" s="1"/>
  <c r="H609" i="1"/>
  <c r="I609" i="1" s="1"/>
  <c r="J609" i="1"/>
  <c r="K609" i="1" s="1"/>
  <c r="G609" i="1"/>
  <c r="T565" i="1"/>
  <c r="U565" i="1" s="1"/>
  <c r="V565" i="1"/>
  <c r="W565" i="1" s="1"/>
  <c r="L565" i="1"/>
  <c r="M565" i="1" s="1"/>
  <c r="P565" i="1"/>
  <c r="Q565" i="1" s="1"/>
  <c r="G565" i="1"/>
  <c r="H565" i="1"/>
  <c r="I565" i="1" s="1"/>
  <c r="J565" i="1"/>
  <c r="K565" i="1" s="1"/>
  <c r="N565" i="1"/>
  <c r="O565" i="1" s="1"/>
  <c r="F279" i="1" l="1"/>
  <c r="V279" i="1" l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F276" i="1"/>
  <c r="H276" i="1" l="1"/>
  <c r="I276" i="1" s="1"/>
  <c r="J276" i="1"/>
  <c r="V276" i="1"/>
  <c r="W276" i="1" s="1"/>
  <c r="T276" i="1"/>
  <c r="R276" i="1"/>
  <c r="S276" i="1" s="1"/>
  <c r="P276" i="1"/>
  <c r="Q276" i="1" s="1"/>
  <c r="N276" i="1"/>
  <c r="O276" i="1" s="1"/>
  <c r="L276" i="1"/>
  <c r="M276" i="1" s="1"/>
  <c r="U276" i="1"/>
  <c r="K276" i="1"/>
  <c r="G276" i="1"/>
  <c r="F327" i="1"/>
  <c r="F326" i="1"/>
  <c r="G257" i="1"/>
  <c r="R326" i="1" l="1"/>
  <c r="S326" i="1" s="1"/>
  <c r="P326" i="1"/>
  <c r="Q326" i="1" s="1"/>
  <c r="N326" i="1"/>
  <c r="O326" i="1" s="1"/>
  <c r="L326" i="1"/>
  <c r="M326" i="1" s="1"/>
  <c r="V326" i="1"/>
  <c r="W326" i="1" s="1"/>
  <c r="T326" i="1"/>
  <c r="U326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G327" i="1"/>
  <c r="F482" i="1"/>
  <c r="F481" i="1"/>
  <c r="F485" i="1"/>
  <c r="F484" i="1"/>
  <c r="F483" i="1"/>
  <c r="R342" i="1" l="1"/>
  <c r="S342" i="1" s="1"/>
  <c r="P342" i="1"/>
  <c r="Q342" i="1" s="1"/>
  <c r="N342" i="1"/>
  <c r="O342" i="1" s="1"/>
  <c r="L342" i="1"/>
  <c r="M342" i="1" s="1"/>
  <c r="T342" i="1"/>
  <c r="U342" i="1" s="1"/>
  <c r="V342" i="1"/>
  <c r="W342" i="1" s="1"/>
  <c r="G342" i="1"/>
  <c r="T645" i="1"/>
  <c r="U645" i="1" s="1"/>
  <c r="R645" i="1"/>
  <c r="S645" i="1" s="1"/>
  <c r="P645" i="1"/>
  <c r="Q645" i="1" s="1"/>
  <c r="N645" i="1"/>
  <c r="O645" i="1" s="1"/>
  <c r="L645" i="1"/>
  <c r="M645" i="1" s="1"/>
  <c r="J645" i="1"/>
  <c r="K645" i="1" s="1"/>
  <c r="G645" i="1"/>
  <c r="T644" i="1"/>
  <c r="U644" i="1" s="1"/>
  <c r="R644" i="1"/>
  <c r="S644" i="1" s="1"/>
  <c r="P644" i="1"/>
  <c r="Q644" i="1" s="1"/>
  <c r="N644" i="1"/>
  <c r="O644" i="1" s="1"/>
  <c r="L644" i="1"/>
  <c r="M644" i="1" s="1"/>
  <c r="J644" i="1"/>
  <c r="K644" i="1" s="1"/>
  <c r="G644" i="1"/>
  <c r="F287" i="1"/>
  <c r="F294" i="1"/>
  <c r="F272" i="1"/>
  <c r="F608" i="1"/>
  <c r="F253" i="1"/>
  <c r="F535" i="1"/>
  <c r="F552" i="1"/>
  <c r="F526" i="1"/>
  <c r="F528" i="1"/>
  <c r="F534" i="1"/>
  <c r="F533" i="1"/>
  <c r="F400" i="1"/>
  <c r="F355" i="1"/>
  <c r="F383" i="1"/>
  <c r="F14" i="1"/>
  <c r="G457" i="1"/>
  <c r="H457" i="1"/>
  <c r="I457" i="1" s="1"/>
  <c r="J457" i="1"/>
  <c r="K457" i="1" s="1"/>
  <c r="L457" i="1"/>
  <c r="M457" i="1" s="1"/>
  <c r="N457" i="1"/>
  <c r="O457" i="1" s="1"/>
  <c r="P457" i="1"/>
  <c r="Q457" i="1" s="1"/>
  <c r="R457" i="1"/>
  <c r="S457" i="1" s="1"/>
  <c r="T457" i="1"/>
  <c r="U457" i="1" s="1"/>
  <c r="V457" i="1"/>
  <c r="W457" i="1" s="1"/>
  <c r="F408" i="1"/>
  <c r="F346" i="1"/>
  <c r="F347" i="1"/>
  <c r="F345" i="1"/>
  <c r="F350" i="1"/>
  <c r="F367" i="1"/>
  <c r="F356" i="1"/>
  <c r="F358" i="1"/>
  <c r="F352" i="1"/>
  <c r="F233" i="1"/>
  <c r="P272" i="1" l="1"/>
  <c r="Q272" i="1" s="1"/>
  <c r="N272" i="1"/>
  <c r="O272" i="1" s="1"/>
  <c r="L272" i="1"/>
  <c r="M272" i="1" s="1"/>
  <c r="R272" i="1"/>
  <c r="S272" i="1" s="1"/>
  <c r="J272" i="1"/>
  <c r="K272" i="1" s="1"/>
  <c r="H272" i="1"/>
  <c r="I272" i="1" s="1"/>
  <c r="V272" i="1"/>
  <c r="W272" i="1" s="1"/>
  <c r="T272" i="1"/>
  <c r="U272" i="1" s="1"/>
  <c r="P287" i="1"/>
  <c r="Q287" i="1" s="1"/>
  <c r="N287" i="1"/>
  <c r="O287" i="1" s="1"/>
  <c r="L287" i="1"/>
  <c r="M287" i="1" s="1"/>
  <c r="J287" i="1"/>
  <c r="K287" i="1" s="1"/>
  <c r="H287" i="1"/>
  <c r="I287" i="1" s="1"/>
  <c r="V287" i="1"/>
  <c r="W287" i="1" s="1"/>
  <c r="T287" i="1"/>
  <c r="U287" i="1" s="1"/>
  <c r="R287" i="1"/>
  <c r="S287" i="1" s="1"/>
  <c r="P233" i="1"/>
  <c r="Q233" i="1" s="1"/>
  <c r="N233" i="1"/>
  <c r="O233" i="1" s="1"/>
  <c r="L233" i="1"/>
  <c r="M233" i="1" s="1"/>
  <c r="J233" i="1"/>
  <c r="K233" i="1" s="1"/>
  <c r="H233" i="1"/>
  <c r="I233" i="1" s="1"/>
  <c r="R233" i="1"/>
  <c r="S233" i="1" s="1"/>
  <c r="V233" i="1"/>
  <c r="W233" i="1" s="1"/>
  <c r="T233" i="1"/>
  <c r="U233" i="1" s="1"/>
  <c r="V253" i="1"/>
  <c r="W253" i="1" s="1"/>
  <c r="T253" i="1"/>
  <c r="U253" i="1" s="1"/>
  <c r="R253" i="1"/>
  <c r="S253" i="1" s="1"/>
  <c r="P253" i="1"/>
  <c r="Q253" i="1" s="1"/>
  <c r="N253" i="1"/>
  <c r="O253" i="1" s="1"/>
  <c r="L253" i="1"/>
  <c r="M253" i="1" s="1"/>
  <c r="J253" i="1"/>
  <c r="K253" i="1" s="1"/>
  <c r="H253" i="1"/>
  <c r="I253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94" i="1"/>
  <c r="I294" i="1" s="1"/>
  <c r="V294" i="1"/>
  <c r="W294" i="1" s="1"/>
  <c r="P197" i="1"/>
  <c r="Q197" i="1" s="1"/>
  <c r="N197" i="1"/>
  <c r="O197" i="1" s="1"/>
  <c r="L197" i="1"/>
  <c r="M197" i="1" s="1"/>
  <c r="J197" i="1"/>
  <c r="K197" i="1" s="1"/>
  <c r="R197" i="1"/>
  <c r="S197" i="1" s="1"/>
  <c r="V197" i="1"/>
  <c r="W197" i="1" s="1"/>
  <c r="T197" i="1"/>
  <c r="U197" i="1" s="1"/>
  <c r="L383" i="1"/>
  <c r="M383" i="1" s="1"/>
  <c r="N383" i="1"/>
  <c r="O383" i="1" s="1"/>
  <c r="P383" i="1"/>
  <c r="Q383" i="1" s="1"/>
  <c r="R383" i="1"/>
  <c r="S383" i="1" s="1"/>
  <c r="T383" i="1"/>
  <c r="U383" i="1" s="1"/>
  <c r="V383" i="1"/>
  <c r="W383" i="1" s="1"/>
  <c r="H400" i="1"/>
  <c r="I400" i="1" s="1"/>
  <c r="L400" i="1"/>
  <c r="M400" i="1" s="1"/>
  <c r="V400" i="1"/>
  <c r="W400" i="1" s="1"/>
  <c r="T400" i="1"/>
  <c r="U400" i="1" s="1"/>
  <c r="R400" i="1"/>
  <c r="S400" i="1" s="1"/>
  <c r="P400" i="1"/>
  <c r="Q400" i="1" s="1"/>
  <c r="N400" i="1"/>
  <c r="O400" i="1" s="1"/>
  <c r="J400" i="1"/>
  <c r="K400" i="1" s="1"/>
  <c r="T352" i="1"/>
  <c r="U352" i="1" s="1"/>
  <c r="J352" i="1"/>
  <c r="R352" i="1"/>
  <c r="S352" i="1" s="1"/>
  <c r="P352" i="1"/>
  <c r="Q352" i="1" s="1"/>
  <c r="N352" i="1"/>
  <c r="O352" i="1" s="1"/>
  <c r="L352" i="1"/>
  <c r="M352" i="1" s="1"/>
  <c r="V352" i="1"/>
  <c r="W352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L379" i="1"/>
  <c r="M379" i="1" s="1"/>
  <c r="N379" i="1"/>
  <c r="O379" i="1" s="1"/>
  <c r="P379" i="1"/>
  <c r="Q379" i="1" s="1"/>
  <c r="R379" i="1"/>
  <c r="S379" i="1" s="1"/>
  <c r="T379" i="1"/>
  <c r="U379" i="1" s="1"/>
  <c r="V379" i="1"/>
  <c r="W379" i="1" s="1"/>
  <c r="V408" i="1"/>
  <c r="W408" i="1" s="1"/>
  <c r="T408" i="1"/>
  <c r="U408" i="1" s="1"/>
  <c r="R408" i="1"/>
  <c r="S408" i="1" s="1"/>
  <c r="P408" i="1"/>
  <c r="Q408" i="1" s="1"/>
  <c r="N408" i="1"/>
  <c r="O408" i="1" s="1"/>
  <c r="L408" i="1"/>
  <c r="M408" i="1" s="1"/>
  <c r="J408" i="1"/>
  <c r="K408" i="1" s="1"/>
  <c r="H408" i="1"/>
  <c r="I408" i="1" s="1"/>
  <c r="L367" i="1"/>
  <c r="M367" i="1" s="1"/>
  <c r="N367" i="1"/>
  <c r="O367" i="1" s="1"/>
  <c r="P367" i="1"/>
  <c r="Q367" i="1" s="1"/>
  <c r="R367" i="1"/>
  <c r="S367" i="1" s="1"/>
  <c r="T367" i="1"/>
  <c r="U367" i="1" s="1"/>
  <c r="V367" i="1"/>
  <c r="W367" i="1" s="1"/>
  <c r="R345" i="1"/>
  <c r="S345" i="1" s="1"/>
  <c r="P345" i="1"/>
  <c r="Q345" i="1" s="1"/>
  <c r="N345" i="1"/>
  <c r="O345" i="1" s="1"/>
  <c r="L345" i="1"/>
  <c r="M345" i="1" s="1"/>
  <c r="T358" i="1"/>
  <c r="U358" i="1" s="1"/>
  <c r="R358" i="1"/>
  <c r="S358" i="1" s="1"/>
  <c r="P358" i="1"/>
  <c r="Q358" i="1" s="1"/>
  <c r="N358" i="1"/>
  <c r="O358" i="1" s="1"/>
  <c r="L358" i="1"/>
  <c r="M358" i="1" s="1"/>
  <c r="V358" i="1"/>
  <c r="W358" i="1" s="1"/>
  <c r="L369" i="1"/>
  <c r="M369" i="1" s="1"/>
  <c r="N369" i="1"/>
  <c r="O369" i="1" s="1"/>
  <c r="P369" i="1"/>
  <c r="Q369" i="1" s="1"/>
  <c r="R369" i="1"/>
  <c r="S369" i="1" s="1"/>
  <c r="T369" i="1"/>
  <c r="U369" i="1" s="1"/>
  <c r="V369" i="1"/>
  <c r="W369" i="1" s="1"/>
  <c r="T356" i="1"/>
  <c r="U356" i="1" s="1"/>
  <c r="R356" i="1"/>
  <c r="S356" i="1" s="1"/>
  <c r="P356" i="1"/>
  <c r="Q356" i="1" s="1"/>
  <c r="N356" i="1"/>
  <c r="O356" i="1" s="1"/>
  <c r="L356" i="1"/>
  <c r="M356" i="1" s="1"/>
  <c r="V356" i="1"/>
  <c r="W356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V348" i="1"/>
  <c r="W348" i="1" s="1"/>
  <c r="T348" i="1"/>
  <c r="U348" i="1" s="1"/>
  <c r="R348" i="1"/>
  <c r="S348" i="1" s="1"/>
  <c r="P348" i="1"/>
  <c r="Q348" i="1" s="1"/>
  <c r="N348" i="1"/>
  <c r="O348" i="1" s="1"/>
  <c r="L348" i="1"/>
  <c r="M348" i="1" s="1"/>
  <c r="N347" i="1"/>
  <c r="O347" i="1" s="1"/>
  <c r="L347" i="1"/>
  <c r="M347" i="1" s="1"/>
  <c r="V347" i="1"/>
  <c r="W347" i="1" s="1"/>
  <c r="T347" i="1"/>
  <c r="U347" i="1" s="1"/>
  <c r="R347" i="1"/>
  <c r="S347" i="1" s="1"/>
  <c r="P347" i="1"/>
  <c r="Q347" i="1" s="1"/>
  <c r="V346" i="1"/>
  <c r="W346" i="1" s="1"/>
  <c r="T346" i="1"/>
  <c r="U346" i="1" s="1"/>
  <c r="R346" i="1"/>
  <c r="S346" i="1" s="1"/>
  <c r="P346" i="1"/>
  <c r="Q346" i="1" s="1"/>
  <c r="N346" i="1"/>
  <c r="O346" i="1" s="1"/>
  <c r="G124" i="1" l="1"/>
  <c r="V124" i="1"/>
  <c r="W124" i="1" s="1"/>
  <c r="T124" i="1"/>
  <c r="U124" i="1" s="1"/>
  <c r="R124" i="1"/>
  <c r="S124" i="1" s="1"/>
  <c r="P124" i="1"/>
  <c r="Q124" i="1" s="1"/>
  <c r="N124" i="1"/>
  <c r="O124" i="1" s="1"/>
  <c r="L124" i="1"/>
  <c r="M124" i="1" s="1"/>
  <c r="J124" i="1"/>
  <c r="K124" i="1" s="1"/>
  <c r="G400" i="1" l="1"/>
  <c r="F378" i="1"/>
  <c r="F301" i="1"/>
  <c r="F101" i="1"/>
  <c r="F100" i="1"/>
  <c r="F636" i="1"/>
  <c r="F633" i="1"/>
  <c r="F606" i="1"/>
  <c r="F554" i="1"/>
  <c r="F551" i="1"/>
  <c r="F550" i="1"/>
  <c r="F549" i="1"/>
  <c r="F548" i="1"/>
  <c r="F546" i="1"/>
  <c r="F525" i="1"/>
  <c r="F522" i="1"/>
  <c r="F498" i="1"/>
  <c r="F493" i="1"/>
  <c r="F490" i="1"/>
  <c r="F489" i="1"/>
  <c r="F486" i="1"/>
  <c r="L378" i="1" l="1"/>
  <c r="M378" i="1" s="1"/>
  <c r="N378" i="1"/>
  <c r="O378" i="1" s="1"/>
  <c r="P378" i="1"/>
  <c r="Q378" i="1" s="1"/>
  <c r="R378" i="1"/>
  <c r="S378" i="1" s="1"/>
  <c r="T378" i="1"/>
  <c r="U378" i="1" s="1"/>
  <c r="V378" i="1"/>
  <c r="W378" i="1" s="1"/>
  <c r="N301" i="1"/>
  <c r="L301" i="1"/>
  <c r="V301" i="1"/>
  <c r="T301" i="1"/>
  <c r="P301" i="1"/>
  <c r="R301" i="1"/>
  <c r="T433" i="1"/>
  <c r="U433" i="1" s="1"/>
  <c r="R433" i="1"/>
  <c r="S433" i="1" s="1"/>
  <c r="P433" i="1"/>
  <c r="Q433" i="1" s="1"/>
  <c r="N433" i="1"/>
  <c r="O433" i="1" s="1"/>
  <c r="L433" i="1"/>
  <c r="M433" i="1" s="1"/>
  <c r="J433" i="1"/>
  <c r="K433" i="1" s="1"/>
  <c r="V433" i="1"/>
  <c r="W433" i="1" s="1"/>
  <c r="F511" i="1"/>
  <c r="F510" i="1"/>
  <c r="F407" i="1"/>
  <c r="F405" i="1"/>
  <c r="F401" i="1"/>
  <c r="F389" i="1"/>
  <c r="F404" i="1"/>
  <c r="F386" i="1"/>
  <c r="F381" i="1"/>
  <c r="F377" i="1"/>
  <c r="F307" i="1"/>
  <c r="F306" i="1"/>
  <c r="F305" i="1"/>
  <c r="F303" i="1"/>
  <c r="F310" i="1"/>
  <c r="F312" i="1"/>
  <c r="F314" i="1"/>
  <c r="F331" i="1"/>
  <c r="F309" i="1"/>
  <c r="F308" i="1"/>
  <c r="F321" i="1"/>
  <c r="F324" i="1"/>
  <c r="F325" i="1"/>
  <c r="F332" i="1"/>
  <c r="F363" i="1"/>
  <c r="F366" i="1"/>
  <c r="F373" i="1"/>
  <c r="F374" i="1"/>
  <c r="F334" i="1"/>
  <c r="F337" i="1"/>
  <c r="F340" i="1"/>
  <c r="F343" i="1"/>
  <c r="F360" i="1"/>
  <c r="F359" i="1"/>
  <c r="F330" i="1"/>
  <c r="F328" i="1"/>
  <c r="F304" i="1"/>
  <c r="F299" i="1"/>
  <c r="F204" i="1"/>
  <c r="P204" i="1" l="1"/>
  <c r="Q204" i="1" s="1"/>
  <c r="N204" i="1"/>
  <c r="O204" i="1" s="1"/>
  <c r="L204" i="1"/>
  <c r="M204" i="1" s="1"/>
  <c r="R204" i="1"/>
  <c r="S204" i="1" s="1"/>
  <c r="J204" i="1"/>
  <c r="K204" i="1" s="1"/>
  <c r="H204" i="1"/>
  <c r="I204" i="1" s="1"/>
  <c r="V204" i="1"/>
  <c r="W204" i="1" s="1"/>
  <c r="T204" i="1"/>
  <c r="U204" i="1" s="1"/>
  <c r="L312" i="1"/>
  <c r="M312" i="1" s="1"/>
  <c r="V312" i="1"/>
  <c r="W312" i="1" s="1"/>
  <c r="T312" i="1"/>
  <c r="U312" i="1" s="1"/>
  <c r="R312" i="1"/>
  <c r="S312" i="1" s="1"/>
  <c r="N312" i="1"/>
  <c r="O312" i="1" s="1"/>
  <c r="P312" i="1"/>
  <c r="Q312" i="1" s="1"/>
  <c r="V363" i="1"/>
  <c r="R363" i="1"/>
  <c r="H363" i="1"/>
  <c r="L363" i="1"/>
  <c r="J363" i="1"/>
  <c r="N363" i="1"/>
  <c r="P363" i="1"/>
  <c r="T363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N299" i="1"/>
  <c r="O299" i="1" s="1"/>
  <c r="L299" i="1"/>
  <c r="M299" i="1" s="1"/>
  <c r="J299" i="1"/>
  <c r="K299" i="1" s="1"/>
  <c r="H299" i="1"/>
  <c r="I299" i="1" s="1"/>
  <c r="V299" i="1"/>
  <c r="W299" i="1" s="1"/>
  <c r="T299" i="1"/>
  <c r="U299" i="1" s="1"/>
  <c r="R299" i="1"/>
  <c r="S299" i="1" s="1"/>
  <c r="P299" i="1"/>
  <c r="Q299" i="1" s="1"/>
  <c r="L304" i="1"/>
  <c r="M304" i="1" s="1"/>
  <c r="V304" i="1"/>
  <c r="W304" i="1" s="1"/>
  <c r="T304" i="1"/>
  <c r="U304" i="1" s="1"/>
  <c r="R304" i="1"/>
  <c r="S304" i="1" s="1"/>
  <c r="P304" i="1"/>
  <c r="Q304" i="1" s="1"/>
  <c r="N304" i="1"/>
  <c r="O304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N328" i="1"/>
  <c r="O328" i="1" s="1"/>
  <c r="L328" i="1"/>
  <c r="M328" i="1" s="1"/>
  <c r="V328" i="1"/>
  <c r="W328" i="1" s="1"/>
  <c r="T328" i="1"/>
  <c r="U328" i="1" s="1"/>
  <c r="R328" i="1"/>
  <c r="S328" i="1" s="1"/>
  <c r="P328" i="1"/>
  <c r="Q328" i="1" s="1"/>
  <c r="T305" i="1"/>
  <c r="U305" i="1" s="1"/>
  <c r="R305" i="1"/>
  <c r="S305" i="1" s="1"/>
  <c r="P305" i="1"/>
  <c r="Q305" i="1" s="1"/>
  <c r="N305" i="1"/>
  <c r="O305" i="1" s="1"/>
  <c r="L305" i="1"/>
  <c r="M305" i="1" s="1"/>
  <c r="V305" i="1"/>
  <c r="W305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V325" i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T360" i="1"/>
  <c r="U360" i="1" s="1"/>
  <c r="R360" i="1"/>
  <c r="S360" i="1" s="1"/>
  <c r="P360" i="1"/>
  <c r="Q360" i="1" s="1"/>
  <c r="N360" i="1"/>
  <c r="O360" i="1" s="1"/>
  <c r="L360" i="1"/>
  <c r="M360" i="1" s="1"/>
  <c r="V360" i="1"/>
  <c r="W360" i="1" s="1"/>
  <c r="V361" i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T321" i="1"/>
  <c r="U321" i="1" s="1"/>
  <c r="R321" i="1"/>
  <c r="S321" i="1" s="1"/>
  <c r="P321" i="1"/>
  <c r="Q321" i="1" s="1"/>
  <c r="N321" i="1"/>
  <c r="O321" i="1" s="1"/>
  <c r="L321" i="1"/>
  <c r="M321" i="1" s="1"/>
  <c r="V321" i="1"/>
  <c r="W321" i="1" s="1"/>
  <c r="L381" i="1"/>
  <c r="M381" i="1" s="1"/>
  <c r="N381" i="1"/>
  <c r="O381" i="1" s="1"/>
  <c r="P381" i="1"/>
  <c r="Q381" i="1" s="1"/>
  <c r="R381" i="1"/>
  <c r="S381" i="1" s="1"/>
  <c r="T381" i="1"/>
  <c r="U381" i="1" s="1"/>
  <c r="V381" i="1"/>
  <c r="W381" i="1" s="1"/>
  <c r="P405" i="1"/>
  <c r="Q405" i="1" s="1"/>
  <c r="N405" i="1"/>
  <c r="O405" i="1" s="1"/>
  <c r="L405" i="1"/>
  <c r="M405" i="1" s="1"/>
  <c r="J405" i="1"/>
  <c r="K405" i="1" s="1"/>
  <c r="H405" i="1"/>
  <c r="I405" i="1" s="1"/>
  <c r="R405" i="1"/>
  <c r="S405" i="1" s="1"/>
  <c r="L373" i="1"/>
  <c r="M373" i="1" s="1"/>
  <c r="N373" i="1"/>
  <c r="O373" i="1" s="1"/>
  <c r="P373" i="1"/>
  <c r="Q373" i="1" s="1"/>
  <c r="R373" i="1"/>
  <c r="S373" i="1" s="1"/>
  <c r="T373" i="1"/>
  <c r="U373" i="1" s="1"/>
  <c r="V373" i="1"/>
  <c r="W373" i="1" s="1"/>
  <c r="V330" i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V386" i="1"/>
  <c r="W386" i="1" s="1"/>
  <c r="T386" i="1"/>
  <c r="U386" i="1" s="1"/>
  <c r="R386" i="1"/>
  <c r="S386" i="1" s="1"/>
  <c r="P386" i="1"/>
  <c r="Q386" i="1" s="1"/>
  <c r="N386" i="1"/>
  <c r="O386" i="1" s="1"/>
  <c r="L386" i="1"/>
  <c r="M386" i="1" s="1"/>
  <c r="J386" i="1"/>
  <c r="K386" i="1" s="1"/>
  <c r="H386" i="1"/>
  <c r="I386" i="1" s="1"/>
  <c r="N401" i="1"/>
  <c r="O401" i="1" s="1"/>
  <c r="L401" i="1"/>
  <c r="M401" i="1" s="1"/>
  <c r="J401" i="1"/>
  <c r="K401" i="1" s="1"/>
  <c r="P401" i="1"/>
  <c r="Q401" i="1" s="1"/>
  <c r="H401" i="1"/>
  <c r="I401" i="1" s="1"/>
  <c r="V401" i="1"/>
  <c r="W401" i="1" s="1"/>
  <c r="T401" i="1"/>
  <c r="U401" i="1" s="1"/>
  <c r="R401" i="1"/>
  <c r="S401" i="1" s="1"/>
  <c r="N407" i="1"/>
  <c r="R407" i="1"/>
  <c r="L407" i="1"/>
  <c r="J407" i="1"/>
  <c r="H407" i="1"/>
  <c r="V407" i="1"/>
  <c r="T407" i="1"/>
  <c r="P407" i="1"/>
  <c r="R307" i="1"/>
  <c r="S307" i="1" s="1"/>
  <c r="P307" i="1"/>
  <c r="Q307" i="1" s="1"/>
  <c r="N307" i="1"/>
  <c r="O307" i="1" s="1"/>
  <c r="L307" i="1"/>
  <c r="M307" i="1" s="1"/>
  <c r="V307" i="1"/>
  <c r="W307" i="1" s="1"/>
  <c r="T307" i="1"/>
  <c r="U307" i="1" s="1"/>
  <c r="T324" i="1"/>
  <c r="U324" i="1" s="1"/>
  <c r="R324" i="1"/>
  <c r="S324" i="1" s="1"/>
  <c r="P324" i="1"/>
  <c r="Q324" i="1" s="1"/>
  <c r="N324" i="1"/>
  <c r="O324" i="1" s="1"/>
  <c r="L324" i="1"/>
  <c r="M324" i="1" s="1"/>
  <c r="V324" i="1"/>
  <c r="W324" i="1" s="1"/>
  <c r="L377" i="1"/>
  <c r="M377" i="1" s="1"/>
  <c r="N377" i="1"/>
  <c r="O377" i="1" s="1"/>
  <c r="P377" i="1"/>
  <c r="Q377" i="1" s="1"/>
  <c r="R377" i="1"/>
  <c r="S377" i="1" s="1"/>
  <c r="T377" i="1"/>
  <c r="U377" i="1" s="1"/>
  <c r="V377" i="1"/>
  <c r="W377" i="1" s="1"/>
  <c r="V343" i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L340" i="1"/>
  <c r="M340" i="1" s="1"/>
  <c r="V340" i="1"/>
  <c r="W340" i="1" s="1"/>
  <c r="T340" i="1"/>
  <c r="U340" i="1" s="1"/>
  <c r="R340" i="1"/>
  <c r="S340" i="1" s="1"/>
  <c r="P340" i="1"/>
  <c r="Q340" i="1" s="1"/>
  <c r="N340" i="1"/>
  <c r="O340" i="1" s="1"/>
  <c r="L309" i="1"/>
  <c r="M309" i="1" s="1"/>
  <c r="V309" i="1"/>
  <c r="W309" i="1" s="1"/>
  <c r="T309" i="1"/>
  <c r="U309" i="1" s="1"/>
  <c r="R309" i="1"/>
  <c r="S309" i="1" s="1"/>
  <c r="P309" i="1"/>
  <c r="Q309" i="1" s="1"/>
  <c r="N309" i="1"/>
  <c r="O309" i="1" s="1"/>
  <c r="H404" i="1"/>
  <c r="I404" i="1" s="1"/>
  <c r="V404" i="1"/>
  <c r="W404" i="1" s="1"/>
  <c r="T404" i="1"/>
  <c r="U404" i="1" s="1"/>
  <c r="R404" i="1"/>
  <c r="S404" i="1" s="1"/>
  <c r="P404" i="1"/>
  <c r="Q404" i="1" s="1"/>
  <c r="N404" i="1"/>
  <c r="O404" i="1" s="1"/>
  <c r="L404" i="1"/>
  <c r="M404" i="1" s="1"/>
  <c r="J404" i="1"/>
  <c r="K404" i="1" s="1"/>
  <c r="V334" i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J334" i="1"/>
  <c r="K334" i="1" s="1"/>
  <c r="H334" i="1"/>
  <c r="I334" i="1" s="1"/>
  <c r="L374" i="1"/>
  <c r="M374" i="1" s="1"/>
  <c r="N374" i="1"/>
  <c r="O374" i="1" s="1"/>
  <c r="P374" i="1"/>
  <c r="Q374" i="1" s="1"/>
  <c r="R374" i="1"/>
  <c r="S374" i="1" s="1"/>
  <c r="T374" i="1"/>
  <c r="U374" i="1" s="1"/>
  <c r="V374" i="1"/>
  <c r="W374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V366" i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N337" i="1"/>
  <c r="O337" i="1" s="1"/>
  <c r="L337" i="1"/>
  <c r="M337" i="1" s="1"/>
  <c r="V337" i="1"/>
  <c r="W337" i="1" s="1"/>
  <c r="T337" i="1"/>
  <c r="U337" i="1" s="1"/>
  <c r="P337" i="1"/>
  <c r="Q337" i="1" s="1"/>
  <c r="R337" i="1"/>
  <c r="S337" i="1" s="1"/>
  <c r="T331" i="1"/>
  <c r="U331" i="1" s="1"/>
  <c r="R331" i="1"/>
  <c r="S331" i="1" s="1"/>
  <c r="P331" i="1"/>
  <c r="Q331" i="1" s="1"/>
  <c r="N331" i="1"/>
  <c r="O331" i="1" s="1"/>
  <c r="L331" i="1"/>
  <c r="M331" i="1" s="1"/>
  <c r="V331" i="1"/>
  <c r="W331" i="1" s="1"/>
  <c r="R389" i="1"/>
  <c r="S389" i="1" s="1"/>
  <c r="P389" i="1"/>
  <c r="Q389" i="1" s="1"/>
  <c r="N389" i="1"/>
  <c r="O389" i="1" s="1"/>
  <c r="L389" i="1"/>
  <c r="M389" i="1" s="1"/>
  <c r="J389" i="1"/>
  <c r="K389" i="1" s="1"/>
  <c r="H389" i="1"/>
  <c r="I389" i="1" s="1"/>
  <c r="V389" i="1"/>
  <c r="W389" i="1" s="1"/>
  <c r="T389" i="1"/>
  <c r="U389" i="1" s="1"/>
  <c r="F280" i="1"/>
  <c r="H280" i="1" l="1"/>
  <c r="I280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F234" i="1"/>
  <c r="F231" i="1"/>
  <c r="F226" i="1"/>
  <c r="F245" i="1"/>
  <c r="G273" i="1"/>
  <c r="F222" i="1"/>
  <c r="J222" i="1" s="1"/>
  <c r="V57" i="1"/>
  <c r="T57" i="1"/>
  <c r="P57" i="1"/>
  <c r="R57" i="1"/>
  <c r="N57" i="1"/>
  <c r="L57" i="1"/>
  <c r="J57" i="1"/>
  <c r="W127" i="1"/>
  <c r="U127" i="1"/>
  <c r="S127" i="1"/>
  <c r="Q127" i="1"/>
  <c r="O127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41" i="1"/>
  <c r="U41" i="1"/>
  <c r="S41" i="1"/>
  <c r="Q41" i="1"/>
  <c r="O41" i="1"/>
  <c r="R234" i="1" l="1"/>
  <c r="S234" i="1" s="1"/>
  <c r="P234" i="1"/>
  <c r="Q234" i="1" s="1"/>
  <c r="N234" i="1"/>
  <c r="O234" i="1" s="1"/>
  <c r="L234" i="1"/>
  <c r="M234" i="1" s="1"/>
  <c r="J234" i="1"/>
  <c r="K234" i="1" s="1"/>
  <c r="H234" i="1"/>
  <c r="I234" i="1" s="1"/>
  <c r="T234" i="1"/>
  <c r="U234" i="1" s="1"/>
  <c r="V234" i="1"/>
  <c r="W234" i="1" s="1"/>
  <c r="L231" i="1"/>
  <c r="M231" i="1" s="1"/>
  <c r="J231" i="1"/>
  <c r="K231" i="1" s="1"/>
  <c r="V231" i="1"/>
  <c r="W231" i="1" s="1"/>
  <c r="H231" i="1"/>
  <c r="I231" i="1" s="1"/>
  <c r="N231" i="1"/>
  <c r="O231" i="1" s="1"/>
  <c r="T231" i="1"/>
  <c r="U231" i="1" s="1"/>
  <c r="R231" i="1"/>
  <c r="S231" i="1" s="1"/>
  <c r="P231" i="1"/>
  <c r="Q231" i="1" s="1"/>
  <c r="H245" i="1"/>
  <c r="I245" i="1" s="1"/>
  <c r="V245" i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26" i="1"/>
  <c r="I226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L222" i="1"/>
  <c r="M222" i="1" s="1"/>
  <c r="N222" i="1"/>
  <c r="O222" i="1" s="1"/>
  <c r="P222" i="1"/>
  <c r="Q222" i="1" s="1"/>
  <c r="R222" i="1"/>
  <c r="S222" i="1" s="1"/>
  <c r="T222" i="1"/>
  <c r="U222" i="1" s="1"/>
  <c r="V222" i="1"/>
  <c r="W222" i="1" s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362" i="1" l="1"/>
  <c r="F28" i="1"/>
  <c r="F185" i="1"/>
  <c r="F184" i="1"/>
  <c r="F263" i="1"/>
  <c r="F555" i="1"/>
  <c r="V555" i="1" s="1"/>
  <c r="W555" i="1" s="1"/>
  <c r="F251" i="1"/>
  <c r="F166" i="1"/>
  <c r="F246" i="1"/>
  <c r="F440" i="1"/>
  <c r="F441" i="1"/>
  <c r="F165" i="1"/>
  <c r="F244" i="1"/>
  <c r="F382" i="1"/>
  <c r="F241" i="1"/>
  <c r="F262" i="1"/>
  <c r="F252" i="1"/>
  <c r="F391" i="1"/>
  <c r="F376" i="1"/>
  <c r="F406" i="1"/>
  <c r="F254" i="1"/>
  <c r="F248" i="1"/>
  <c r="F247" i="1"/>
  <c r="F375" i="1"/>
  <c r="F372" i="1"/>
  <c r="N166" i="1" l="1"/>
  <c r="O166" i="1" s="1"/>
  <c r="J166" i="1"/>
  <c r="K166" i="1" s="1"/>
  <c r="H166" i="1"/>
  <c r="I166" i="1" s="1"/>
  <c r="P166" i="1"/>
  <c r="Q166" i="1" s="1"/>
  <c r="L166" i="1"/>
  <c r="M166" i="1" s="1"/>
  <c r="V166" i="1"/>
  <c r="W166" i="1" s="1"/>
  <c r="T166" i="1"/>
  <c r="U166" i="1" s="1"/>
  <c r="R166" i="1"/>
  <c r="S166" i="1" s="1"/>
  <c r="P247" i="1"/>
  <c r="Q247" i="1" s="1"/>
  <c r="N247" i="1"/>
  <c r="O247" i="1" s="1"/>
  <c r="L247" i="1"/>
  <c r="M247" i="1" s="1"/>
  <c r="J247" i="1"/>
  <c r="K247" i="1" s="1"/>
  <c r="R247" i="1"/>
  <c r="S247" i="1" s="1"/>
  <c r="H247" i="1"/>
  <c r="I247" i="1" s="1"/>
  <c r="V247" i="1"/>
  <c r="W247" i="1" s="1"/>
  <c r="T247" i="1"/>
  <c r="U247" i="1" s="1"/>
  <c r="V165" i="1"/>
  <c r="W165" i="1" s="1"/>
  <c r="T165" i="1"/>
  <c r="U165" i="1" s="1"/>
  <c r="R165" i="1"/>
  <c r="S165" i="1" s="1"/>
  <c r="P165" i="1"/>
  <c r="Q165" i="1" s="1"/>
  <c r="H165" i="1"/>
  <c r="N165" i="1"/>
  <c r="O165" i="1" s="1"/>
  <c r="L165" i="1"/>
  <c r="M165" i="1" s="1"/>
  <c r="J165" i="1"/>
  <c r="K165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254" i="1"/>
  <c r="W254" i="1" s="1"/>
  <c r="T254" i="1"/>
  <c r="U254" i="1" s="1"/>
  <c r="R254" i="1"/>
  <c r="S254" i="1" s="1"/>
  <c r="P254" i="1"/>
  <c r="Q254" i="1" s="1"/>
  <c r="H254" i="1"/>
  <c r="I254" i="1" s="1"/>
  <c r="N254" i="1"/>
  <c r="O254" i="1" s="1"/>
  <c r="L254" i="1"/>
  <c r="M254" i="1" s="1"/>
  <c r="J254" i="1"/>
  <c r="K254" i="1" s="1"/>
  <c r="H251" i="1"/>
  <c r="I251" i="1" s="1"/>
  <c r="V251" i="1"/>
  <c r="W251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R262" i="1"/>
  <c r="S262" i="1" s="1"/>
  <c r="P262" i="1"/>
  <c r="Q262" i="1" s="1"/>
  <c r="T262" i="1"/>
  <c r="U262" i="1" s="1"/>
  <c r="N262" i="1"/>
  <c r="O262" i="1" s="1"/>
  <c r="L262" i="1"/>
  <c r="M262" i="1" s="1"/>
  <c r="J262" i="1"/>
  <c r="K262" i="1" s="1"/>
  <c r="V262" i="1"/>
  <c r="W262" i="1" s="1"/>
  <c r="H262" i="1"/>
  <c r="I262" i="1" s="1"/>
  <c r="V248" i="1"/>
  <c r="W248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L246" i="1"/>
  <c r="M246" i="1" s="1"/>
  <c r="J246" i="1"/>
  <c r="K246" i="1" s="1"/>
  <c r="H246" i="1"/>
  <c r="I246" i="1" s="1"/>
  <c r="N246" i="1"/>
  <c r="O246" i="1" s="1"/>
  <c r="V246" i="1"/>
  <c r="W246" i="1" s="1"/>
  <c r="T246" i="1"/>
  <c r="U246" i="1" s="1"/>
  <c r="R246" i="1"/>
  <c r="S246" i="1" s="1"/>
  <c r="P246" i="1"/>
  <c r="Q246" i="1" s="1"/>
  <c r="N252" i="1"/>
  <c r="O252" i="1" s="1"/>
  <c r="L252" i="1"/>
  <c r="M252" i="1" s="1"/>
  <c r="J252" i="1"/>
  <c r="K252" i="1" s="1"/>
  <c r="H252" i="1"/>
  <c r="I252" i="1" s="1"/>
  <c r="V252" i="1"/>
  <c r="W252" i="1" s="1"/>
  <c r="P252" i="1"/>
  <c r="Q252" i="1" s="1"/>
  <c r="T252" i="1"/>
  <c r="U252" i="1" s="1"/>
  <c r="R252" i="1"/>
  <c r="S252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3" i="1"/>
  <c r="W263" i="1" s="1"/>
  <c r="T263" i="1"/>
  <c r="U263" i="1" s="1"/>
  <c r="N184" i="1"/>
  <c r="O184" i="1" s="1"/>
  <c r="L184" i="1"/>
  <c r="M184" i="1" s="1"/>
  <c r="V184" i="1"/>
  <c r="W184" i="1" s="1"/>
  <c r="T184" i="1"/>
  <c r="U184" i="1" s="1"/>
  <c r="P184" i="1"/>
  <c r="Q184" i="1" s="1"/>
  <c r="R184" i="1"/>
  <c r="S184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L376" i="1"/>
  <c r="M376" i="1" s="1"/>
  <c r="N376" i="1"/>
  <c r="O376" i="1" s="1"/>
  <c r="P376" i="1"/>
  <c r="Q376" i="1" s="1"/>
  <c r="R376" i="1"/>
  <c r="S376" i="1" s="1"/>
  <c r="T376" i="1"/>
  <c r="U376" i="1" s="1"/>
  <c r="V376" i="1"/>
  <c r="W376" i="1" s="1"/>
  <c r="H406" i="1"/>
  <c r="I406" i="1" s="1"/>
  <c r="L406" i="1"/>
  <c r="M406" i="1" s="1"/>
  <c r="V406" i="1"/>
  <c r="W406" i="1" s="1"/>
  <c r="T406" i="1"/>
  <c r="U406" i="1" s="1"/>
  <c r="R406" i="1"/>
  <c r="S406" i="1" s="1"/>
  <c r="P406" i="1"/>
  <c r="Q406" i="1" s="1"/>
  <c r="N406" i="1"/>
  <c r="O406" i="1" s="1"/>
  <c r="J406" i="1"/>
  <c r="K406" i="1" s="1"/>
  <c r="V441" i="1"/>
  <c r="W441" i="1" s="1"/>
  <c r="T441" i="1"/>
  <c r="U441" i="1" s="1"/>
  <c r="R441" i="1"/>
  <c r="S441" i="1" s="1"/>
  <c r="P441" i="1"/>
  <c r="Q441" i="1" s="1"/>
  <c r="N441" i="1"/>
  <c r="O441" i="1" s="1"/>
  <c r="L441" i="1"/>
  <c r="M441" i="1" s="1"/>
  <c r="J441" i="1"/>
  <c r="K441" i="1" s="1"/>
  <c r="H441" i="1"/>
  <c r="I441" i="1" s="1"/>
  <c r="H391" i="1"/>
  <c r="I391" i="1" s="1"/>
  <c r="L391" i="1"/>
  <c r="M391" i="1" s="1"/>
  <c r="V391" i="1"/>
  <c r="W391" i="1" s="1"/>
  <c r="T391" i="1"/>
  <c r="U391" i="1" s="1"/>
  <c r="R391" i="1"/>
  <c r="S391" i="1" s="1"/>
  <c r="P391" i="1"/>
  <c r="Q391" i="1" s="1"/>
  <c r="N391" i="1"/>
  <c r="O391" i="1" s="1"/>
  <c r="J391" i="1"/>
  <c r="K391" i="1" s="1"/>
  <c r="H440" i="1"/>
  <c r="I440" i="1" s="1"/>
  <c r="L440" i="1"/>
  <c r="M440" i="1" s="1"/>
  <c r="P440" i="1"/>
  <c r="J440" i="1"/>
  <c r="K440" i="1" s="1"/>
  <c r="L382" i="1"/>
  <c r="M382" i="1" s="1"/>
  <c r="N382" i="1"/>
  <c r="O382" i="1" s="1"/>
  <c r="P382" i="1"/>
  <c r="Q382" i="1" s="1"/>
  <c r="R382" i="1"/>
  <c r="S382" i="1" s="1"/>
  <c r="T382" i="1"/>
  <c r="U382" i="1" s="1"/>
  <c r="V382" i="1"/>
  <c r="W382" i="1" s="1"/>
  <c r="L375" i="1"/>
  <c r="M375" i="1" s="1"/>
  <c r="N375" i="1"/>
  <c r="O375" i="1" s="1"/>
  <c r="P375" i="1"/>
  <c r="Q375" i="1" s="1"/>
  <c r="R375" i="1"/>
  <c r="S375" i="1" s="1"/>
  <c r="T375" i="1"/>
  <c r="U375" i="1" s="1"/>
  <c r="V375" i="1"/>
  <c r="W375" i="1" s="1"/>
  <c r="L372" i="1"/>
  <c r="M372" i="1" s="1"/>
  <c r="N372" i="1"/>
  <c r="O372" i="1" s="1"/>
  <c r="P372" i="1"/>
  <c r="Q372" i="1" s="1"/>
  <c r="R372" i="1"/>
  <c r="S372" i="1" s="1"/>
  <c r="T372" i="1"/>
  <c r="U372" i="1" s="1"/>
  <c r="V372" i="1"/>
  <c r="W372" i="1" s="1"/>
  <c r="T362" i="1"/>
  <c r="U362" i="1" s="1"/>
  <c r="R362" i="1"/>
  <c r="S362" i="1" s="1"/>
  <c r="P362" i="1"/>
  <c r="Q362" i="1" s="1"/>
  <c r="N362" i="1"/>
  <c r="O362" i="1" s="1"/>
  <c r="L362" i="1"/>
  <c r="M362" i="1" s="1"/>
  <c r="V362" i="1"/>
  <c r="W362" i="1" s="1"/>
  <c r="G185" i="1"/>
  <c r="G263" i="1"/>
  <c r="G555" i="1"/>
  <c r="T555" i="1"/>
  <c r="U555" i="1" s="1"/>
  <c r="L555" i="1"/>
  <c r="M555" i="1" s="1"/>
  <c r="N555" i="1"/>
  <c r="O555" i="1" s="1"/>
  <c r="P555" i="1"/>
  <c r="Q555" i="1" s="1"/>
  <c r="R555" i="1"/>
  <c r="S555" i="1" s="1"/>
  <c r="H555" i="1"/>
  <c r="I555" i="1" s="1"/>
  <c r="J555" i="1"/>
  <c r="K555" i="1" s="1"/>
  <c r="F255" i="1" l="1"/>
  <c r="J255" i="1" l="1"/>
  <c r="K255" i="1" s="1"/>
  <c r="H255" i="1"/>
  <c r="I255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416" i="1"/>
  <c r="K416" i="1" s="1"/>
  <c r="P416" i="1"/>
  <c r="R416" i="1"/>
  <c r="T416" i="1"/>
  <c r="V416" i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J140" i="1"/>
  <c r="V140" i="1"/>
  <c r="T140" i="1"/>
  <c r="R140" i="1"/>
  <c r="P140" i="1"/>
  <c r="N140" i="1"/>
  <c r="L140" i="1"/>
  <c r="N206" i="1"/>
  <c r="O206" i="1" s="1"/>
  <c r="L206" i="1"/>
  <c r="M206" i="1" s="1"/>
  <c r="J206" i="1"/>
  <c r="K206" i="1" s="1"/>
  <c r="V463" i="1"/>
  <c r="N463" i="1"/>
  <c r="H463" i="1"/>
  <c r="F630" i="1"/>
  <c r="F543" i="1"/>
  <c r="F537" i="1" l="1"/>
  <c r="F536" i="1"/>
  <c r="J526" i="1"/>
  <c r="K526" i="1" s="1"/>
  <c r="N525" i="1"/>
  <c r="O525" i="1" s="1"/>
  <c r="H527" i="1"/>
  <c r="I527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J527" i="1"/>
  <c r="K527" i="1" s="1"/>
  <c r="L527" i="1"/>
  <c r="M527" i="1" s="1"/>
  <c r="N527" i="1"/>
  <c r="O527" i="1" s="1"/>
  <c r="P527" i="1"/>
  <c r="Q527" i="1" s="1"/>
  <c r="R527" i="1"/>
  <c r="S527" i="1" s="1"/>
  <c r="T527" i="1"/>
  <c r="U527" i="1" s="1"/>
  <c r="V527" i="1"/>
  <c r="W527" i="1" s="1"/>
  <c r="J530" i="1"/>
  <c r="K530" i="1" s="1"/>
  <c r="L530" i="1"/>
  <c r="M530" i="1" s="1"/>
  <c r="N530" i="1"/>
  <c r="O530" i="1" s="1"/>
  <c r="P530" i="1"/>
  <c r="Q530" i="1" s="1"/>
  <c r="R530" i="1"/>
  <c r="S530" i="1" s="1"/>
  <c r="T530" i="1"/>
  <c r="U530" i="1" s="1"/>
  <c r="V530" i="1"/>
  <c r="W530" i="1" s="1"/>
  <c r="J541" i="1"/>
  <c r="K541" i="1" s="1"/>
  <c r="L541" i="1"/>
  <c r="M541" i="1" s="1"/>
  <c r="N541" i="1"/>
  <c r="O541" i="1" s="1"/>
  <c r="P541" i="1"/>
  <c r="Q541" i="1" s="1"/>
  <c r="R541" i="1"/>
  <c r="S541" i="1" s="1"/>
  <c r="T541" i="1"/>
  <c r="U541" i="1" s="1"/>
  <c r="V541" i="1"/>
  <c r="W541" i="1" s="1"/>
  <c r="F505" i="1"/>
  <c r="F504" i="1"/>
  <c r="F503" i="1"/>
  <c r="F502" i="1"/>
  <c r="F501" i="1"/>
  <c r="F500" i="1"/>
  <c r="F492" i="1"/>
  <c r="F491" i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V482" i="1"/>
  <c r="N481" i="1"/>
  <c r="P506" i="1"/>
  <c r="Q506" i="1" s="1"/>
  <c r="N506" i="1"/>
  <c r="O506" i="1" s="1"/>
  <c r="L506" i="1"/>
  <c r="M506" i="1" s="1"/>
  <c r="J506" i="1"/>
  <c r="K506" i="1" s="1"/>
  <c r="H506" i="1"/>
  <c r="I506" i="1" s="1"/>
  <c r="F544" i="1"/>
  <c r="V544" i="1" s="1"/>
  <c r="W544" i="1" s="1"/>
  <c r="F545" i="1"/>
  <c r="J545" i="1" s="1"/>
  <c r="K545" i="1" s="1"/>
  <c r="V177" i="1"/>
  <c r="T177" i="1"/>
  <c r="R177" i="1"/>
  <c r="P177" i="1"/>
  <c r="N177" i="1"/>
  <c r="L177" i="1"/>
  <c r="N526" i="1" l="1"/>
  <c r="O526" i="1" s="1"/>
  <c r="R545" i="1"/>
  <c r="S545" i="1" s="1"/>
  <c r="P481" i="1"/>
  <c r="V545" i="1"/>
  <c r="W545" i="1" s="1"/>
  <c r="L545" i="1"/>
  <c r="M545" i="1" s="1"/>
  <c r="J482" i="1"/>
  <c r="N482" i="1"/>
  <c r="T525" i="1"/>
  <c r="U525" i="1" s="1"/>
  <c r="P482" i="1"/>
  <c r="T545" i="1"/>
  <c r="U545" i="1" s="1"/>
  <c r="R525" i="1"/>
  <c r="S525" i="1" s="1"/>
  <c r="R481" i="1"/>
  <c r="V481" i="1"/>
  <c r="L482" i="1"/>
  <c r="R482" i="1"/>
  <c r="L525" i="1"/>
  <c r="M525" i="1" s="1"/>
  <c r="T482" i="1"/>
  <c r="P545" i="1"/>
  <c r="Q545" i="1" s="1"/>
  <c r="V526" i="1"/>
  <c r="W526" i="1" s="1"/>
  <c r="J525" i="1"/>
  <c r="K525" i="1" s="1"/>
  <c r="T481" i="1"/>
  <c r="T526" i="1"/>
  <c r="U526" i="1" s="1"/>
  <c r="L526" i="1"/>
  <c r="M526" i="1" s="1"/>
  <c r="R526" i="1"/>
  <c r="S526" i="1" s="1"/>
  <c r="H526" i="1"/>
  <c r="I526" i="1" s="1"/>
  <c r="P526" i="1"/>
  <c r="Q526" i="1" s="1"/>
  <c r="H525" i="1"/>
  <c r="I525" i="1" s="1"/>
  <c r="H482" i="1"/>
  <c r="V525" i="1"/>
  <c r="W525" i="1" s="1"/>
  <c r="T544" i="1"/>
  <c r="U544" i="1" s="1"/>
  <c r="R544" i="1"/>
  <c r="S544" i="1" s="1"/>
  <c r="P544" i="1"/>
  <c r="Q544" i="1" s="1"/>
  <c r="P525" i="1"/>
  <c r="Q525" i="1" s="1"/>
  <c r="N545" i="1"/>
  <c r="O545" i="1" s="1"/>
  <c r="N544" i="1"/>
  <c r="O544" i="1" s="1"/>
  <c r="H545" i="1"/>
  <c r="I545" i="1" s="1"/>
  <c r="H544" i="1"/>
  <c r="I544" i="1" s="1"/>
  <c r="L544" i="1"/>
  <c r="M544" i="1" s="1"/>
  <c r="J544" i="1"/>
  <c r="K544" i="1" s="1"/>
  <c r="H222" i="1"/>
  <c r="J481" i="1"/>
  <c r="L481" i="1"/>
  <c r="H481" i="1"/>
  <c r="G544" i="1"/>
  <c r="T125" i="1"/>
  <c r="R125" i="1"/>
  <c r="P125" i="1"/>
  <c r="N125" i="1"/>
  <c r="L125" i="1"/>
  <c r="T13" i="1"/>
  <c r="R13" i="1"/>
  <c r="P13" i="1"/>
  <c r="N13" i="1"/>
  <c r="L13" i="1"/>
  <c r="J13" i="1"/>
  <c r="T26" i="1"/>
  <c r="R26" i="1"/>
  <c r="P26" i="1"/>
  <c r="N26" i="1"/>
  <c r="L26" i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F228" i="1" l="1"/>
  <c r="H228" i="1" l="1"/>
  <c r="I228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G233" i="1"/>
  <c r="G228" i="1"/>
  <c r="G386" i="1"/>
  <c r="W224" i="1" l="1"/>
  <c r="U224" i="1"/>
  <c r="S224" i="1"/>
  <c r="Q224" i="1"/>
  <c r="O224" i="1"/>
  <c r="M224" i="1"/>
  <c r="K224" i="1"/>
  <c r="I224" i="1"/>
  <c r="W183" i="1" l="1"/>
  <c r="U183" i="1"/>
  <c r="S183" i="1"/>
  <c r="Q183" i="1"/>
  <c r="O183" i="1"/>
  <c r="M183" i="1"/>
  <c r="T148" i="1" l="1"/>
  <c r="V148" i="1"/>
  <c r="R148" i="1"/>
  <c r="P110" i="1"/>
  <c r="Q110" i="1" s="1"/>
  <c r="N110" i="1"/>
  <c r="O110" i="1" s="1"/>
  <c r="P109" i="1"/>
  <c r="N109" i="1"/>
  <c r="L94" i="1"/>
  <c r="J94" i="1"/>
  <c r="J97" i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V68" i="1"/>
  <c r="T68" i="1"/>
  <c r="R68" i="1"/>
  <c r="P68" i="1"/>
  <c r="N68" i="1"/>
  <c r="L68" i="1"/>
  <c r="J68" i="1"/>
  <c r="H68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P53" i="1"/>
  <c r="N53" i="1"/>
  <c r="L53" i="1"/>
  <c r="J53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69" i="1" l="1"/>
  <c r="W269" i="1" s="1"/>
  <c r="T269" i="1"/>
  <c r="U269" i="1" s="1"/>
  <c r="R269" i="1"/>
  <c r="S269" i="1" s="1"/>
  <c r="P269" i="1"/>
  <c r="Q269" i="1" s="1"/>
  <c r="N269" i="1"/>
  <c r="O269" i="1" s="1"/>
  <c r="V268" i="1"/>
  <c r="W268" i="1" s="1"/>
  <c r="T268" i="1"/>
  <c r="U268" i="1" s="1"/>
  <c r="R268" i="1"/>
  <c r="S268" i="1" s="1"/>
  <c r="P268" i="1"/>
  <c r="Q268" i="1" s="1"/>
  <c r="N268" i="1"/>
  <c r="O268" i="1" s="1"/>
  <c r="V267" i="1"/>
  <c r="W267" i="1" s="1"/>
  <c r="T267" i="1"/>
  <c r="U267" i="1" s="1"/>
  <c r="R267" i="1"/>
  <c r="S267" i="1" s="1"/>
  <c r="P267" i="1"/>
  <c r="Q267" i="1" s="1"/>
  <c r="N267" i="1"/>
  <c r="O267" i="1" s="1"/>
  <c r="V266" i="1"/>
  <c r="W266" i="1" s="1"/>
  <c r="T266" i="1"/>
  <c r="U266" i="1" s="1"/>
  <c r="R266" i="1"/>
  <c r="S266" i="1" s="1"/>
  <c r="P266" i="1"/>
  <c r="Q266" i="1" s="1"/>
  <c r="N266" i="1"/>
  <c r="O266" i="1" s="1"/>
  <c r="R265" i="1"/>
  <c r="T265" i="1"/>
  <c r="V265" i="1"/>
  <c r="P265" i="1"/>
  <c r="N265" i="1"/>
  <c r="V451" i="1"/>
  <c r="W451" i="1" s="1"/>
  <c r="V450" i="1"/>
  <c r="W450" i="1" s="1"/>
  <c r="V449" i="1"/>
  <c r="W449" i="1" s="1"/>
  <c r="V448" i="1"/>
  <c r="W448" i="1" s="1"/>
  <c r="V447" i="1"/>
  <c r="W447" i="1" s="1"/>
  <c r="V446" i="1"/>
  <c r="W446" i="1" s="1"/>
  <c r="J461" i="1"/>
  <c r="J462" i="1"/>
  <c r="J459" i="1"/>
  <c r="J458" i="1"/>
  <c r="H459" i="1"/>
  <c r="H458" i="1"/>
  <c r="H461" i="1"/>
  <c r="H462" i="1"/>
  <c r="V462" i="1"/>
  <c r="W462" i="1" s="1"/>
  <c r="V461" i="1"/>
  <c r="W461" i="1" s="1"/>
  <c r="V458" i="1"/>
  <c r="V459" i="1"/>
  <c r="T458" i="1"/>
  <c r="U458" i="1" s="1"/>
  <c r="R458" i="1"/>
  <c r="S458" i="1" s="1"/>
  <c r="P458" i="1"/>
  <c r="Q458" i="1" s="1"/>
  <c r="N458" i="1"/>
  <c r="O458" i="1" s="1"/>
  <c r="L458" i="1"/>
  <c r="M458" i="1" s="1"/>
  <c r="T459" i="1"/>
  <c r="U459" i="1" s="1"/>
  <c r="R459" i="1"/>
  <c r="S459" i="1" s="1"/>
  <c r="P459" i="1"/>
  <c r="Q459" i="1" s="1"/>
  <c r="N459" i="1"/>
  <c r="O459" i="1" s="1"/>
  <c r="L459" i="1"/>
  <c r="M459" i="1" s="1"/>
  <c r="T462" i="1"/>
  <c r="U462" i="1" s="1"/>
  <c r="R462" i="1"/>
  <c r="S462" i="1" s="1"/>
  <c r="P462" i="1"/>
  <c r="Q462" i="1" s="1"/>
  <c r="N462" i="1"/>
  <c r="O462" i="1" s="1"/>
  <c r="L462" i="1"/>
  <c r="M462" i="1" s="1"/>
  <c r="T461" i="1"/>
  <c r="U461" i="1" s="1"/>
  <c r="R461" i="1"/>
  <c r="S461" i="1" s="1"/>
  <c r="P461" i="1"/>
  <c r="Q461" i="1" s="1"/>
  <c r="N461" i="1"/>
  <c r="O461" i="1" s="1"/>
  <c r="L461" i="1"/>
  <c r="M461" i="1" s="1"/>
  <c r="R447" i="1"/>
  <c r="S447" i="1" s="1"/>
  <c r="R448" i="1"/>
  <c r="S448" i="1" s="1"/>
  <c r="R449" i="1"/>
  <c r="S449" i="1" s="1"/>
  <c r="R450" i="1"/>
  <c r="S450" i="1" s="1"/>
  <c r="R451" i="1"/>
  <c r="S451" i="1" s="1"/>
  <c r="R446" i="1"/>
  <c r="P451" i="1"/>
  <c r="P450" i="1"/>
  <c r="P449" i="1"/>
  <c r="P448" i="1"/>
  <c r="P447" i="1"/>
  <c r="P446" i="1"/>
  <c r="N447" i="1"/>
  <c r="O447" i="1" s="1"/>
  <c r="N448" i="1"/>
  <c r="O448" i="1" s="1"/>
  <c r="N449" i="1"/>
  <c r="O449" i="1" s="1"/>
  <c r="N450" i="1"/>
  <c r="O450" i="1" s="1"/>
  <c r="N446" i="1"/>
  <c r="O446" i="1" s="1"/>
  <c r="N451" i="1"/>
  <c r="L451" i="1"/>
  <c r="L450" i="1"/>
  <c r="L449" i="1"/>
  <c r="L448" i="1"/>
  <c r="L447" i="1"/>
  <c r="L446" i="1"/>
  <c r="T451" i="1"/>
  <c r="T450" i="1"/>
  <c r="T449" i="1"/>
  <c r="T448" i="1"/>
  <c r="T447" i="1"/>
  <c r="T446" i="1"/>
  <c r="V28" i="1" l="1"/>
  <c r="T28" i="1"/>
  <c r="R28" i="1"/>
  <c r="N28" i="1"/>
  <c r="P28" i="1"/>
  <c r="L28" i="1"/>
  <c r="K352" i="1"/>
  <c r="G352" i="1"/>
  <c r="W416" i="1"/>
  <c r="U416" i="1"/>
  <c r="S416" i="1"/>
  <c r="Q416" i="1"/>
  <c r="N416" i="1"/>
  <c r="O416" i="1" s="1"/>
  <c r="M416" i="1"/>
  <c r="V417" i="1"/>
  <c r="W417" i="1" s="1"/>
  <c r="T417" i="1"/>
  <c r="U417" i="1" s="1"/>
  <c r="R417" i="1"/>
  <c r="S417" i="1" s="1"/>
  <c r="P417" i="1"/>
  <c r="Q417" i="1" s="1"/>
  <c r="N417" i="1"/>
  <c r="O417" i="1" s="1"/>
  <c r="L417" i="1"/>
  <c r="M417" i="1" s="1"/>
  <c r="J417" i="1"/>
  <c r="K417" i="1" s="1"/>
  <c r="G417" i="1"/>
  <c r="G418" i="1"/>
  <c r="G416" i="1"/>
  <c r="S407" i="1" l="1"/>
  <c r="Q407" i="1"/>
  <c r="M407" i="1"/>
  <c r="K407" i="1"/>
  <c r="W407" i="1"/>
  <c r="U407" i="1"/>
  <c r="O407" i="1"/>
  <c r="G407" i="1"/>
  <c r="I407" i="1"/>
  <c r="H422" i="1" l="1"/>
  <c r="I422" i="1" s="1"/>
  <c r="V422" i="1"/>
  <c r="W422" i="1" s="1"/>
  <c r="T422" i="1"/>
  <c r="U422" i="1" s="1"/>
  <c r="R422" i="1"/>
  <c r="S422" i="1" s="1"/>
  <c r="P422" i="1"/>
  <c r="Q422" i="1" s="1"/>
  <c r="N422" i="1"/>
  <c r="O422" i="1" s="1"/>
  <c r="L422" i="1"/>
  <c r="M422" i="1" s="1"/>
  <c r="J422" i="1"/>
  <c r="K422" i="1" s="1"/>
  <c r="H421" i="1"/>
  <c r="I421" i="1" s="1"/>
  <c r="V421" i="1"/>
  <c r="W421" i="1" s="1"/>
  <c r="T421" i="1"/>
  <c r="U421" i="1" s="1"/>
  <c r="J421" i="1"/>
  <c r="K421" i="1" s="1"/>
  <c r="R421" i="1"/>
  <c r="S421" i="1" s="1"/>
  <c r="P421" i="1"/>
  <c r="Q421" i="1" s="1"/>
  <c r="N421" i="1"/>
  <c r="O421" i="1" s="1"/>
  <c r="L421" i="1"/>
  <c r="M421" i="1" s="1"/>
  <c r="G421" i="1"/>
  <c r="G345" i="1" l="1"/>
  <c r="G350" i="1"/>
  <c r="G347" i="1"/>
  <c r="G299" i="1"/>
  <c r="W10" i="1" l="1"/>
  <c r="U10" i="1"/>
  <c r="S10" i="1"/>
  <c r="Q10" i="1"/>
  <c r="O10" i="1"/>
  <c r="F341" i="1" l="1"/>
  <c r="F428" i="1"/>
  <c r="F425" i="1"/>
  <c r="W438" i="1"/>
  <c r="U438" i="1"/>
  <c r="S438" i="1"/>
  <c r="Q438" i="1"/>
  <c r="O438" i="1"/>
  <c r="H425" i="1" l="1"/>
  <c r="I425" i="1" s="1"/>
  <c r="L425" i="1"/>
  <c r="M425" i="1" s="1"/>
  <c r="V425" i="1"/>
  <c r="W425" i="1" s="1"/>
  <c r="T425" i="1"/>
  <c r="U425" i="1" s="1"/>
  <c r="R425" i="1"/>
  <c r="S425" i="1" s="1"/>
  <c r="P425" i="1"/>
  <c r="Q425" i="1" s="1"/>
  <c r="N425" i="1"/>
  <c r="O425" i="1" s="1"/>
  <c r="J425" i="1"/>
  <c r="K425" i="1" s="1"/>
  <c r="H428" i="1"/>
  <c r="I428" i="1" s="1"/>
  <c r="L428" i="1"/>
  <c r="M428" i="1" s="1"/>
  <c r="V428" i="1"/>
  <c r="W428" i="1" s="1"/>
  <c r="T428" i="1"/>
  <c r="U428" i="1" s="1"/>
  <c r="R428" i="1"/>
  <c r="S428" i="1" s="1"/>
  <c r="P428" i="1"/>
  <c r="Q428" i="1" s="1"/>
  <c r="N428" i="1"/>
  <c r="O428" i="1" s="1"/>
  <c r="J428" i="1"/>
  <c r="K428" i="1" s="1"/>
  <c r="N341" i="1"/>
  <c r="O341" i="1" s="1"/>
  <c r="L341" i="1"/>
  <c r="M341" i="1" s="1"/>
  <c r="V341" i="1"/>
  <c r="W341" i="1" s="1"/>
  <c r="T341" i="1"/>
  <c r="U341" i="1" s="1"/>
  <c r="R341" i="1"/>
  <c r="S341" i="1" s="1"/>
  <c r="P341" i="1"/>
  <c r="Q341" i="1" s="1"/>
  <c r="L129" i="1"/>
  <c r="M129" i="1" s="1"/>
  <c r="N129" i="1"/>
  <c r="O129" i="1" s="1"/>
  <c r="J129" i="1"/>
  <c r="K129" i="1" s="1"/>
  <c r="P129" i="1"/>
  <c r="Q129" i="1" s="1"/>
  <c r="V129" i="1"/>
  <c r="W129" i="1" s="1"/>
  <c r="T129" i="1"/>
  <c r="U129" i="1" s="1"/>
  <c r="R129" i="1"/>
  <c r="S129" i="1" s="1"/>
  <c r="G341" i="1"/>
  <c r="G248" i="1"/>
  <c r="G428" i="1"/>
  <c r="G425" i="1"/>
  <c r="G129" i="1"/>
  <c r="G445" i="1"/>
  <c r="G346" i="1" l="1"/>
  <c r="G196" i="1"/>
  <c r="F635" i="1" l="1"/>
  <c r="G287" i="1" l="1"/>
  <c r="L145" i="1"/>
  <c r="M145" i="1" s="1"/>
  <c r="J145" i="1"/>
  <c r="K145" i="1" s="1"/>
  <c r="V145" i="1"/>
  <c r="W145" i="1" s="1"/>
  <c r="T145" i="1"/>
  <c r="U145" i="1" s="1"/>
  <c r="R145" i="1"/>
  <c r="S145" i="1" s="1"/>
  <c r="P145" i="1"/>
  <c r="Q145" i="1" s="1"/>
  <c r="N145" i="1"/>
  <c r="O145" i="1" s="1"/>
  <c r="V141" i="1"/>
  <c r="T141" i="1"/>
  <c r="R141" i="1"/>
  <c r="P141" i="1"/>
  <c r="N141" i="1"/>
  <c r="L141" i="1"/>
  <c r="J141" i="1"/>
  <c r="J148" i="1" l="1"/>
  <c r="L148" i="1"/>
  <c r="N148" i="1"/>
  <c r="P148" i="1"/>
  <c r="G199" i="1" l="1"/>
  <c r="W122" i="1"/>
  <c r="U122" i="1"/>
  <c r="S122" i="1"/>
  <c r="Q122" i="1"/>
  <c r="O122" i="1"/>
  <c r="M122" i="1"/>
  <c r="W117" i="1"/>
  <c r="U117" i="1"/>
  <c r="S117" i="1"/>
  <c r="Q117" i="1"/>
  <c r="O117" i="1"/>
  <c r="M117" i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68" i="1"/>
  <c r="U68" i="1"/>
  <c r="S68" i="1"/>
  <c r="Q68" i="1"/>
  <c r="O68" i="1"/>
  <c r="M68" i="1"/>
  <c r="K68" i="1"/>
  <c r="V63" i="1"/>
  <c r="T63" i="1"/>
  <c r="R63" i="1"/>
  <c r="P63" i="1"/>
  <c r="N63" i="1"/>
  <c r="L63" i="1"/>
  <c r="J63" i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L59" i="1"/>
  <c r="M59" i="1" s="1"/>
  <c r="V59" i="1"/>
  <c r="T59" i="1"/>
  <c r="R59" i="1"/>
  <c r="P59" i="1"/>
  <c r="N59" i="1"/>
  <c r="F466" i="1"/>
  <c r="F288" i="1"/>
  <c r="P288" i="1" l="1"/>
  <c r="Q288" i="1" s="1"/>
  <c r="N288" i="1"/>
  <c r="O288" i="1" s="1"/>
  <c r="L288" i="1"/>
  <c r="M288" i="1" s="1"/>
  <c r="J288" i="1"/>
  <c r="K288" i="1" s="1"/>
  <c r="H288" i="1"/>
  <c r="I288" i="1" s="1"/>
  <c r="V288" i="1"/>
  <c r="W288" i="1" s="1"/>
  <c r="T288" i="1"/>
  <c r="U288" i="1" s="1"/>
  <c r="R288" i="1"/>
  <c r="S288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H300" i="1"/>
  <c r="I300" i="1" s="1"/>
  <c r="P392" i="1"/>
  <c r="Q392" i="1" s="1"/>
  <c r="T392" i="1"/>
  <c r="U392" i="1" s="1"/>
  <c r="N392" i="1"/>
  <c r="O392" i="1" s="1"/>
  <c r="L392" i="1"/>
  <c r="M392" i="1" s="1"/>
  <c r="J392" i="1"/>
  <c r="K392" i="1" s="1"/>
  <c r="H392" i="1"/>
  <c r="I392" i="1" s="1"/>
  <c r="V392" i="1"/>
  <c r="W392" i="1" s="1"/>
  <c r="R392" i="1"/>
  <c r="S392" i="1" s="1"/>
  <c r="G288" i="1"/>
  <c r="G244" i="1"/>
  <c r="F24" i="1" l="1"/>
  <c r="F27" i="1"/>
  <c r="U26" i="1"/>
  <c r="S26" i="1"/>
  <c r="Q26" i="1"/>
  <c r="O26" i="1"/>
  <c r="M26" i="1"/>
  <c r="J27" i="1" l="1"/>
  <c r="N27" i="1"/>
  <c r="O27" i="1" s="1"/>
  <c r="T27" i="1"/>
  <c r="U27" i="1" s="1"/>
  <c r="L27" i="1"/>
  <c r="M27" i="1" s="1"/>
  <c r="R27" i="1"/>
  <c r="S27" i="1" s="1"/>
  <c r="P27" i="1"/>
  <c r="Q27" i="1" s="1"/>
  <c r="T24" i="1"/>
  <c r="U24" i="1" s="1"/>
  <c r="R24" i="1"/>
  <c r="S24" i="1" s="1"/>
  <c r="P24" i="1"/>
  <c r="Q24" i="1" s="1"/>
  <c r="L24" i="1"/>
  <c r="M24" i="1" s="1"/>
  <c r="N24" i="1"/>
  <c r="O24" i="1" s="1"/>
  <c r="G254" i="1" l="1"/>
  <c r="G251" i="1"/>
  <c r="F547" i="1" l="1"/>
  <c r="F538" i="1"/>
  <c r="F329" i="1"/>
  <c r="T329" i="1" l="1"/>
  <c r="U329" i="1" s="1"/>
  <c r="R329" i="1"/>
  <c r="S329" i="1" s="1"/>
  <c r="P329" i="1"/>
  <c r="Q329" i="1" s="1"/>
  <c r="N329" i="1"/>
  <c r="O329" i="1" s="1"/>
  <c r="L329" i="1"/>
  <c r="M329" i="1" s="1"/>
  <c r="V329" i="1"/>
  <c r="W329" i="1" s="1"/>
  <c r="T533" i="1"/>
  <c r="U533" i="1" s="1"/>
  <c r="H533" i="1"/>
  <c r="I533" i="1" s="1"/>
  <c r="J533" i="1"/>
  <c r="K533" i="1" s="1"/>
  <c r="V533" i="1"/>
  <c r="W533" i="1" s="1"/>
  <c r="L533" i="1"/>
  <c r="M533" i="1" s="1"/>
  <c r="N533" i="1"/>
  <c r="O533" i="1" s="1"/>
  <c r="P533" i="1"/>
  <c r="Q533" i="1" s="1"/>
  <c r="R533" i="1"/>
  <c r="S533" i="1" s="1"/>
  <c r="T546" i="1"/>
  <c r="U546" i="1" s="1"/>
  <c r="J546" i="1"/>
  <c r="K546" i="1" s="1"/>
  <c r="V546" i="1"/>
  <c r="W546" i="1" s="1"/>
  <c r="L546" i="1"/>
  <c r="M546" i="1" s="1"/>
  <c r="P546" i="1"/>
  <c r="Q546" i="1" s="1"/>
  <c r="H546" i="1"/>
  <c r="I546" i="1" s="1"/>
  <c r="N546" i="1"/>
  <c r="O546" i="1" s="1"/>
  <c r="R546" i="1"/>
  <c r="S546" i="1" s="1"/>
  <c r="H528" i="1"/>
  <c r="I528" i="1" s="1"/>
  <c r="J528" i="1"/>
  <c r="K528" i="1" s="1"/>
  <c r="V528" i="1"/>
  <c r="W528" i="1" s="1"/>
  <c r="L528" i="1"/>
  <c r="M528" i="1" s="1"/>
  <c r="P528" i="1"/>
  <c r="Q528" i="1" s="1"/>
  <c r="R528" i="1"/>
  <c r="S528" i="1" s="1"/>
  <c r="N528" i="1"/>
  <c r="O528" i="1" s="1"/>
  <c r="T528" i="1"/>
  <c r="U528" i="1" s="1"/>
  <c r="R547" i="1"/>
  <c r="S547" i="1" s="1"/>
  <c r="T547" i="1"/>
  <c r="U547" i="1" s="1"/>
  <c r="J547" i="1"/>
  <c r="K547" i="1" s="1"/>
  <c r="L547" i="1"/>
  <c r="M547" i="1" s="1"/>
  <c r="N547" i="1"/>
  <c r="O547" i="1" s="1"/>
  <c r="H547" i="1"/>
  <c r="I547" i="1" s="1"/>
  <c r="V547" i="1"/>
  <c r="W547" i="1" s="1"/>
  <c r="P547" i="1"/>
  <c r="Q547" i="1" s="1"/>
  <c r="P538" i="1"/>
  <c r="Q538" i="1" s="1"/>
  <c r="R538" i="1"/>
  <c r="S538" i="1" s="1"/>
  <c r="T538" i="1"/>
  <c r="U538" i="1" s="1"/>
  <c r="V538" i="1"/>
  <c r="W538" i="1" s="1"/>
  <c r="J538" i="1"/>
  <c r="K538" i="1" s="1"/>
  <c r="H538" i="1"/>
  <c r="I538" i="1" s="1"/>
  <c r="L538" i="1"/>
  <c r="M538" i="1" s="1"/>
  <c r="N538" i="1"/>
  <c r="O538" i="1" s="1"/>
  <c r="P548" i="1"/>
  <c r="Q548" i="1" s="1"/>
  <c r="T548" i="1"/>
  <c r="U548" i="1" s="1"/>
  <c r="R548" i="1"/>
  <c r="S548" i="1" s="1"/>
  <c r="J548" i="1"/>
  <c r="K548" i="1" s="1"/>
  <c r="V548" i="1"/>
  <c r="W548" i="1" s="1"/>
  <c r="L548" i="1"/>
  <c r="M548" i="1" s="1"/>
  <c r="H548" i="1"/>
  <c r="I548" i="1" s="1"/>
  <c r="N548" i="1"/>
  <c r="O548" i="1" s="1"/>
  <c r="R534" i="1"/>
  <c r="S534" i="1" s="1"/>
  <c r="T534" i="1"/>
  <c r="U534" i="1" s="1"/>
  <c r="V534" i="1"/>
  <c r="W534" i="1" s="1"/>
  <c r="J534" i="1"/>
  <c r="K534" i="1" s="1"/>
  <c r="L534" i="1"/>
  <c r="M534" i="1" s="1"/>
  <c r="N534" i="1"/>
  <c r="O534" i="1" s="1"/>
  <c r="P534" i="1"/>
  <c r="Q534" i="1" s="1"/>
  <c r="H534" i="1"/>
  <c r="I534" i="1" s="1"/>
  <c r="T552" i="1"/>
  <c r="U552" i="1" s="1"/>
  <c r="J552" i="1"/>
  <c r="K552" i="1" s="1"/>
  <c r="V552" i="1"/>
  <c r="W552" i="1" s="1"/>
  <c r="H552" i="1"/>
  <c r="I552" i="1" s="1"/>
  <c r="L552" i="1"/>
  <c r="M552" i="1" s="1"/>
  <c r="N552" i="1"/>
  <c r="O552" i="1" s="1"/>
  <c r="P552" i="1"/>
  <c r="Q552" i="1" s="1"/>
  <c r="R552" i="1"/>
  <c r="S552" i="1" s="1"/>
  <c r="T489" i="1"/>
  <c r="U489" i="1" s="1"/>
  <c r="R489" i="1"/>
  <c r="S489" i="1" s="1"/>
  <c r="P489" i="1"/>
  <c r="Q489" i="1" s="1"/>
  <c r="H489" i="1"/>
  <c r="I489" i="1" s="1"/>
  <c r="N489" i="1"/>
  <c r="O489" i="1" s="1"/>
  <c r="L489" i="1"/>
  <c r="M489" i="1" s="1"/>
  <c r="V489" i="1"/>
  <c r="W489" i="1" s="1"/>
  <c r="J489" i="1"/>
  <c r="K489" i="1" s="1"/>
  <c r="H490" i="1"/>
  <c r="I490" i="1" s="1"/>
  <c r="J490" i="1"/>
  <c r="K490" i="1" s="1"/>
  <c r="R490" i="1"/>
  <c r="S490" i="1" s="1"/>
  <c r="N490" i="1"/>
  <c r="O490" i="1" s="1"/>
  <c r="L490" i="1"/>
  <c r="M490" i="1" s="1"/>
  <c r="V490" i="1"/>
  <c r="W490" i="1" s="1"/>
  <c r="T490" i="1"/>
  <c r="U490" i="1" s="1"/>
  <c r="P490" i="1"/>
  <c r="Q490" i="1" s="1"/>
  <c r="W115" i="1" l="1"/>
  <c r="U115" i="1"/>
  <c r="S115" i="1"/>
  <c r="Q115" i="1"/>
  <c r="O115" i="1"/>
  <c r="M115" i="1"/>
  <c r="W120" i="1"/>
  <c r="U120" i="1"/>
  <c r="S120" i="1"/>
  <c r="Q120" i="1"/>
  <c r="O120" i="1"/>
  <c r="M120" i="1"/>
  <c r="S118" i="1"/>
  <c r="F62" i="1" l="1"/>
  <c r="T62" i="1" l="1"/>
  <c r="R62" i="1"/>
  <c r="S62" i="1" s="1"/>
  <c r="P62" i="1"/>
  <c r="Q62" i="1" s="1"/>
  <c r="N62" i="1"/>
  <c r="O62" i="1" s="1"/>
  <c r="L62" i="1"/>
  <c r="J62" i="1"/>
  <c r="K62" i="1" s="1"/>
  <c r="V62" i="1"/>
  <c r="W62" i="1" s="1"/>
  <c r="G62" i="1"/>
  <c r="M62" i="1"/>
  <c r="U62" i="1"/>
  <c r="G63" i="1" l="1"/>
  <c r="K63" i="1"/>
  <c r="M63" i="1"/>
  <c r="O63" i="1"/>
  <c r="Q63" i="1"/>
  <c r="S63" i="1"/>
  <c r="U63" i="1"/>
  <c r="W63" i="1"/>
  <c r="V125" i="1" l="1"/>
  <c r="W125" i="1" s="1"/>
  <c r="U125" i="1"/>
  <c r="S125" i="1"/>
  <c r="Q125" i="1"/>
  <c r="O125" i="1"/>
  <c r="M125" i="1"/>
  <c r="G125" i="1"/>
  <c r="G442" i="1" l="1"/>
  <c r="L463" i="1"/>
  <c r="J463" i="1"/>
  <c r="G283" i="1"/>
  <c r="G61" i="1" l="1"/>
  <c r="F338" i="1" l="1"/>
  <c r="V338" i="1" l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J543" i="1"/>
  <c r="K543" i="1" s="1"/>
  <c r="H543" i="1"/>
  <c r="I543" i="1" s="1"/>
  <c r="L543" i="1"/>
  <c r="M543" i="1" s="1"/>
  <c r="N543" i="1"/>
  <c r="O543" i="1" s="1"/>
  <c r="P543" i="1"/>
  <c r="Q543" i="1" s="1"/>
  <c r="R543" i="1"/>
  <c r="S543" i="1" s="1"/>
  <c r="V543" i="1"/>
  <c r="W543" i="1" s="1"/>
  <c r="T543" i="1"/>
  <c r="U543" i="1" s="1"/>
  <c r="G543" i="1"/>
  <c r="L14" i="1" l="1"/>
  <c r="H14" i="1"/>
  <c r="J14" i="1"/>
  <c r="T14" i="1"/>
  <c r="R14" i="1"/>
  <c r="P14" i="1"/>
  <c r="N14" i="1"/>
  <c r="F393" i="1"/>
  <c r="R393" i="1" l="1"/>
  <c r="S393" i="1" s="1"/>
  <c r="P393" i="1"/>
  <c r="Q393" i="1" s="1"/>
  <c r="N393" i="1"/>
  <c r="O393" i="1" s="1"/>
  <c r="L393" i="1"/>
  <c r="M393" i="1" s="1"/>
  <c r="V393" i="1"/>
  <c r="W393" i="1" s="1"/>
  <c r="J393" i="1"/>
  <c r="K393" i="1" s="1"/>
  <c r="H393" i="1"/>
  <c r="I393" i="1" s="1"/>
  <c r="T393" i="1"/>
  <c r="U393" i="1" s="1"/>
  <c r="F495" i="1"/>
  <c r="F496" i="1"/>
  <c r="R496" i="1" l="1"/>
  <c r="S496" i="1" s="1"/>
  <c r="V496" i="1"/>
  <c r="W496" i="1" s="1"/>
  <c r="P496" i="1"/>
  <c r="Q496" i="1" s="1"/>
  <c r="N496" i="1"/>
  <c r="O496" i="1" s="1"/>
  <c r="T496" i="1"/>
  <c r="U496" i="1" s="1"/>
  <c r="L496" i="1"/>
  <c r="M496" i="1" s="1"/>
  <c r="J496" i="1"/>
  <c r="K496" i="1" s="1"/>
  <c r="H496" i="1"/>
  <c r="I496" i="1" s="1"/>
  <c r="H495" i="1"/>
  <c r="I495" i="1" s="1"/>
  <c r="V495" i="1"/>
  <c r="W495" i="1" s="1"/>
  <c r="N495" i="1"/>
  <c r="O495" i="1" s="1"/>
  <c r="L495" i="1"/>
  <c r="M495" i="1" s="1"/>
  <c r="T495" i="1"/>
  <c r="U495" i="1" s="1"/>
  <c r="R495" i="1"/>
  <c r="S495" i="1" s="1"/>
  <c r="P495" i="1"/>
  <c r="Q495" i="1" s="1"/>
  <c r="J495" i="1"/>
  <c r="K495" i="1" s="1"/>
  <c r="G496" i="1"/>
  <c r="G495" i="1"/>
  <c r="F402" i="1" l="1"/>
  <c r="F403" i="1"/>
  <c r="V403" i="1" l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J403" i="1"/>
  <c r="K403" i="1" s="1"/>
  <c r="H403" i="1"/>
  <c r="I403" i="1" s="1"/>
  <c r="P402" i="1"/>
  <c r="Q402" i="1" s="1"/>
  <c r="N402" i="1"/>
  <c r="O402" i="1" s="1"/>
  <c r="L402" i="1"/>
  <c r="M402" i="1" s="1"/>
  <c r="J402" i="1"/>
  <c r="K402" i="1" s="1"/>
  <c r="H402" i="1"/>
  <c r="I402" i="1" s="1"/>
  <c r="T402" i="1"/>
  <c r="U402" i="1" s="1"/>
  <c r="V402" i="1"/>
  <c r="W402" i="1" s="1"/>
  <c r="R402" i="1"/>
  <c r="S402" i="1" s="1"/>
  <c r="G403" i="1"/>
  <c r="H648" i="1" l="1"/>
  <c r="I648" i="1" s="1"/>
  <c r="H649" i="1"/>
  <c r="I649" i="1" s="1"/>
  <c r="T649" i="1" l="1"/>
  <c r="U649" i="1" s="1"/>
  <c r="R649" i="1"/>
  <c r="S649" i="1" s="1"/>
  <c r="P649" i="1"/>
  <c r="Q649" i="1" s="1"/>
  <c r="N649" i="1"/>
  <c r="O649" i="1" s="1"/>
  <c r="L649" i="1"/>
  <c r="M649" i="1" s="1"/>
  <c r="J649" i="1"/>
  <c r="K649" i="1" s="1"/>
  <c r="G649" i="1"/>
  <c r="F523" i="1" l="1"/>
  <c r="T523" i="1" l="1"/>
  <c r="U523" i="1" s="1"/>
  <c r="V523" i="1"/>
  <c r="W523" i="1" s="1"/>
  <c r="J523" i="1"/>
  <c r="K523" i="1" s="1"/>
  <c r="L523" i="1"/>
  <c r="M523" i="1" s="1"/>
  <c r="N523" i="1"/>
  <c r="O523" i="1" s="1"/>
  <c r="P523" i="1"/>
  <c r="Q523" i="1" s="1"/>
  <c r="R523" i="1"/>
  <c r="S523" i="1" s="1"/>
  <c r="G523" i="1"/>
  <c r="F603" i="1" l="1"/>
  <c r="J603" i="1" l="1"/>
  <c r="L603" i="1"/>
  <c r="N603" i="1"/>
  <c r="P603" i="1"/>
  <c r="R603" i="1"/>
  <c r="H603" i="1"/>
  <c r="T603" i="1"/>
  <c r="V603" i="1"/>
  <c r="W603" i="1"/>
  <c r="M603" i="1" l="1"/>
  <c r="O603" i="1"/>
  <c r="G603" i="1"/>
  <c r="Q603" i="1"/>
  <c r="S603" i="1"/>
  <c r="I603" i="1"/>
  <c r="U603" i="1"/>
  <c r="K603" i="1"/>
  <c r="U482" i="1" l="1"/>
  <c r="W481" i="1"/>
  <c r="O481" i="1" l="1"/>
  <c r="I481" i="1"/>
  <c r="K481" i="1"/>
  <c r="M481" i="1"/>
  <c r="Q481" i="1"/>
  <c r="S481" i="1"/>
  <c r="U481" i="1"/>
  <c r="W482" i="1"/>
  <c r="M482" i="1"/>
  <c r="O482" i="1"/>
  <c r="K482" i="1"/>
  <c r="Q482" i="1"/>
  <c r="S482" i="1"/>
  <c r="G482" i="1"/>
  <c r="I482" i="1"/>
  <c r="G481" i="1"/>
  <c r="G531" i="1" l="1"/>
  <c r="J531" i="1"/>
  <c r="K531" i="1" s="1"/>
  <c r="V531" i="1"/>
  <c r="W531" i="1" s="1"/>
  <c r="L531" i="1"/>
  <c r="M531" i="1" s="1"/>
  <c r="N531" i="1"/>
  <c r="O531" i="1" s="1"/>
  <c r="H531" i="1"/>
  <c r="I531" i="1" s="1"/>
  <c r="P531" i="1"/>
  <c r="Q531" i="1" s="1"/>
  <c r="R531" i="1"/>
  <c r="S531" i="1" s="1"/>
  <c r="T531" i="1"/>
  <c r="U531" i="1" s="1"/>
  <c r="F553" i="1"/>
  <c r="R553" i="1" l="1"/>
  <c r="S553" i="1" s="1"/>
  <c r="J553" i="1"/>
  <c r="K553" i="1" s="1"/>
  <c r="T553" i="1"/>
  <c r="U553" i="1" s="1"/>
  <c r="N553" i="1"/>
  <c r="O553" i="1" s="1"/>
  <c r="H553" i="1"/>
  <c r="I553" i="1" s="1"/>
  <c r="L553" i="1"/>
  <c r="M553" i="1" s="1"/>
  <c r="V553" i="1"/>
  <c r="W553" i="1" s="1"/>
  <c r="P553" i="1"/>
  <c r="Q553" i="1" s="1"/>
  <c r="P554" i="1"/>
  <c r="Q554" i="1" s="1"/>
  <c r="R554" i="1"/>
  <c r="S554" i="1" s="1"/>
  <c r="J554" i="1"/>
  <c r="K554" i="1" s="1"/>
  <c r="V554" i="1"/>
  <c r="W554" i="1" s="1"/>
  <c r="L554" i="1"/>
  <c r="M554" i="1" s="1"/>
  <c r="H554" i="1"/>
  <c r="I554" i="1" s="1"/>
  <c r="N554" i="1"/>
  <c r="O554" i="1" s="1"/>
  <c r="T554" i="1"/>
  <c r="U554" i="1" s="1"/>
  <c r="G554" i="1"/>
  <c r="G553" i="1"/>
  <c r="P537" i="1" l="1"/>
  <c r="Q537" i="1" s="1"/>
  <c r="R537" i="1"/>
  <c r="S537" i="1" s="1"/>
  <c r="T537" i="1"/>
  <c r="U537" i="1" s="1"/>
  <c r="V537" i="1"/>
  <c r="W537" i="1" s="1"/>
  <c r="H537" i="1"/>
  <c r="I537" i="1" s="1"/>
  <c r="J537" i="1"/>
  <c r="K537" i="1" s="1"/>
  <c r="L537" i="1"/>
  <c r="M537" i="1" s="1"/>
  <c r="N537" i="1"/>
  <c r="O537" i="1" s="1"/>
  <c r="V632" i="1"/>
  <c r="W632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H632" i="1"/>
  <c r="I632" i="1" s="1"/>
  <c r="V631" i="1"/>
  <c r="W6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H631" i="1"/>
  <c r="I631" i="1" s="1"/>
  <c r="F564" i="1" l="1"/>
  <c r="G564" i="1" l="1"/>
  <c r="H564" i="1"/>
  <c r="I564" i="1" s="1"/>
  <c r="L564" i="1"/>
  <c r="M564" i="1" s="1"/>
  <c r="N564" i="1"/>
  <c r="O564" i="1" s="1"/>
  <c r="R564" i="1"/>
  <c r="S564" i="1" s="1"/>
  <c r="T564" i="1"/>
  <c r="U564" i="1" s="1"/>
  <c r="P564" i="1"/>
  <c r="Q564" i="1" s="1"/>
  <c r="J564" i="1"/>
  <c r="K564" i="1" s="1"/>
  <c r="V564" i="1"/>
  <c r="W564" i="1" s="1"/>
  <c r="G552" i="1"/>
  <c r="V613" i="1"/>
  <c r="V630" i="1"/>
  <c r="W630" i="1" s="1"/>
  <c r="P613" i="1" l="1"/>
  <c r="Q613" i="1" s="1"/>
  <c r="H613" i="1"/>
  <c r="I613" i="1" s="1"/>
  <c r="R613" i="1"/>
  <c r="S613" i="1" s="1"/>
  <c r="J613" i="1"/>
  <c r="K613" i="1" s="1"/>
  <c r="T613" i="1"/>
  <c r="U613" i="1" s="1"/>
  <c r="N613" i="1"/>
  <c r="O613" i="1" s="1"/>
  <c r="L613" i="1"/>
  <c r="M613" i="1" s="1"/>
  <c r="G613" i="1"/>
  <c r="W613" i="1"/>
  <c r="L630" i="1"/>
  <c r="M630" i="1" s="1"/>
  <c r="P630" i="1"/>
  <c r="Q630" i="1" s="1"/>
  <c r="T630" i="1"/>
  <c r="U630" i="1" s="1"/>
  <c r="G630" i="1"/>
  <c r="J630" i="1"/>
  <c r="K630" i="1" s="1"/>
  <c r="N630" i="1"/>
  <c r="O630" i="1" s="1"/>
  <c r="R630" i="1"/>
  <c r="S630" i="1" s="1"/>
  <c r="V628" i="1" l="1"/>
  <c r="W628" i="1" s="1"/>
  <c r="R628" i="1"/>
  <c r="S628" i="1" s="1"/>
  <c r="N628" i="1"/>
  <c r="O628" i="1" s="1"/>
  <c r="J628" i="1"/>
  <c r="K628" i="1" s="1"/>
  <c r="G628" i="1"/>
  <c r="L628" i="1" l="1"/>
  <c r="M628" i="1" s="1"/>
  <c r="P628" i="1"/>
  <c r="Q628" i="1" s="1"/>
  <c r="T628" i="1"/>
  <c r="U628" i="1" s="1"/>
  <c r="H606" i="1" l="1"/>
  <c r="I606" i="1" s="1"/>
  <c r="F634" i="1"/>
  <c r="F556" i="1"/>
  <c r="L550" i="1" l="1"/>
  <c r="M550" i="1" s="1"/>
  <c r="P550" i="1"/>
  <c r="Q550" i="1" s="1"/>
  <c r="H550" i="1"/>
  <c r="I550" i="1" s="1"/>
  <c r="N550" i="1"/>
  <c r="O550" i="1" s="1"/>
  <c r="R550" i="1"/>
  <c r="S550" i="1" s="1"/>
  <c r="T550" i="1"/>
  <c r="U550" i="1" s="1"/>
  <c r="J550" i="1"/>
  <c r="K550" i="1" s="1"/>
  <c r="V550" i="1"/>
  <c r="W550" i="1" s="1"/>
  <c r="H549" i="1"/>
  <c r="I549" i="1" s="1"/>
  <c r="N549" i="1"/>
  <c r="O549" i="1" s="1"/>
  <c r="P549" i="1"/>
  <c r="Q549" i="1" s="1"/>
  <c r="T549" i="1"/>
  <c r="U549" i="1" s="1"/>
  <c r="J549" i="1"/>
  <c r="K549" i="1" s="1"/>
  <c r="V549" i="1"/>
  <c r="W549" i="1" s="1"/>
  <c r="R549" i="1"/>
  <c r="S549" i="1" s="1"/>
  <c r="L549" i="1"/>
  <c r="M549" i="1" s="1"/>
  <c r="N556" i="1"/>
  <c r="O556" i="1" s="1"/>
  <c r="P556" i="1"/>
  <c r="Q556" i="1" s="1"/>
  <c r="R556" i="1"/>
  <c r="S556" i="1" s="1"/>
  <c r="T556" i="1"/>
  <c r="U556" i="1" s="1"/>
  <c r="V556" i="1"/>
  <c r="W556" i="1" s="1"/>
  <c r="J556" i="1"/>
  <c r="K556" i="1" s="1"/>
  <c r="H556" i="1"/>
  <c r="I556" i="1" s="1"/>
  <c r="L556" i="1"/>
  <c r="M556" i="1" s="1"/>
  <c r="P608" i="1"/>
  <c r="Q608" i="1" s="1"/>
  <c r="H608" i="1"/>
  <c r="I608" i="1" s="1"/>
  <c r="R606" i="1"/>
  <c r="S606" i="1" s="1"/>
  <c r="J606" i="1"/>
  <c r="K606" i="1" s="1"/>
  <c r="P606" i="1"/>
  <c r="Q606" i="1" s="1"/>
  <c r="T606" i="1"/>
  <c r="U606" i="1" s="1"/>
  <c r="V606" i="1"/>
  <c r="W606" i="1" s="1"/>
  <c r="L606" i="1"/>
  <c r="M606" i="1" s="1"/>
  <c r="N606" i="1"/>
  <c r="O606" i="1" s="1"/>
  <c r="R608" i="1"/>
  <c r="S608" i="1" s="1"/>
  <c r="V608" i="1"/>
  <c r="W608" i="1" s="1"/>
  <c r="T608" i="1"/>
  <c r="U608" i="1" s="1"/>
  <c r="J608" i="1"/>
  <c r="K608" i="1" s="1"/>
  <c r="L608" i="1"/>
  <c r="M608" i="1" s="1"/>
  <c r="N608" i="1"/>
  <c r="O608" i="1" s="1"/>
  <c r="G608" i="1"/>
  <c r="G606" i="1"/>
  <c r="F494" i="1"/>
  <c r="V483" i="1" l="1"/>
  <c r="W483" i="1" s="1"/>
  <c r="T483" i="1"/>
  <c r="U483" i="1" s="1"/>
  <c r="R483" i="1"/>
  <c r="S483" i="1" s="1"/>
  <c r="H483" i="1"/>
  <c r="I483" i="1" s="1"/>
  <c r="J483" i="1"/>
  <c r="K483" i="1" s="1"/>
  <c r="P483" i="1"/>
  <c r="Q483" i="1" s="1"/>
  <c r="N483" i="1"/>
  <c r="O483" i="1" s="1"/>
  <c r="L483" i="1"/>
  <c r="M483" i="1" s="1"/>
  <c r="P484" i="1"/>
  <c r="Q484" i="1" s="1"/>
  <c r="N484" i="1"/>
  <c r="O484" i="1" s="1"/>
  <c r="L484" i="1"/>
  <c r="M484" i="1" s="1"/>
  <c r="J484" i="1"/>
  <c r="K484" i="1" s="1"/>
  <c r="R484" i="1"/>
  <c r="S484" i="1" s="1"/>
  <c r="T484" i="1"/>
  <c r="U484" i="1" s="1"/>
  <c r="H484" i="1"/>
  <c r="I484" i="1" s="1"/>
  <c r="V484" i="1"/>
  <c r="W484" i="1" s="1"/>
  <c r="T498" i="1"/>
  <c r="U498" i="1" s="1"/>
  <c r="R498" i="1"/>
  <c r="S498" i="1" s="1"/>
  <c r="P498" i="1"/>
  <c r="Q498" i="1" s="1"/>
  <c r="H498" i="1"/>
  <c r="I498" i="1" s="1"/>
  <c r="N498" i="1"/>
  <c r="O498" i="1" s="1"/>
  <c r="J498" i="1"/>
  <c r="K498" i="1" s="1"/>
  <c r="V498" i="1"/>
  <c r="W498" i="1" s="1"/>
  <c r="L498" i="1"/>
  <c r="M498" i="1" s="1"/>
  <c r="H504" i="1"/>
  <c r="I504" i="1" s="1"/>
  <c r="V504" i="1"/>
  <c r="W504" i="1" s="1"/>
  <c r="P504" i="1"/>
  <c r="Q504" i="1" s="1"/>
  <c r="T504" i="1"/>
  <c r="U504" i="1" s="1"/>
  <c r="L504" i="1"/>
  <c r="M504" i="1" s="1"/>
  <c r="R504" i="1"/>
  <c r="S504" i="1" s="1"/>
  <c r="N504" i="1"/>
  <c r="O504" i="1" s="1"/>
  <c r="J504" i="1"/>
  <c r="K504" i="1" s="1"/>
  <c r="V491" i="1"/>
  <c r="W491" i="1" s="1"/>
  <c r="T491" i="1"/>
  <c r="U491" i="1" s="1"/>
  <c r="N491" i="1"/>
  <c r="O491" i="1" s="1"/>
  <c r="L491" i="1"/>
  <c r="M491" i="1" s="1"/>
  <c r="H491" i="1"/>
  <c r="I491" i="1" s="1"/>
  <c r="R491" i="1"/>
  <c r="S491" i="1" s="1"/>
  <c r="J491" i="1"/>
  <c r="K491" i="1" s="1"/>
  <c r="P491" i="1"/>
  <c r="Q491" i="1" s="1"/>
  <c r="L492" i="1"/>
  <c r="M492" i="1" s="1"/>
  <c r="J492" i="1"/>
  <c r="K492" i="1" s="1"/>
  <c r="H492" i="1"/>
  <c r="I492" i="1" s="1"/>
  <c r="V492" i="1"/>
  <c r="W492" i="1" s="1"/>
  <c r="R492" i="1"/>
  <c r="S492" i="1" s="1"/>
  <c r="P492" i="1"/>
  <c r="Q492" i="1" s="1"/>
  <c r="T492" i="1"/>
  <c r="U492" i="1" s="1"/>
  <c r="N492" i="1"/>
  <c r="O492" i="1" s="1"/>
  <c r="V485" i="1"/>
  <c r="W485" i="1" s="1"/>
  <c r="T485" i="1"/>
  <c r="U485" i="1" s="1"/>
  <c r="N485" i="1"/>
  <c r="O485" i="1" s="1"/>
  <c r="L485" i="1"/>
  <c r="M485" i="1" s="1"/>
  <c r="R485" i="1"/>
  <c r="S485" i="1" s="1"/>
  <c r="H485" i="1"/>
  <c r="I485" i="1" s="1"/>
  <c r="P485" i="1"/>
  <c r="Q485" i="1" s="1"/>
  <c r="J485" i="1"/>
  <c r="K485" i="1" s="1"/>
  <c r="P494" i="1"/>
  <c r="Q494" i="1" s="1"/>
  <c r="N494" i="1"/>
  <c r="O494" i="1" s="1"/>
  <c r="R494" i="1"/>
  <c r="S494" i="1" s="1"/>
  <c r="L494" i="1"/>
  <c r="M494" i="1" s="1"/>
  <c r="J494" i="1"/>
  <c r="K494" i="1" s="1"/>
  <c r="V494" i="1"/>
  <c r="W494" i="1" s="1"/>
  <c r="T494" i="1"/>
  <c r="U494" i="1" s="1"/>
  <c r="H494" i="1"/>
  <c r="I494" i="1" s="1"/>
  <c r="F394" i="1"/>
  <c r="F349" i="1"/>
  <c r="F277" i="1"/>
  <c r="F232" i="1"/>
  <c r="F213" i="1"/>
  <c r="V213" i="1" s="1"/>
  <c r="F195" i="1"/>
  <c r="F188" i="1"/>
  <c r="L232" i="1" l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7" i="1"/>
  <c r="W277" i="1" s="1"/>
  <c r="T277" i="1"/>
  <c r="U277" i="1" s="1"/>
  <c r="H188" i="1"/>
  <c r="I188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188" i="1"/>
  <c r="K188" i="1" s="1"/>
  <c r="V195" i="1"/>
  <c r="W195" i="1" s="1"/>
  <c r="T195" i="1"/>
  <c r="U195" i="1" s="1"/>
  <c r="R195" i="1"/>
  <c r="S195" i="1" s="1"/>
  <c r="P195" i="1"/>
  <c r="Q195" i="1" s="1"/>
  <c r="N195" i="1"/>
  <c r="O195" i="1" s="1"/>
  <c r="L195" i="1"/>
  <c r="M195" i="1" s="1"/>
  <c r="J195" i="1"/>
  <c r="K195" i="1" s="1"/>
  <c r="V394" i="1"/>
  <c r="W394" i="1" s="1"/>
  <c r="T394" i="1"/>
  <c r="U394" i="1" s="1"/>
  <c r="R394" i="1"/>
  <c r="S394" i="1" s="1"/>
  <c r="P394" i="1"/>
  <c r="Q394" i="1" s="1"/>
  <c r="N394" i="1"/>
  <c r="O394" i="1" s="1"/>
  <c r="L394" i="1"/>
  <c r="M394" i="1" s="1"/>
  <c r="J394" i="1"/>
  <c r="K394" i="1" s="1"/>
  <c r="H394" i="1"/>
  <c r="I394" i="1" s="1"/>
  <c r="N349" i="1"/>
  <c r="O349" i="1" s="1"/>
  <c r="L349" i="1"/>
  <c r="M349" i="1" s="1"/>
  <c r="V349" i="1"/>
  <c r="W349" i="1" s="1"/>
  <c r="T349" i="1"/>
  <c r="U349" i="1" s="1"/>
  <c r="R349" i="1"/>
  <c r="S349" i="1" s="1"/>
  <c r="P349" i="1"/>
  <c r="Q349" i="1" s="1"/>
  <c r="H213" i="1"/>
  <c r="I213" i="1" s="1"/>
  <c r="P213" i="1"/>
  <c r="R213" i="1"/>
  <c r="J213" i="1"/>
  <c r="N213" i="1"/>
  <c r="T213" i="1"/>
  <c r="L213" i="1"/>
  <c r="G14" i="1"/>
  <c r="U14" i="1" l="1"/>
  <c r="S14" i="1"/>
  <c r="Q14" i="1"/>
  <c r="O14" i="1"/>
  <c r="M14" i="1"/>
  <c r="K14" i="1"/>
  <c r="I14" i="1"/>
  <c r="F354" i="1" l="1"/>
  <c r="T354" i="1" l="1"/>
  <c r="U354" i="1" s="1"/>
  <c r="R354" i="1"/>
  <c r="S354" i="1" s="1"/>
  <c r="P354" i="1"/>
  <c r="Q354" i="1" s="1"/>
  <c r="N354" i="1"/>
  <c r="O354" i="1" s="1"/>
  <c r="L354" i="1"/>
  <c r="M354" i="1" s="1"/>
  <c r="V354" i="1"/>
  <c r="W354" i="1" s="1"/>
  <c r="G28" i="1"/>
  <c r="F539" i="1"/>
  <c r="F499" i="1"/>
  <c r="F497" i="1"/>
  <c r="F488" i="1"/>
  <c r="F487" i="1"/>
  <c r="R536" i="1" l="1"/>
  <c r="S536" i="1" s="1"/>
  <c r="T536" i="1"/>
  <c r="U536" i="1" s="1"/>
  <c r="V536" i="1"/>
  <c r="W536" i="1" s="1"/>
  <c r="H536" i="1"/>
  <c r="I536" i="1" s="1"/>
  <c r="J536" i="1"/>
  <c r="K536" i="1" s="1"/>
  <c r="L536" i="1"/>
  <c r="M536" i="1" s="1"/>
  <c r="N536" i="1"/>
  <c r="O536" i="1" s="1"/>
  <c r="P536" i="1"/>
  <c r="Q536" i="1" s="1"/>
  <c r="J551" i="1"/>
  <c r="K551" i="1" s="1"/>
  <c r="V551" i="1"/>
  <c r="W551" i="1" s="1"/>
  <c r="L551" i="1"/>
  <c r="M551" i="1" s="1"/>
  <c r="H551" i="1"/>
  <c r="I551" i="1" s="1"/>
  <c r="N551" i="1"/>
  <c r="O551" i="1" s="1"/>
  <c r="P551" i="1"/>
  <c r="Q551" i="1" s="1"/>
  <c r="R551" i="1"/>
  <c r="S551" i="1" s="1"/>
  <c r="T551" i="1"/>
  <c r="U551" i="1" s="1"/>
  <c r="N539" i="1"/>
  <c r="O539" i="1" s="1"/>
  <c r="P539" i="1"/>
  <c r="Q539" i="1" s="1"/>
  <c r="R539" i="1"/>
  <c r="S539" i="1" s="1"/>
  <c r="T539" i="1"/>
  <c r="U539" i="1" s="1"/>
  <c r="V539" i="1"/>
  <c r="W539" i="1" s="1"/>
  <c r="J539" i="1"/>
  <c r="K539" i="1" s="1"/>
  <c r="H539" i="1"/>
  <c r="I539" i="1" s="1"/>
  <c r="L539" i="1"/>
  <c r="M539" i="1" s="1"/>
  <c r="N511" i="1"/>
  <c r="O511" i="1" s="1"/>
  <c r="J511" i="1"/>
  <c r="K511" i="1" s="1"/>
  <c r="L511" i="1"/>
  <c r="M511" i="1" s="1"/>
  <c r="H511" i="1"/>
  <c r="I511" i="1" s="1"/>
  <c r="R487" i="1"/>
  <c r="S487" i="1" s="1"/>
  <c r="P487" i="1"/>
  <c r="Q487" i="1" s="1"/>
  <c r="V487" i="1"/>
  <c r="W487" i="1" s="1"/>
  <c r="T487" i="1"/>
  <c r="U487" i="1" s="1"/>
  <c r="N487" i="1"/>
  <c r="O487" i="1" s="1"/>
  <c r="L487" i="1"/>
  <c r="M487" i="1" s="1"/>
  <c r="J487" i="1"/>
  <c r="K487" i="1" s="1"/>
  <c r="H487" i="1"/>
  <c r="I487" i="1" s="1"/>
  <c r="H488" i="1"/>
  <c r="I488" i="1" s="1"/>
  <c r="V488" i="1"/>
  <c r="W488" i="1" s="1"/>
  <c r="L488" i="1"/>
  <c r="M488" i="1" s="1"/>
  <c r="T488" i="1"/>
  <c r="U488" i="1" s="1"/>
  <c r="N488" i="1"/>
  <c r="O488" i="1" s="1"/>
  <c r="J488" i="1"/>
  <c r="K488" i="1" s="1"/>
  <c r="R488" i="1"/>
  <c r="S488" i="1" s="1"/>
  <c r="P488" i="1"/>
  <c r="Q488" i="1" s="1"/>
  <c r="L493" i="1"/>
  <c r="M493" i="1" s="1"/>
  <c r="J493" i="1"/>
  <c r="K493" i="1" s="1"/>
  <c r="H493" i="1"/>
  <c r="I493" i="1" s="1"/>
  <c r="N493" i="1"/>
  <c r="O493" i="1" s="1"/>
  <c r="R493" i="1"/>
  <c r="S493" i="1" s="1"/>
  <c r="V493" i="1"/>
  <c r="W493" i="1" s="1"/>
  <c r="T493" i="1"/>
  <c r="U493" i="1" s="1"/>
  <c r="P493" i="1"/>
  <c r="Q493" i="1" s="1"/>
  <c r="H497" i="1"/>
  <c r="I497" i="1" s="1"/>
  <c r="V497" i="1"/>
  <c r="W497" i="1" s="1"/>
  <c r="L497" i="1"/>
  <c r="M497" i="1" s="1"/>
  <c r="T497" i="1"/>
  <c r="U497" i="1" s="1"/>
  <c r="P497" i="1"/>
  <c r="Q497" i="1" s="1"/>
  <c r="N497" i="1"/>
  <c r="O497" i="1" s="1"/>
  <c r="J497" i="1"/>
  <c r="K497" i="1" s="1"/>
  <c r="R497" i="1"/>
  <c r="S497" i="1" s="1"/>
  <c r="V499" i="1"/>
  <c r="W499" i="1" s="1"/>
  <c r="T499" i="1"/>
  <c r="U499" i="1" s="1"/>
  <c r="R499" i="1"/>
  <c r="S499" i="1" s="1"/>
  <c r="N499" i="1"/>
  <c r="O499" i="1" s="1"/>
  <c r="L499" i="1"/>
  <c r="M499" i="1" s="1"/>
  <c r="J499" i="1"/>
  <c r="K499" i="1" s="1"/>
  <c r="H499" i="1"/>
  <c r="I499" i="1" s="1"/>
  <c r="P499" i="1"/>
  <c r="Q499" i="1" s="1"/>
  <c r="P503" i="1"/>
  <c r="Q503" i="1" s="1"/>
  <c r="N503" i="1"/>
  <c r="O503" i="1" s="1"/>
  <c r="T503" i="1"/>
  <c r="U503" i="1" s="1"/>
  <c r="L503" i="1"/>
  <c r="M503" i="1" s="1"/>
  <c r="J503" i="1"/>
  <c r="K503" i="1" s="1"/>
  <c r="R503" i="1"/>
  <c r="S503" i="1" s="1"/>
  <c r="H503" i="1"/>
  <c r="I503" i="1" s="1"/>
  <c r="V503" i="1"/>
  <c r="W503" i="1" s="1"/>
  <c r="L510" i="1"/>
  <c r="M510" i="1" s="1"/>
  <c r="J510" i="1"/>
  <c r="K510" i="1" s="1"/>
  <c r="H510" i="1"/>
  <c r="I510" i="1" s="1"/>
  <c r="V510" i="1"/>
  <c r="W510" i="1" s="1"/>
  <c r="P510" i="1"/>
  <c r="Q510" i="1" s="1"/>
  <c r="R510" i="1"/>
  <c r="S510" i="1" s="1"/>
  <c r="T510" i="1"/>
  <c r="U510" i="1" s="1"/>
  <c r="N510" i="1"/>
  <c r="O510" i="1" s="1"/>
  <c r="G483" i="1"/>
  <c r="F432" i="1"/>
  <c r="F387" i="1"/>
  <c r="H387" i="1" l="1"/>
  <c r="I387" i="1" s="1"/>
  <c r="L387" i="1"/>
  <c r="M387" i="1" s="1"/>
  <c r="V387" i="1"/>
  <c r="W387" i="1" s="1"/>
  <c r="T387" i="1"/>
  <c r="U387" i="1" s="1"/>
  <c r="R387" i="1"/>
  <c r="S387" i="1" s="1"/>
  <c r="P387" i="1"/>
  <c r="Q387" i="1" s="1"/>
  <c r="N387" i="1"/>
  <c r="O387" i="1" s="1"/>
  <c r="J387" i="1"/>
  <c r="K387" i="1" s="1"/>
  <c r="T432" i="1"/>
  <c r="U432" i="1" s="1"/>
  <c r="R432" i="1"/>
  <c r="S432" i="1" s="1"/>
  <c r="P432" i="1"/>
  <c r="Q432" i="1" s="1"/>
  <c r="J432" i="1"/>
  <c r="K432" i="1" s="1"/>
  <c r="N432" i="1"/>
  <c r="O432" i="1" s="1"/>
  <c r="V432" i="1"/>
  <c r="W432" i="1" s="1"/>
  <c r="L432" i="1"/>
  <c r="M432" i="1" s="1"/>
  <c r="F368" i="1"/>
  <c r="F344" i="1"/>
  <c r="F323" i="1"/>
  <c r="F322" i="1"/>
  <c r="F320" i="1"/>
  <c r="F313" i="1"/>
  <c r="F311" i="1"/>
  <c r="F292" i="1"/>
  <c r="F260" i="1"/>
  <c r="F259" i="1"/>
  <c r="F258" i="1"/>
  <c r="F256" i="1"/>
  <c r="F221" i="1"/>
  <c r="F218" i="1"/>
  <c r="F217" i="1"/>
  <c r="F216" i="1"/>
  <c r="F187" i="1"/>
  <c r="F162" i="1"/>
  <c r="F161" i="1"/>
  <c r="F146" i="1"/>
  <c r="F103" i="1"/>
  <c r="F102" i="1"/>
  <c r="F99" i="1"/>
  <c r="F98" i="1"/>
  <c r="F95" i="1"/>
  <c r="J162" i="1" l="1"/>
  <c r="V162" i="1"/>
  <c r="R162" i="1"/>
  <c r="T162" i="1"/>
  <c r="P162" i="1"/>
  <c r="N162" i="1"/>
  <c r="L162" i="1"/>
  <c r="H162" i="1"/>
  <c r="H292" i="1"/>
  <c r="I292" i="1" s="1"/>
  <c r="V292" i="1"/>
  <c r="W292" i="1" s="1"/>
  <c r="T292" i="1"/>
  <c r="U292" i="1" s="1"/>
  <c r="J292" i="1"/>
  <c r="K292" i="1" s="1"/>
  <c r="R292" i="1"/>
  <c r="S292" i="1" s="1"/>
  <c r="P292" i="1"/>
  <c r="Q292" i="1" s="1"/>
  <c r="N292" i="1"/>
  <c r="O292" i="1" s="1"/>
  <c r="L292" i="1"/>
  <c r="M292" i="1" s="1"/>
  <c r="V216" i="1"/>
  <c r="W216" i="1" s="1"/>
  <c r="T216" i="1"/>
  <c r="U216" i="1" s="1"/>
  <c r="R216" i="1"/>
  <c r="S216" i="1" s="1"/>
  <c r="P216" i="1"/>
  <c r="Q216" i="1" s="1"/>
  <c r="J216" i="1"/>
  <c r="K216" i="1" s="1"/>
  <c r="N216" i="1"/>
  <c r="O216" i="1" s="1"/>
  <c r="L216" i="1"/>
  <c r="M216" i="1" s="1"/>
  <c r="N217" i="1"/>
  <c r="O217" i="1" s="1"/>
  <c r="L217" i="1"/>
  <c r="M217" i="1" s="1"/>
  <c r="J217" i="1"/>
  <c r="K217" i="1" s="1"/>
  <c r="P217" i="1"/>
  <c r="Q217" i="1" s="1"/>
  <c r="V217" i="1"/>
  <c r="W217" i="1" s="1"/>
  <c r="T217" i="1"/>
  <c r="U217" i="1" s="1"/>
  <c r="R217" i="1"/>
  <c r="S217" i="1" s="1"/>
  <c r="J256" i="1"/>
  <c r="K256" i="1" s="1"/>
  <c r="H256" i="1"/>
  <c r="I256" i="1" s="1"/>
  <c r="L256" i="1"/>
  <c r="M256" i="1" s="1"/>
  <c r="V256" i="1"/>
  <c r="W256" i="1" s="1"/>
  <c r="T256" i="1"/>
  <c r="U256" i="1" s="1"/>
  <c r="R256" i="1"/>
  <c r="S256" i="1" s="1"/>
  <c r="P256" i="1"/>
  <c r="Q256" i="1" s="1"/>
  <c r="N256" i="1"/>
  <c r="O256" i="1" s="1"/>
  <c r="R218" i="1"/>
  <c r="S218" i="1" s="1"/>
  <c r="P218" i="1"/>
  <c r="Q218" i="1" s="1"/>
  <c r="N218" i="1"/>
  <c r="O218" i="1" s="1"/>
  <c r="L218" i="1"/>
  <c r="M218" i="1" s="1"/>
  <c r="J218" i="1"/>
  <c r="K218" i="1" s="1"/>
  <c r="V218" i="1"/>
  <c r="W218" i="1" s="1"/>
  <c r="T218" i="1"/>
  <c r="U218" i="1" s="1"/>
  <c r="N221" i="1"/>
  <c r="O221" i="1" s="1"/>
  <c r="L221" i="1"/>
  <c r="M221" i="1" s="1"/>
  <c r="J221" i="1"/>
  <c r="K221" i="1" s="1"/>
  <c r="P221" i="1"/>
  <c r="Q221" i="1" s="1"/>
  <c r="V221" i="1"/>
  <c r="W221" i="1" s="1"/>
  <c r="T221" i="1"/>
  <c r="U221" i="1" s="1"/>
  <c r="R221" i="1"/>
  <c r="S221" i="1" s="1"/>
  <c r="P258" i="1"/>
  <c r="Q258" i="1" s="1"/>
  <c r="R258" i="1"/>
  <c r="S258" i="1" s="1"/>
  <c r="N258" i="1"/>
  <c r="O258" i="1" s="1"/>
  <c r="L258" i="1"/>
  <c r="M258" i="1" s="1"/>
  <c r="J258" i="1"/>
  <c r="K258" i="1" s="1"/>
  <c r="H258" i="1"/>
  <c r="I258" i="1" s="1"/>
  <c r="V258" i="1"/>
  <c r="W258" i="1" s="1"/>
  <c r="T258" i="1"/>
  <c r="U258" i="1" s="1"/>
  <c r="H260" i="1"/>
  <c r="I260" i="1" s="1"/>
  <c r="T161" i="1"/>
  <c r="U161" i="1" s="1"/>
  <c r="R161" i="1"/>
  <c r="S161" i="1" s="1"/>
  <c r="P161" i="1"/>
  <c r="Q161" i="1" s="1"/>
  <c r="N161" i="1"/>
  <c r="O161" i="1" s="1"/>
  <c r="L161" i="1"/>
  <c r="M161" i="1" s="1"/>
  <c r="J161" i="1"/>
  <c r="K161" i="1" s="1"/>
  <c r="V161" i="1"/>
  <c r="W161" i="1" s="1"/>
  <c r="R187" i="1"/>
  <c r="S187" i="1" s="1"/>
  <c r="P187" i="1"/>
  <c r="Q187" i="1" s="1"/>
  <c r="N187" i="1"/>
  <c r="O187" i="1" s="1"/>
  <c r="L187" i="1"/>
  <c r="M187" i="1" s="1"/>
  <c r="T187" i="1"/>
  <c r="U187" i="1" s="1"/>
  <c r="V187" i="1"/>
  <c r="W187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9" i="1"/>
  <c r="W259" i="1" s="1"/>
  <c r="N311" i="1"/>
  <c r="L311" i="1"/>
  <c r="M311" i="1" s="1"/>
  <c r="L368" i="1"/>
  <c r="M368" i="1" s="1"/>
  <c r="N368" i="1"/>
  <c r="O368" i="1" s="1"/>
  <c r="P368" i="1"/>
  <c r="Q368" i="1" s="1"/>
  <c r="R368" i="1"/>
  <c r="S368" i="1" s="1"/>
  <c r="T368" i="1"/>
  <c r="U368" i="1" s="1"/>
  <c r="V368" i="1"/>
  <c r="W368" i="1" s="1"/>
  <c r="T313" i="1"/>
  <c r="U313" i="1" s="1"/>
  <c r="R313" i="1"/>
  <c r="S313" i="1" s="1"/>
  <c r="P313" i="1"/>
  <c r="Q313" i="1" s="1"/>
  <c r="N313" i="1"/>
  <c r="O313" i="1" s="1"/>
  <c r="L313" i="1"/>
  <c r="M313" i="1" s="1"/>
  <c r="V313" i="1"/>
  <c r="W313" i="1" s="1"/>
  <c r="N320" i="1"/>
  <c r="O320" i="1" s="1"/>
  <c r="L320" i="1"/>
  <c r="M320" i="1" s="1"/>
  <c r="V320" i="1"/>
  <c r="W320" i="1" s="1"/>
  <c r="T320" i="1"/>
  <c r="U320" i="1" s="1"/>
  <c r="R320" i="1"/>
  <c r="S320" i="1" s="1"/>
  <c r="P320" i="1"/>
  <c r="Q320" i="1" s="1"/>
  <c r="V322" i="1"/>
  <c r="W322" i="1" s="1"/>
  <c r="T322" i="1"/>
  <c r="U322" i="1" s="1"/>
  <c r="R322" i="1"/>
  <c r="S322" i="1" s="1"/>
  <c r="P322" i="1"/>
  <c r="Q322" i="1" s="1"/>
  <c r="N322" i="1"/>
  <c r="O322" i="1" s="1"/>
  <c r="L322" i="1"/>
  <c r="M322" i="1" s="1"/>
  <c r="R344" i="1"/>
  <c r="S344" i="1" s="1"/>
  <c r="P344" i="1"/>
  <c r="Q344" i="1" s="1"/>
  <c r="N344" i="1"/>
  <c r="O344" i="1" s="1"/>
  <c r="L344" i="1"/>
  <c r="M344" i="1" s="1"/>
  <c r="V344" i="1"/>
  <c r="W344" i="1" s="1"/>
  <c r="T344" i="1"/>
  <c r="U344" i="1" s="1"/>
  <c r="P323" i="1"/>
  <c r="Q323" i="1" s="1"/>
  <c r="N323" i="1"/>
  <c r="O323" i="1" s="1"/>
  <c r="L323" i="1"/>
  <c r="M323" i="1" s="1"/>
  <c r="L146" i="1"/>
  <c r="M146" i="1" s="1"/>
  <c r="J146" i="1"/>
  <c r="K146" i="1" s="1"/>
  <c r="H146" i="1"/>
  <c r="I146" i="1" s="1"/>
  <c r="N99" i="1"/>
  <c r="O99" i="1" s="1"/>
  <c r="L99" i="1"/>
  <c r="M99" i="1" s="1"/>
  <c r="J99" i="1"/>
  <c r="K99" i="1" s="1"/>
  <c r="H99" i="1"/>
  <c r="I99" i="1" s="1"/>
  <c r="P99" i="1"/>
  <c r="Q99" i="1" s="1"/>
  <c r="T99" i="1"/>
  <c r="U99" i="1" s="1"/>
  <c r="R99" i="1"/>
  <c r="S99" i="1" s="1"/>
  <c r="V99" i="1"/>
  <c r="W99" i="1" s="1"/>
  <c r="V101" i="1"/>
  <c r="W101" i="1" s="1"/>
  <c r="T101" i="1"/>
  <c r="U101" i="1" s="1"/>
  <c r="R101" i="1"/>
  <c r="S101" i="1" s="1"/>
  <c r="P101" i="1"/>
  <c r="Q101" i="1" s="1"/>
  <c r="N101" i="1"/>
  <c r="O101" i="1" s="1"/>
  <c r="H101" i="1"/>
  <c r="I101" i="1" s="1"/>
  <c r="L101" i="1"/>
  <c r="M101" i="1" s="1"/>
  <c r="J101" i="1"/>
  <c r="K101" i="1" s="1"/>
  <c r="I363" i="1"/>
  <c r="W363" i="1"/>
  <c r="U363" i="1"/>
  <c r="S363" i="1"/>
  <c r="Q363" i="1"/>
  <c r="J98" i="1"/>
  <c r="K98" i="1" s="1"/>
  <c r="H98" i="1"/>
  <c r="I98" i="1" s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H103" i="1"/>
  <c r="I103" i="1" s="1"/>
  <c r="V103" i="1"/>
  <c r="W103" i="1" s="1"/>
  <c r="T103" i="1"/>
  <c r="U103" i="1" s="1"/>
  <c r="L103" i="1"/>
  <c r="M103" i="1" s="1"/>
  <c r="R103" i="1"/>
  <c r="S103" i="1" s="1"/>
  <c r="N103" i="1"/>
  <c r="O103" i="1" s="1"/>
  <c r="P103" i="1"/>
  <c r="Q103" i="1" s="1"/>
  <c r="J103" i="1"/>
  <c r="K103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T100" i="1"/>
  <c r="U100" i="1" s="1"/>
  <c r="V100" i="1"/>
  <c r="W100" i="1" s="1"/>
  <c r="V102" i="1"/>
  <c r="W102" i="1" s="1"/>
  <c r="H102" i="1"/>
  <c r="I102" i="1" s="1"/>
  <c r="T102" i="1"/>
  <c r="U102" i="1" s="1"/>
  <c r="R102" i="1"/>
  <c r="S102" i="1" s="1"/>
  <c r="P102" i="1"/>
  <c r="Q102" i="1" s="1"/>
  <c r="J102" i="1"/>
  <c r="K102" i="1" s="1"/>
  <c r="N102" i="1"/>
  <c r="O102" i="1" s="1"/>
  <c r="L102" i="1"/>
  <c r="M102" i="1" s="1"/>
  <c r="W301" i="1"/>
  <c r="U301" i="1"/>
  <c r="S301" i="1"/>
  <c r="Q301" i="1"/>
  <c r="O301" i="1"/>
  <c r="M301" i="1"/>
  <c r="O311" i="1"/>
  <c r="V95" i="1"/>
  <c r="W95" i="1" s="1"/>
  <c r="T95" i="1"/>
  <c r="U95" i="1" s="1"/>
  <c r="R95" i="1"/>
  <c r="S95" i="1" s="1"/>
  <c r="P95" i="1"/>
  <c r="Q95" i="1" s="1"/>
  <c r="N95" i="1"/>
  <c r="O95" i="1" s="1"/>
  <c r="L95" i="1"/>
  <c r="M95" i="1" s="1"/>
  <c r="J95" i="1"/>
  <c r="K95" i="1" s="1"/>
  <c r="N146" i="1"/>
  <c r="O146" i="1" s="1"/>
  <c r="T146" i="1"/>
  <c r="U146" i="1" s="1"/>
  <c r="P146" i="1"/>
  <c r="Q146" i="1" s="1"/>
  <c r="V146" i="1"/>
  <c r="W146" i="1" s="1"/>
  <c r="R146" i="1"/>
  <c r="S146" i="1" s="1"/>
  <c r="K363" i="1"/>
  <c r="O363" i="1"/>
  <c r="M363" i="1"/>
  <c r="G568" i="1" l="1"/>
  <c r="T568" i="1"/>
  <c r="U568" i="1" s="1"/>
  <c r="J568" i="1"/>
  <c r="K568" i="1" s="1"/>
  <c r="V568" i="1"/>
  <c r="W568" i="1" s="1"/>
  <c r="H568" i="1"/>
  <c r="I568" i="1" s="1"/>
  <c r="L568" i="1"/>
  <c r="M568" i="1" s="1"/>
  <c r="N568" i="1"/>
  <c r="O568" i="1" s="1"/>
  <c r="P568" i="1"/>
  <c r="Q568" i="1" s="1"/>
  <c r="R568" i="1"/>
  <c r="S568" i="1" s="1"/>
  <c r="G338" i="1"/>
  <c r="G337" i="1" l="1"/>
  <c r="R535" i="1" l="1"/>
  <c r="S535" i="1" s="1"/>
  <c r="H535" i="1"/>
  <c r="I535" i="1" s="1"/>
  <c r="T535" i="1"/>
  <c r="U535" i="1" s="1"/>
  <c r="V535" i="1"/>
  <c r="W535" i="1" s="1"/>
  <c r="J535" i="1"/>
  <c r="K535" i="1" s="1"/>
  <c r="L535" i="1"/>
  <c r="M535" i="1" s="1"/>
  <c r="N535" i="1"/>
  <c r="O535" i="1" s="1"/>
  <c r="P535" i="1"/>
  <c r="Q535" i="1" s="1"/>
  <c r="G401" i="1"/>
  <c r="G402" i="1"/>
  <c r="G393" i="1"/>
  <c r="G394" i="1"/>
  <c r="G226" i="1"/>
  <c r="J11" i="1" l="1"/>
  <c r="G11" i="1"/>
  <c r="H411" i="1" l="1"/>
  <c r="I411" i="1" s="1"/>
  <c r="G229" i="1" l="1"/>
  <c r="G231" i="1" l="1"/>
  <c r="F336" i="1"/>
  <c r="V336" i="1" l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G336" i="1"/>
  <c r="G376" i="1"/>
  <c r="V466" i="1" l="1"/>
  <c r="W466" i="1" s="1"/>
  <c r="L466" i="1" l="1"/>
  <c r="M466" i="1" s="1"/>
  <c r="R466" i="1"/>
  <c r="S466" i="1" s="1"/>
  <c r="T466" i="1"/>
  <c r="U466" i="1" s="1"/>
  <c r="N466" i="1"/>
  <c r="O466" i="1" s="1"/>
  <c r="P466" i="1"/>
  <c r="Q466" i="1" s="1"/>
  <c r="G466" i="1"/>
  <c r="H466" i="1"/>
  <c r="I466" i="1" s="1"/>
  <c r="J466" i="1"/>
  <c r="K466" i="1" s="1"/>
  <c r="T650" i="1"/>
  <c r="U650" i="1" s="1"/>
  <c r="R650" i="1"/>
  <c r="S650" i="1" s="1"/>
  <c r="P650" i="1"/>
  <c r="Q650" i="1" s="1"/>
  <c r="N650" i="1"/>
  <c r="O650" i="1" s="1"/>
  <c r="L650" i="1"/>
  <c r="M650" i="1" s="1"/>
  <c r="J650" i="1"/>
  <c r="K650" i="1" s="1"/>
  <c r="T646" i="1"/>
  <c r="R646" i="1"/>
  <c r="P646" i="1"/>
  <c r="N646" i="1"/>
  <c r="L646" i="1"/>
  <c r="J646" i="1"/>
  <c r="L648" i="1"/>
  <c r="J648" i="1"/>
  <c r="L647" i="1"/>
  <c r="W585" i="1"/>
  <c r="U585" i="1"/>
  <c r="S585" i="1"/>
  <c r="Q585" i="1"/>
  <c r="O585" i="1"/>
  <c r="M585" i="1"/>
  <c r="K585" i="1"/>
  <c r="W213" i="1" l="1"/>
  <c r="U213" i="1"/>
  <c r="S213" i="1"/>
  <c r="Q213" i="1"/>
  <c r="O213" i="1"/>
  <c r="M213" i="1"/>
  <c r="K213" i="1"/>
  <c r="U178" i="1"/>
  <c r="S178" i="1"/>
  <c r="Q178" i="1"/>
  <c r="O178" i="1"/>
  <c r="M178" i="1"/>
  <c r="J10" i="1"/>
  <c r="W28" i="1"/>
  <c r="U28" i="1"/>
  <c r="S28" i="1"/>
  <c r="Q28" i="1"/>
  <c r="O28" i="1"/>
  <c r="M28" i="1"/>
  <c r="W59" i="1"/>
  <c r="U59" i="1"/>
  <c r="S59" i="1"/>
  <c r="Q59" i="1"/>
  <c r="O59" i="1"/>
  <c r="I68" i="1"/>
  <c r="W265" i="1"/>
  <c r="U265" i="1"/>
  <c r="S265" i="1"/>
  <c r="Q265" i="1"/>
  <c r="O265" i="1"/>
  <c r="F353" i="1" l="1"/>
  <c r="V353" i="1" l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G406" i="1"/>
  <c r="L653" i="1" l="1"/>
  <c r="M653" i="1" s="1"/>
  <c r="J653" i="1"/>
  <c r="K653" i="1" s="1"/>
  <c r="T653" i="1"/>
  <c r="U653" i="1" s="1"/>
  <c r="R653" i="1"/>
  <c r="S653" i="1" s="1"/>
  <c r="P653" i="1"/>
  <c r="Q653" i="1" s="1"/>
  <c r="N653" i="1"/>
  <c r="O653" i="1" s="1"/>
  <c r="R654" i="1"/>
  <c r="S654" i="1" s="1"/>
  <c r="P654" i="1"/>
  <c r="Q654" i="1" s="1"/>
  <c r="N654" i="1"/>
  <c r="O654" i="1" s="1"/>
  <c r="L654" i="1"/>
  <c r="M654" i="1" s="1"/>
  <c r="J654" i="1"/>
  <c r="K654" i="1" s="1"/>
  <c r="T654" i="1"/>
  <c r="U654" i="1" s="1"/>
  <c r="P651" i="1"/>
  <c r="Q651" i="1" s="1"/>
  <c r="N651" i="1"/>
  <c r="O651" i="1" s="1"/>
  <c r="L651" i="1"/>
  <c r="M651" i="1" s="1"/>
  <c r="J651" i="1"/>
  <c r="K651" i="1" s="1"/>
  <c r="R651" i="1"/>
  <c r="S651" i="1" s="1"/>
  <c r="T651" i="1"/>
  <c r="U651" i="1" s="1"/>
  <c r="F540" i="1"/>
  <c r="H522" i="1" l="1"/>
  <c r="V522" i="1"/>
  <c r="T522" i="1"/>
  <c r="R522" i="1"/>
  <c r="P522" i="1"/>
  <c r="J522" i="1"/>
  <c r="N522" i="1"/>
  <c r="L522" i="1"/>
  <c r="H540" i="1"/>
  <c r="I540" i="1" s="1"/>
  <c r="N540" i="1"/>
  <c r="O540" i="1" s="1"/>
  <c r="P540" i="1"/>
  <c r="Q540" i="1" s="1"/>
  <c r="T540" i="1"/>
  <c r="U540" i="1" s="1"/>
  <c r="V540" i="1"/>
  <c r="W540" i="1" s="1"/>
  <c r="R540" i="1"/>
  <c r="S540" i="1" s="1"/>
  <c r="J540" i="1"/>
  <c r="K540" i="1" s="1"/>
  <c r="L540" i="1"/>
  <c r="M540" i="1" s="1"/>
  <c r="T505" i="1"/>
  <c r="U505" i="1" s="1"/>
  <c r="R505" i="1"/>
  <c r="S505" i="1" s="1"/>
  <c r="V505" i="1"/>
  <c r="W505" i="1" s="1"/>
  <c r="P505" i="1"/>
  <c r="Q505" i="1" s="1"/>
  <c r="N505" i="1"/>
  <c r="O505" i="1" s="1"/>
  <c r="L505" i="1"/>
  <c r="M505" i="1" s="1"/>
  <c r="H505" i="1"/>
  <c r="I505" i="1" s="1"/>
  <c r="J505" i="1"/>
  <c r="K505" i="1" s="1"/>
  <c r="U411" i="1"/>
  <c r="S411" i="1"/>
  <c r="Q411" i="1"/>
  <c r="O411" i="1"/>
  <c r="M411" i="1"/>
  <c r="K411" i="1"/>
  <c r="G411" i="1"/>
  <c r="G485" i="1" l="1"/>
  <c r="G484" i="1"/>
  <c r="U141" i="1"/>
  <c r="W141" i="1"/>
  <c r="S141" i="1"/>
  <c r="Q141" i="1"/>
  <c r="O141" i="1"/>
  <c r="M141" i="1"/>
  <c r="K141" i="1"/>
  <c r="W140" i="1"/>
  <c r="U140" i="1"/>
  <c r="S140" i="1"/>
  <c r="Q140" i="1"/>
  <c r="O140" i="1"/>
  <c r="M140" i="1"/>
  <c r="K140" i="1"/>
  <c r="G379" i="1" l="1"/>
  <c r="G405" i="1" l="1"/>
  <c r="G498" i="1" l="1"/>
  <c r="U451" i="1" l="1"/>
  <c r="Q451" i="1"/>
  <c r="O451" i="1"/>
  <c r="M451" i="1"/>
  <c r="U450" i="1"/>
  <c r="Q450" i="1"/>
  <c r="M450" i="1"/>
  <c r="U449" i="1"/>
  <c r="Q449" i="1"/>
  <c r="M449" i="1"/>
  <c r="U448" i="1"/>
  <c r="Q448" i="1"/>
  <c r="M448" i="1"/>
  <c r="U447" i="1"/>
  <c r="Q447" i="1"/>
  <c r="M447" i="1"/>
  <c r="U446" i="1"/>
  <c r="S446" i="1"/>
  <c r="Q446" i="1"/>
  <c r="M446" i="1"/>
  <c r="W459" i="1"/>
  <c r="K459" i="1"/>
  <c r="I459" i="1"/>
  <c r="W458" i="1"/>
  <c r="K458" i="1"/>
  <c r="I458" i="1"/>
  <c r="V456" i="1"/>
  <c r="W456" i="1" s="1"/>
  <c r="T456" i="1"/>
  <c r="U456" i="1" s="1"/>
  <c r="R456" i="1"/>
  <c r="S456" i="1" s="1"/>
  <c r="P456" i="1"/>
  <c r="Q456" i="1" s="1"/>
  <c r="N456" i="1"/>
  <c r="O456" i="1" s="1"/>
  <c r="L456" i="1"/>
  <c r="M456" i="1" s="1"/>
  <c r="J456" i="1"/>
  <c r="K456" i="1" s="1"/>
  <c r="H456" i="1"/>
  <c r="I456" i="1" s="1"/>
  <c r="V455" i="1"/>
  <c r="W455" i="1" s="1"/>
  <c r="T455" i="1"/>
  <c r="U455" i="1" s="1"/>
  <c r="R455" i="1"/>
  <c r="S455" i="1" s="1"/>
  <c r="P455" i="1"/>
  <c r="Q455" i="1" s="1"/>
  <c r="N455" i="1"/>
  <c r="O455" i="1" s="1"/>
  <c r="L455" i="1"/>
  <c r="M455" i="1" s="1"/>
  <c r="J455" i="1"/>
  <c r="K455" i="1" s="1"/>
  <c r="H455" i="1"/>
  <c r="I455" i="1" s="1"/>
  <c r="V454" i="1"/>
  <c r="W454" i="1" s="1"/>
  <c r="T454" i="1"/>
  <c r="U454" i="1" s="1"/>
  <c r="R454" i="1"/>
  <c r="S454" i="1" s="1"/>
  <c r="P454" i="1"/>
  <c r="Q454" i="1" s="1"/>
  <c r="N454" i="1"/>
  <c r="O454" i="1" s="1"/>
  <c r="L454" i="1"/>
  <c r="M454" i="1" s="1"/>
  <c r="J454" i="1"/>
  <c r="K454" i="1" s="1"/>
  <c r="H454" i="1"/>
  <c r="I454" i="1" s="1"/>
  <c r="V453" i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H453" i="1"/>
  <c r="I453" i="1" s="1"/>
  <c r="K462" i="1"/>
  <c r="I462" i="1"/>
  <c r="K461" i="1"/>
  <c r="I461" i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G452" i="1" l="1"/>
  <c r="J566" i="1" l="1"/>
  <c r="K566" i="1" s="1"/>
  <c r="V566" i="1"/>
  <c r="W566" i="1" s="1"/>
  <c r="H566" i="1"/>
  <c r="I566" i="1" s="1"/>
  <c r="L566" i="1"/>
  <c r="M566" i="1" s="1"/>
  <c r="N566" i="1"/>
  <c r="O566" i="1" s="1"/>
  <c r="R566" i="1"/>
  <c r="S566" i="1" s="1"/>
  <c r="P566" i="1"/>
  <c r="Q566" i="1" s="1"/>
  <c r="T566" i="1"/>
  <c r="U566" i="1" s="1"/>
  <c r="P452" i="1"/>
  <c r="Q452" i="1" s="1"/>
  <c r="N452" i="1"/>
  <c r="O452" i="1" s="1"/>
  <c r="L452" i="1"/>
  <c r="M452" i="1" s="1"/>
  <c r="V452" i="1"/>
  <c r="W452" i="1" s="1"/>
  <c r="J452" i="1"/>
  <c r="K452" i="1" s="1"/>
  <c r="T452" i="1"/>
  <c r="U452" i="1" s="1"/>
  <c r="R452" i="1"/>
  <c r="S452" i="1" s="1"/>
  <c r="H452" i="1"/>
  <c r="I452" i="1" s="1"/>
  <c r="L634" i="1" l="1"/>
  <c r="L633" i="1"/>
  <c r="G389" i="1" l="1"/>
  <c r="F542" i="1" l="1"/>
  <c r="F223" i="1"/>
  <c r="F219" i="1"/>
  <c r="F186" i="1"/>
  <c r="F163" i="1"/>
  <c r="F15" i="1"/>
  <c r="H15" i="1" s="1"/>
  <c r="F16" i="1"/>
  <c r="H16" i="1" s="1"/>
  <c r="N163" i="1" l="1"/>
  <c r="O163" i="1" s="1"/>
  <c r="J163" i="1"/>
  <c r="P163" i="1"/>
  <c r="Q163" i="1" s="1"/>
  <c r="L163" i="1"/>
  <c r="M163" i="1" s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219" i="1"/>
  <c r="W219" i="1" s="1"/>
  <c r="T219" i="1"/>
  <c r="U219" i="1" s="1"/>
  <c r="R219" i="1"/>
  <c r="S219" i="1" s="1"/>
  <c r="P219" i="1"/>
  <c r="Q219" i="1" s="1"/>
  <c r="N219" i="1"/>
  <c r="O219" i="1" s="1"/>
  <c r="L219" i="1"/>
  <c r="M219" i="1" s="1"/>
  <c r="J219" i="1"/>
  <c r="K219" i="1" s="1"/>
  <c r="J542" i="1"/>
  <c r="K542" i="1" s="1"/>
  <c r="L542" i="1"/>
  <c r="M542" i="1" s="1"/>
  <c r="H542" i="1"/>
  <c r="I542" i="1" s="1"/>
  <c r="N542" i="1"/>
  <c r="O542" i="1" s="1"/>
  <c r="T223" i="1"/>
  <c r="U223" i="1" s="1"/>
  <c r="R223" i="1"/>
  <c r="S223" i="1" s="1"/>
  <c r="P223" i="1"/>
  <c r="Q223" i="1" s="1"/>
  <c r="V223" i="1"/>
  <c r="W223" i="1" s="1"/>
  <c r="N223" i="1"/>
  <c r="O223" i="1" s="1"/>
  <c r="H223" i="1"/>
  <c r="I223" i="1" s="1"/>
  <c r="L223" i="1"/>
  <c r="M223" i="1" s="1"/>
  <c r="J223" i="1"/>
  <c r="K223" i="1" s="1"/>
  <c r="J147" i="1"/>
  <c r="K147" i="1" s="1"/>
  <c r="H147" i="1"/>
  <c r="I147" i="1" s="1"/>
  <c r="L147" i="1"/>
  <c r="M147" i="1" s="1"/>
  <c r="V147" i="1"/>
  <c r="W147" i="1" s="1"/>
  <c r="T147" i="1"/>
  <c r="U147" i="1" s="1"/>
  <c r="R147" i="1"/>
  <c r="S147" i="1" s="1"/>
  <c r="N147" i="1"/>
  <c r="O147" i="1" s="1"/>
  <c r="P147" i="1"/>
  <c r="Q147" i="1" s="1"/>
  <c r="K163" i="1"/>
  <c r="I162" i="1"/>
  <c r="W162" i="1"/>
  <c r="U162" i="1"/>
  <c r="S162" i="1"/>
  <c r="Q162" i="1"/>
  <c r="O162" i="1"/>
  <c r="M162" i="1"/>
  <c r="K162" i="1"/>
  <c r="G542" i="1"/>
  <c r="G385" i="1" l="1"/>
  <c r="V486" i="1" l="1"/>
  <c r="W486" i="1" s="1"/>
  <c r="H486" i="1"/>
  <c r="I486" i="1" s="1"/>
  <c r="J486" i="1"/>
  <c r="K486" i="1" s="1"/>
  <c r="T486" i="1"/>
  <c r="U486" i="1" s="1"/>
  <c r="L486" i="1"/>
  <c r="M486" i="1" s="1"/>
  <c r="P486" i="1"/>
  <c r="Q486" i="1" s="1"/>
  <c r="R486" i="1"/>
  <c r="S486" i="1" s="1"/>
  <c r="N486" i="1"/>
  <c r="O486" i="1" s="1"/>
  <c r="G486" i="1"/>
  <c r="G360" i="1" l="1"/>
  <c r="F508" i="1" l="1"/>
  <c r="P508" i="1" l="1"/>
  <c r="Q508" i="1" s="1"/>
  <c r="N508" i="1"/>
  <c r="O508" i="1" s="1"/>
  <c r="L508" i="1"/>
  <c r="M508" i="1" s="1"/>
  <c r="J508" i="1"/>
  <c r="K508" i="1" s="1"/>
  <c r="T508" i="1"/>
  <c r="U508" i="1" s="1"/>
  <c r="R508" i="1"/>
  <c r="S508" i="1" s="1"/>
  <c r="H508" i="1"/>
  <c r="I508" i="1" s="1"/>
  <c r="V508" i="1"/>
  <c r="W508" i="1" s="1"/>
  <c r="G508" i="1"/>
  <c r="G362" i="1" l="1"/>
  <c r="G358" i="1" l="1"/>
  <c r="P634" i="1" l="1"/>
  <c r="Q634" i="1" s="1"/>
  <c r="M634" i="1" l="1"/>
  <c r="V634" i="1"/>
  <c r="W634" i="1" s="1"/>
  <c r="G634" i="1"/>
  <c r="R634" i="1"/>
  <c r="S634" i="1" s="1"/>
  <c r="N634" i="1"/>
  <c r="O634" i="1" s="1"/>
  <c r="T634" i="1"/>
  <c r="U634" i="1" s="1"/>
  <c r="G526" i="1"/>
  <c r="G556" i="1"/>
  <c r="G99" i="1"/>
  <c r="G147" i="1"/>
  <c r="R648" i="1" l="1"/>
  <c r="R647" i="1"/>
  <c r="P648" i="1"/>
  <c r="P647" i="1"/>
  <c r="N648" i="1"/>
  <c r="N647" i="1"/>
  <c r="T647" i="1"/>
  <c r="T648" i="1"/>
  <c r="G423" i="1" l="1"/>
  <c r="V633" i="1"/>
  <c r="W633" i="1" s="1"/>
  <c r="P633" i="1"/>
  <c r="Q633" i="1" s="1"/>
  <c r="R633" i="1"/>
  <c r="S633" i="1" s="1"/>
  <c r="N633" i="1"/>
  <c r="O633" i="1" s="1"/>
  <c r="T633" i="1"/>
  <c r="U633" i="1" s="1"/>
  <c r="G633" i="1"/>
  <c r="M633" i="1"/>
  <c r="F427" i="1"/>
  <c r="F424" i="1"/>
  <c r="F426" i="1"/>
  <c r="V424" i="1" l="1"/>
  <c r="W424" i="1" s="1"/>
  <c r="T424" i="1"/>
  <c r="U424" i="1" s="1"/>
  <c r="R424" i="1"/>
  <c r="S424" i="1" s="1"/>
  <c r="P424" i="1"/>
  <c r="Q424" i="1" s="1"/>
  <c r="N424" i="1"/>
  <c r="O424" i="1" s="1"/>
  <c r="L424" i="1"/>
  <c r="M424" i="1" s="1"/>
  <c r="J424" i="1"/>
  <c r="K424" i="1" s="1"/>
  <c r="H424" i="1"/>
  <c r="I424" i="1" s="1"/>
  <c r="V427" i="1"/>
  <c r="W427" i="1" s="1"/>
  <c r="T427" i="1"/>
  <c r="U427" i="1" s="1"/>
  <c r="R427" i="1"/>
  <c r="S427" i="1" s="1"/>
  <c r="P427" i="1"/>
  <c r="Q427" i="1" s="1"/>
  <c r="N427" i="1"/>
  <c r="O427" i="1" s="1"/>
  <c r="L427" i="1"/>
  <c r="M427" i="1" s="1"/>
  <c r="J427" i="1"/>
  <c r="K427" i="1" s="1"/>
  <c r="H427" i="1"/>
  <c r="I427" i="1" s="1"/>
  <c r="P426" i="1"/>
  <c r="Q426" i="1" s="1"/>
  <c r="T426" i="1"/>
  <c r="U426" i="1" s="1"/>
  <c r="N426" i="1"/>
  <c r="O426" i="1" s="1"/>
  <c r="L426" i="1"/>
  <c r="M426" i="1" s="1"/>
  <c r="J426" i="1"/>
  <c r="K426" i="1" s="1"/>
  <c r="H426" i="1"/>
  <c r="I426" i="1" s="1"/>
  <c r="V426" i="1"/>
  <c r="W426" i="1" s="1"/>
  <c r="R426" i="1"/>
  <c r="S426" i="1" s="1"/>
  <c r="G424" i="1"/>
  <c r="G426" i="1"/>
  <c r="G427" i="1"/>
  <c r="G359" i="1" l="1"/>
  <c r="W148" i="1" l="1"/>
  <c r="U148" i="1"/>
  <c r="S148" i="1"/>
  <c r="Q148" i="1"/>
  <c r="O148" i="1"/>
  <c r="M148" i="1"/>
  <c r="K148" i="1"/>
  <c r="W439" i="1"/>
  <c r="W435" i="1"/>
  <c r="W434" i="1"/>
  <c r="U439" i="1"/>
  <c r="U435" i="1"/>
  <c r="U434" i="1"/>
  <c r="S439" i="1"/>
  <c r="S435" i="1"/>
  <c r="S434" i="1"/>
  <c r="Q439" i="1"/>
  <c r="Q435" i="1"/>
  <c r="Q434" i="1"/>
  <c r="O439" i="1"/>
  <c r="O435" i="1"/>
  <c r="O434" i="1"/>
  <c r="G437" i="1"/>
  <c r="G438" i="1"/>
  <c r="G439" i="1"/>
  <c r="G436" i="1"/>
  <c r="G435" i="1"/>
  <c r="G434" i="1"/>
  <c r="G328" i="1" l="1"/>
  <c r="F465" i="1" l="1"/>
  <c r="R465" i="1" l="1"/>
  <c r="J465" i="1"/>
  <c r="V465" i="1"/>
  <c r="N465" i="1"/>
  <c r="L465" i="1"/>
  <c r="T465" i="1"/>
  <c r="P465" i="1"/>
  <c r="H465" i="1"/>
  <c r="M127" i="1"/>
  <c r="F509" i="1" l="1"/>
  <c r="P509" i="1" l="1"/>
  <c r="Q509" i="1" s="1"/>
  <c r="N509" i="1"/>
  <c r="O509" i="1" s="1"/>
  <c r="L509" i="1"/>
  <c r="M509" i="1" s="1"/>
  <c r="J509" i="1"/>
  <c r="K509" i="1" s="1"/>
  <c r="V509" i="1"/>
  <c r="W509" i="1" s="1"/>
  <c r="R509" i="1"/>
  <c r="S509" i="1" s="1"/>
  <c r="H509" i="1"/>
  <c r="I509" i="1" s="1"/>
  <c r="T509" i="1"/>
  <c r="U509" i="1" s="1"/>
  <c r="G272" i="1" l="1"/>
  <c r="J501" i="1" l="1"/>
  <c r="K501" i="1" s="1"/>
  <c r="H501" i="1"/>
  <c r="I501" i="1" s="1"/>
  <c r="N501" i="1"/>
  <c r="O501" i="1" s="1"/>
  <c r="V501" i="1"/>
  <c r="W501" i="1" s="1"/>
  <c r="T501" i="1"/>
  <c r="U501" i="1" s="1"/>
  <c r="R501" i="1"/>
  <c r="S501" i="1" s="1"/>
  <c r="P501" i="1"/>
  <c r="Q501" i="1" s="1"/>
  <c r="L501" i="1"/>
  <c r="M501" i="1" s="1"/>
  <c r="V502" i="1"/>
  <c r="W502" i="1" s="1"/>
  <c r="L502" i="1"/>
  <c r="M502" i="1" s="1"/>
  <c r="H502" i="1"/>
  <c r="I502" i="1" s="1"/>
  <c r="T502" i="1"/>
  <c r="U502" i="1" s="1"/>
  <c r="N502" i="1"/>
  <c r="O502" i="1" s="1"/>
  <c r="J502" i="1"/>
  <c r="K502" i="1" s="1"/>
  <c r="R502" i="1"/>
  <c r="S502" i="1" s="1"/>
  <c r="P502" i="1"/>
  <c r="Q502" i="1" s="1"/>
  <c r="T500" i="1"/>
  <c r="U500" i="1" s="1"/>
  <c r="V500" i="1"/>
  <c r="W500" i="1" s="1"/>
  <c r="R500" i="1"/>
  <c r="S500" i="1" s="1"/>
  <c r="N500" i="1"/>
  <c r="O500" i="1" s="1"/>
  <c r="L500" i="1"/>
  <c r="M500" i="1" s="1"/>
  <c r="H500" i="1"/>
  <c r="I500" i="1" s="1"/>
  <c r="P500" i="1"/>
  <c r="Q500" i="1" s="1"/>
  <c r="J500" i="1"/>
  <c r="K500" i="1" s="1"/>
  <c r="G500" i="1"/>
  <c r="G349" i="1"/>
  <c r="F339" i="1" l="1"/>
  <c r="F172" i="1"/>
  <c r="F171" i="1"/>
  <c r="F170" i="1"/>
  <c r="F169" i="1"/>
  <c r="F168" i="1"/>
  <c r="F167" i="1"/>
  <c r="P167" i="1" l="1"/>
  <c r="Q167" i="1" s="1"/>
  <c r="N167" i="1"/>
  <c r="O167" i="1" s="1"/>
  <c r="L167" i="1"/>
  <c r="M167" i="1" s="1"/>
  <c r="J167" i="1"/>
  <c r="K167" i="1" s="1"/>
  <c r="T167" i="1"/>
  <c r="U167" i="1" s="1"/>
  <c r="R167" i="1"/>
  <c r="S167" i="1" s="1"/>
  <c r="H167" i="1"/>
  <c r="I167" i="1" s="1"/>
  <c r="V167" i="1"/>
  <c r="W167" i="1" s="1"/>
  <c r="R170" i="1"/>
  <c r="S170" i="1" s="1"/>
  <c r="P170" i="1"/>
  <c r="Q170" i="1" s="1"/>
  <c r="N170" i="1"/>
  <c r="O170" i="1" s="1"/>
  <c r="L170" i="1"/>
  <c r="M170" i="1" s="1"/>
  <c r="J170" i="1"/>
  <c r="K170" i="1" s="1"/>
  <c r="T170" i="1"/>
  <c r="U170" i="1" s="1"/>
  <c r="V168" i="1"/>
  <c r="W168" i="1" s="1"/>
  <c r="R168" i="1"/>
  <c r="S168" i="1" s="1"/>
  <c r="T168" i="1"/>
  <c r="U168" i="1" s="1"/>
  <c r="P168" i="1"/>
  <c r="Q168" i="1" s="1"/>
  <c r="N168" i="1"/>
  <c r="O168" i="1" s="1"/>
  <c r="L168" i="1"/>
  <c r="M168" i="1" s="1"/>
  <c r="J168" i="1"/>
  <c r="K168" i="1" s="1"/>
  <c r="H168" i="1"/>
  <c r="I168" i="1" s="1"/>
  <c r="N171" i="1"/>
  <c r="O171" i="1" s="1"/>
  <c r="L171" i="1"/>
  <c r="M171" i="1" s="1"/>
  <c r="J171" i="1"/>
  <c r="K171" i="1" s="1"/>
  <c r="V171" i="1"/>
  <c r="W171" i="1" s="1"/>
  <c r="T171" i="1"/>
  <c r="U171" i="1" s="1"/>
  <c r="P171" i="1"/>
  <c r="Q171" i="1" s="1"/>
  <c r="R171" i="1"/>
  <c r="S171" i="1" s="1"/>
  <c r="H171" i="1"/>
  <c r="I171" i="1" s="1"/>
  <c r="R172" i="1"/>
  <c r="S172" i="1" s="1"/>
  <c r="N172" i="1"/>
  <c r="O172" i="1" s="1"/>
  <c r="L172" i="1"/>
  <c r="M172" i="1" s="1"/>
  <c r="J172" i="1"/>
  <c r="K172" i="1" s="1"/>
  <c r="H172" i="1"/>
  <c r="I172" i="1" s="1"/>
  <c r="T172" i="1"/>
  <c r="U172" i="1" s="1"/>
  <c r="P172" i="1"/>
  <c r="Q172" i="1" s="1"/>
  <c r="V172" i="1"/>
  <c r="W172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H169" i="1"/>
  <c r="I169" i="1" s="1"/>
  <c r="R339" i="1"/>
  <c r="S339" i="1" s="1"/>
  <c r="P339" i="1"/>
  <c r="Q339" i="1" s="1"/>
  <c r="N339" i="1"/>
  <c r="O339" i="1" s="1"/>
  <c r="L339" i="1"/>
  <c r="M339" i="1" s="1"/>
  <c r="T339" i="1"/>
  <c r="U339" i="1" s="1"/>
  <c r="K222" i="1" l="1"/>
  <c r="I222" i="1"/>
  <c r="T130" i="1" l="1"/>
  <c r="U130" i="1" s="1"/>
  <c r="R130" i="1"/>
  <c r="S130" i="1" s="1"/>
  <c r="P130" i="1"/>
  <c r="Q130" i="1" s="1"/>
  <c r="V130" i="1"/>
  <c r="W130" i="1" s="1"/>
  <c r="N130" i="1"/>
  <c r="O130" i="1" s="1"/>
  <c r="L130" i="1"/>
  <c r="M130" i="1" s="1"/>
  <c r="J130" i="1"/>
  <c r="K130" i="1" s="1"/>
  <c r="T652" i="1"/>
  <c r="U652" i="1" s="1"/>
  <c r="R652" i="1"/>
  <c r="S652" i="1" s="1"/>
  <c r="P652" i="1"/>
  <c r="Q652" i="1" s="1"/>
  <c r="N652" i="1"/>
  <c r="O652" i="1" s="1"/>
  <c r="L652" i="1"/>
  <c r="M652" i="1" s="1"/>
  <c r="J652" i="1"/>
  <c r="K652" i="1" s="1"/>
  <c r="G375" i="1"/>
  <c r="L635" i="1"/>
  <c r="V635" i="1" l="1"/>
  <c r="T635" i="1"/>
  <c r="R635" i="1"/>
  <c r="P635" i="1"/>
  <c r="N635" i="1"/>
  <c r="F409" i="1"/>
  <c r="O665" i="1"/>
  <c r="L636" i="1"/>
  <c r="V409" i="1" l="1"/>
  <c r="W409" i="1" s="1"/>
  <c r="T409" i="1"/>
  <c r="U409" i="1" s="1"/>
  <c r="R409" i="1"/>
  <c r="S409" i="1" s="1"/>
  <c r="P409" i="1"/>
  <c r="Q409" i="1" s="1"/>
  <c r="N409" i="1"/>
  <c r="O409" i="1" s="1"/>
  <c r="L409" i="1"/>
  <c r="M409" i="1" s="1"/>
  <c r="J409" i="1"/>
  <c r="K409" i="1" s="1"/>
  <c r="T567" i="1"/>
  <c r="U567" i="1" s="1"/>
  <c r="L567" i="1"/>
  <c r="M567" i="1" s="1"/>
  <c r="H567" i="1"/>
  <c r="I567" i="1" s="1"/>
  <c r="J567" i="1"/>
  <c r="K567" i="1" s="1"/>
  <c r="V567" i="1"/>
  <c r="W567" i="1" s="1"/>
  <c r="N567" i="1"/>
  <c r="O567" i="1" s="1"/>
  <c r="P567" i="1"/>
  <c r="Q567" i="1" s="1"/>
  <c r="R567" i="1"/>
  <c r="S567" i="1" s="1"/>
  <c r="T636" i="1"/>
  <c r="R636" i="1"/>
  <c r="P636" i="1"/>
  <c r="N636" i="1"/>
  <c r="G297" i="1" l="1"/>
  <c r="G296" i="1" l="1"/>
  <c r="F333" i="1" l="1"/>
  <c r="T333" i="1" l="1"/>
  <c r="U333" i="1" s="1"/>
  <c r="R333" i="1"/>
  <c r="S333" i="1" s="1"/>
  <c r="P333" i="1"/>
  <c r="Q333" i="1" s="1"/>
  <c r="N333" i="1"/>
  <c r="O333" i="1" s="1"/>
  <c r="L333" i="1"/>
  <c r="M333" i="1" s="1"/>
  <c r="V333" i="1"/>
  <c r="W333" i="1" s="1"/>
  <c r="G653" i="1"/>
  <c r="G504" i="1" l="1"/>
  <c r="G503" i="1" l="1"/>
  <c r="G493" i="1" l="1"/>
  <c r="G488" i="1"/>
  <c r="G487" i="1" l="1"/>
  <c r="G256" i="1" l="1"/>
  <c r="G253" i="1"/>
  <c r="G241" i="1" l="1"/>
  <c r="G232" i="1"/>
  <c r="G566" i="1" l="1"/>
  <c r="G567" i="1"/>
  <c r="G464" i="1" l="1"/>
  <c r="G198" i="1" l="1"/>
  <c r="G197" i="1" l="1"/>
  <c r="G213" i="1"/>
  <c r="G536" i="1" l="1"/>
  <c r="G535" i="1"/>
  <c r="G348" i="1" l="1"/>
  <c r="G240" i="1" l="1"/>
  <c r="G361" i="1" l="1"/>
  <c r="G171" i="1" l="1"/>
  <c r="G172" i="1"/>
  <c r="G168" i="1" l="1"/>
  <c r="G170" i="1"/>
  <c r="G169" i="1"/>
  <c r="G167" i="1"/>
  <c r="G166" i="1"/>
  <c r="G165" i="1"/>
  <c r="I165" i="1"/>
  <c r="G408" i="1" l="1"/>
  <c r="G290" i="1" l="1"/>
  <c r="W569" i="1" l="1"/>
  <c r="U569" i="1"/>
  <c r="S569" i="1"/>
  <c r="Q569" i="1"/>
  <c r="O569" i="1"/>
  <c r="M569" i="1"/>
  <c r="K569" i="1"/>
  <c r="I569" i="1"/>
  <c r="W513" i="1" l="1"/>
  <c r="U513" i="1"/>
  <c r="S513" i="1"/>
  <c r="Q513" i="1"/>
  <c r="O513" i="1"/>
  <c r="M513" i="1"/>
  <c r="K513" i="1"/>
  <c r="I513" i="1"/>
  <c r="W35" i="1" l="1"/>
  <c r="U35" i="1"/>
  <c r="S35" i="1"/>
  <c r="Q35" i="1"/>
  <c r="O35" i="1"/>
  <c r="G60" i="1"/>
  <c r="U13" i="1"/>
  <c r="S13" i="1"/>
  <c r="Q13" i="1"/>
  <c r="O13" i="1"/>
  <c r="M13" i="1"/>
  <c r="K13" i="1"/>
  <c r="K27" i="1" l="1"/>
  <c r="G404" i="1" l="1"/>
  <c r="G262" i="1"/>
  <c r="G255" i="1" l="1"/>
  <c r="G492" i="1" l="1"/>
  <c r="G491" i="1" l="1"/>
  <c r="G182" i="1"/>
  <c r="G181" i="1"/>
  <c r="G178" i="1"/>
  <c r="W173" i="1"/>
  <c r="U173" i="1"/>
  <c r="S173" i="1"/>
  <c r="Q173" i="1"/>
  <c r="O173" i="1"/>
  <c r="K631" i="1"/>
  <c r="G180" i="1" l="1"/>
  <c r="G179" i="1"/>
  <c r="W178" i="1"/>
  <c r="G183" i="1"/>
  <c r="G545" i="1"/>
  <c r="I668" i="1" l="1"/>
  <c r="I667" i="1"/>
  <c r="I665" i="1"/>
  <c r="I666" i="1"/>
  <c r="W665" i="1"/>
  <c r="U665" i="1"/>
  <c r="S665" i="1"/>
  <c r="Q665" i="1"/>
  <c r="M665" i="1"/>
  <c r="K665" i="1"/>
  <c r="W512" i="1" l="1"/>
  <c r="U512" i="1" l="1"/>
  <c r="I512" i="1"/>
  <c r="M512" i="1"/>
  <c r="Q512" i="1"/>
  <c r="K512" i="1"/>
  <c r="O512" i="1"/>
  <c r="S512" i="1"/>
  <c r="G490" i="1" l="1"/>
  <c r="G489" i="1"/>
  <c r="K302" i="1" l="1"/>
  <c r="T463" i="1" l="1"/>
  <c r="R463" i="1"/>
  <c r="P463" i="1"/>
  <c r="I463" i="1"/>
  <c r="W465" i="1"/>
  <c r="U465" i="1"/>
  <c r="S465" i="1"/>
  <c r="Q465" i="1"/>
  <c r="O465" i="1"/>
  <c r="M465" i="1"/>
  <c r="K465" i="1"/>
  <c r="I465" i="1"/>
  <c r="G234" i="1" l="1"/>
  <c r="G541" i="1" l="1"/>
  <c r="G551" i="1" l="1"/>
  <c r="G548" i="1"/>
  <c r="G550" i="1"/>
  <c r="G530" i="1" l="1"/>
  <c r="S522" i="1" l="1"/>
  <c r="Q522" i="1"/>
  <c r="W522" i="1"/>
  <c r="O522" i="1"/>
  <c r="U522" i="1"/>
  <c r="M522" i="1"/>
  <c r="K522" i="1"/>
  <c r="G524" i="1"/>
  <c r="G534" i="1"/>
  <c r="G525" i="1" l="1"/>
  <c r="G533" i="1"/>
  <c r="G528" i="1"/>
  <c r="I522" i="1"/>
  <c r="G549" i="1"/>
  <c r="G547" i="1"/>
  <c r="G546" i="1"/>
  <c r="G540" i="1"/>
  <c r="G539" i="1"/>
  <c r="G538" i="1"/>
  <c r="G537" i="1"/>
  <c r="G527" i="1"/>
  <c r="G522" i="1"/>
  <c r="G275" i="1" l="1"/>
  <c r="G380" i="1" l="1"/>
  <c r="G274" i="1" l="1"/>
  <c r="G298" i="1"/>
  <c r="G286" i="1"/>
  <c r="G284" i="1"/>
  <c r="G285" i="1"/>
  <c r="I15" i="1"/>
  <c r="I16" i="1"/>
  <c r="G16" i="1"/>
  <c r="G15" i="1"/>
  <c r="N16" i="1"/>
  <c r="G45" i="1"/>
  <c r="G44" i="1"/>
  <c r="W43" i="1"/>
  <c r="U43" i="1"/>
  <c r="S43" i="1"/>
  <c r="Q43" i="1"/>
  <c r="O43" i="1"/>
  <c r="G43" i="1"/>
  <c r="G127" i="1"/>
  <c r="G220" i="1" l="1"/>
  <c r="G383" i="1" l="1"/>
  <c r="G651" i="1" l="1"/>
  <c r="U646" i="1" l="1"/>
  <c r="K646" i="1"/>
  <c r="S646" i="1"/>
  <c r="Q646" i="1"/>
  <c r="O646" i="1"/>
  <c r="M646" i="1"/>
  <c r="G646" i="1"/>
  <c r="U648" i="1"/>
  <c r="S648" i="1"/>
  <c r="Q648" i="1"/>
  <c r="O648" i="1"/>
  <c r="M648" i="1"/>
  <c r="K648" i="1"/>
  <c r="G648" i="1"/>
  <c r="G415" i="1" l="1"/>
  <c r="G414" i="1"/>
  <c r="Q57" i="1" l="1"/>
  <c r="M57" i="1"/>
  <c r="K57" i="1"/>
  <c r="W57" i="1"/>
  <c r="U57" i="1"/>
  <c r="S57" i="1"/>
  <c r="O57" i="1"/>
  <c r="G57" i="1"/>
  <c r="G329" i="1" l="1"/>
  <c r="G222" i="1" l="1"/>
  <c r="G351" i="1" l="1"/>
  <c r="G282" i="1"/>
  <c r="G224" i="1" l="1"/>
  <c r="G225" i="1"/>
  <c r="G227" i="1" l="1"/>
  <c r="I661" i="1" l="1"/>
  <c r="K661" i="1"/>
  <c r="W661" i="1"/>
  <c r="U661" i="1"/>
  <c r="S661" i="1"/>
  <c r="Q661" i="1"/>
  <c r="O661" i="1"/>
  <c r="M661" i="1"/>
  <c r="W660" i="1"/>
  <c r="U660" i="1"/>
  <c r="S660" i="1"/>
  <c r="Q660" i="1"/>
  <c r="O660" i="1"/>
  <c r="M660" i="1"/>
  <c r="S666" i="1"/>
  <c r="U666" i="1"/>
  <c r="W666" i="1"/>
  <c r="S667" i="1"/>
  <c r="U667" i="1"/>
  <c r="W667" i="1"/>
  <c r="S668" i="1"/>
  <c r="U668" i="1"/>
  <c r="W668" i="1"/>
  <c r="Q668" i="1"/>
  <c r="O668" i="1"/>
  <c r="M668" i="1"/>
  <c r="K668" i="1"/>
  <c r="M123" i="1" l="1"/>
  <c r="M119" i="1"/>
  <c r="M118" i="1"/>
  <c r="M114" i="1"/>
  <c r="M113" i="1"/>
  <c r="O108" i="1"/>
  <c r="O107" i="1"/>
  <c r="Q74" i="1" l="1"/>
  <c r="Q73" i="1"/>
  <c r="Q71" i="1"/>
  <c r="Q69" i="1"/>
  <c r="Q70" i="1"/>
  <c r="U647" i="1" l="1"/>
  <c r="S647" i="1"/>
  <c r="Q647" i="1"/>
  <c r="O647" i="1"/>
  <c r="M647" i="1"/>
  <c r="W635" i="1"/>
  <c r="U635" i="1"/>
  <c r="S635" i="1"/>
  <c r="Q635" i="1"/>
  <c r="O635" i="1"/>
  <c r="M635" i="1"/>
  <c r="W463" i="1"/>
  <c r="U463" i="1"/>
  <c r="S463" i="1"/>
  <c r="Q463" i="1"/>
  <c r="O463" i="1"/>
  <c r="M463" i="1"/>
  <c r="K463" i="1"/>
  <c r="Q429" i="1"/>
  <c r="Q412" i="1"/>
  <c r="Q410" i="1"/>
  <c r="G632" i="1" l="1"/>
  <c r="G631" i="1"/>
  <c r="Q177" i="1" l="1"/>
  <c r="Q123" i="1" l="1"/>
  <c r="Q119" i="1"/>
  <c r="Q118" i="1"/>
  <c r="Q114" i="1"/>
  <c r="Q113" i="1"/>
  <c r="Q109" i="1"/>
  <c r="Q108" i="1"/>
  <c r="Q107" i="1"/>
  <c r="Q106" i="1"/>
  <c r="Q105" i="1"/>
  <c r="K53" i="1"/>
  <c r="Q53" i="1"/>
  <c r="Q126" i="1" l="1"/>
  <c r="Q46" i="1" l="1"/>
  <c r="Q40" i="1"/>
  <c r="Q38" i="1"/>
  <c r="Q37" i="1"/>
  <c r="Q34" i="1"/>
  <c r="Q29" i="1"/>
  <c r="G509" i="1" l="1"/>
  <c r="G221" i="1"/>
  <c r="G243" i="1" l="1"/>
  <c r="G208" i="1"/>
  <c r="G422" i="1" l="1"/>
  <c r="G378" i="1" l="1"/>
  <c r="G409" i="1"/>
  <c r="G279" i="1"/>
  <c r="G356" i="1"/>
  <c r="Q143" i="1"/>
  <c r="Q142" i="1"/>
  <c r="W38" i="1"/>
  <c r="G130" i="1" l="1"/>
  <c r="G259" i="1" l="1"/>
  <c r="G187" i="1"/>
  <c r="G377" i="1" l="1"/>
  <c r="O71" i="1" l="1"/>
  <c r="G203" i="1"/>
  <c r="G280" i="1" l="1"/>
  <c r="W69" i="1" l="1"/>
  <c r="U69" i="1"/>
  <c r="S69" i="1"/>
  <c r="O69" i="1"/>
  <c r="G277" i="1"/>
  <c r="G367" i="1" l="1"/>
  <c r="G163" i="1" l="1"/>
  <c r="G333" i="1" l="1"/>
  <c r="G652" i="1"/>
  <c r="G654" i="1"/>
  <c r="G419" i="1" l="1"/>
  <c r="G494" i="1" l="1"/>
  <c r="G39" i="1" l="1"/>
  <c r="U38" i="1"/>
  <c r="S38" i="1"/>
  <c r="O38" i="1"/>
  <c r="G38" i="1"/>
  <c r="I576" i="1" l="1"/>
  <c r="G246" i="1" l="1"/>
  <c r="G252" i="1" l="1"/>
  <c r="G247" i="1"/>
  <c r="G164" i="1" l="1"/>
  <c r="V97" i="1" l="1"/>
  <c r="T97" i="1"/>
  <c r="R97" i="1"/>
  <c r="N97" i="1"/>
  <c r="K97" i="1"/>
  <c r="G388" i="1" l="1"/>
  <c r="G502" i="1" l="1"/>
  <c r="G204" i="1" l="1"/>
  <c r="G453" i="1" l="1"/>
  <c r="G391" i="1"/>
  <c r="I692" i="1" l="1"/>
  <c r="M126" i="1"/>
  <c r="W123" i="1"/>
  <c r="W119" i="1"/>
  <c r="W118" i="1"/>
  <c r="W114" i="1"/>
  <c r="W113" i="1"/>
  <c r="U123" i="1"/>
  <c r="U119" i="1"/>
  <c r="U118" i="1"/>
  <c r="U114" i="1"/>
  <c r="U113" i="1"/>
  <c r="S123" i="1"/>
  <c r="S119" i="1"/>
  <c r="S114" i="1"/>
  <c r="S113" i="1"/>
  <c r="O114" i="1"/>
  <c r="O118" i="1"/>
  <c r="O119" i="1"/>
  <c r="O123" i="1"/>
  <c r="O113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6" i="1" l="1"/>
  <c r="G511" i="1" l="1"/>
  <c r="G510" i="1"/>
  <c r="G497" i="1"/>
  <c r="G499" i="1"/>
  <c r="G507" i="1"/>
  <c r="G506" i="1"/>
  <c r="G446" i="1" l="1"/>
  <c r="G278" i="1" l="1"/>
  <c r="G295" i="1"/>
  <c r="G281" i="1"/>
  <c r="G294" i="1" l="1"/>
  <c r="G219" i="1" l="1"/>
  <c r="G10" i="1"/>
  <c r="G210" i="1" l="1"/>
  <c r="G635" i="1" l="1"/>
  <c r="G211" i="1" l="1"/>
  <c r="O34" i="1"/>
  <c r="G186" i="1" l="1"/>
  <c r="G265" i="1" l="1"/>
  <c r="G267" i="1"/>
  <c r="G266" i="1"/>
  <c r="G381" i="1" l="1"/>
  <c r="G382" i="1"/>
  <c r="S40" i="1" l="1"/>
  <c r="G110" i="1" l="1"/>
  <c r="G443" i="1" l="1"/>
  <c r="G650" i="1" l="1"/>
  <c r="G647" i="1"/>
  <c r="G264" i="1"/>
  <c r="G212" i="1"/>
  <c r="G209" i="1"/>
  <c r="G207" i="1"/>
  <c r="G201" i="1"/>
  <c r="G202" i="1"/>
  <c r="G200" i="1"/>
  <c r="G104" i="1"/>
  <c r="G64" i="1"/>
  <c r="G22" i="1"/>
  <c r="G20" i="1"/>
  <c r="G21" i="1"/>
  <c r="G374" i="1" l="1"/>
  <c r="U410" i="1" l="1"/>
  <c r="S410" i="1"/>
  <c r="M410" i="1"/>
  <c r="O410" i="1"/>
  <c r="G410" i="1"/>
  <c r="J451" i="1" l="1"/>
  <c r="J449" i="1"/>
  <c r="J448" i="1"/>
  <c r="J447" i="1"/>
  <c r="J450" i="1"/>
  <c r="J446" i="1"/>
  <c r="O109" i="1" l="1"/>
  <c r="G19" i="1"/>
  <c r="G412" i="1"/>
  <c r="M412" i="1"/>
  <c r="O412" i="1"/>
  <c r="S412" i="1"/>
  <c r="U412" i="1"/>
  <c r="G154" i="1"/>
  <c r="G24" i="1" l="1"/>
  <c r="G501" i="1" l="1"/>
  <c r="G54" i="1" l="1"/>
  <c r="G56" i="1"/>
  <c r="O29" i="1"/>
  <c r="G58" i="1"/>
  <c r="U29" i="1" l="1"/>
  <c r="G195" i="1"/>
  <c r="G27" i="1" l="1"/>
  <c r="G300" i="1"/>
  <c r="O126" i="1"/>
  <c r="S126" i="1"/>
  <c r="U126" i="1"/>
  <c r="G292" i="1" l="1"/>
  <c r="G13" i="1" l="1"/>
  <c r="G465" i="1" l="1"/>
  <c r="G146" i="1" l="1"/>
  <c r="G12" i="1"/>
  <c r="G18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O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3" i="1"/>
  <c r="M53" i="1"/>
  <c r="O53" i="1"/>
  <c r="S53" i="1"/>
  <c r="U53" i="1"/>
  <c r="W53" i="1"/>
  <c r="G55" i="1"/>
  <c r="G59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8" i="1"/>
  <c r="G100" i="1"/>
  <c r="G101" i="1"/>
  <c r="G102" i="1"/>
  <c r="G103" i="1"/>
  <c r="G109" i="1"/>
  <c r="G126" i="1"/>
  <c r="G138" i="1"/>
  <c r="Q138" i="1"/>
  <c r="G139" i="1"/>
  <c r="Q139" i="1"/>
  <c r="G142" i="1"/>
  <c r="G143" i="1"/>
  <c r="G148" i="1"/>
  <c r="G161" i="1"/>
  <c r="G162" i="1"/>
  <c r="G177" i="1"/>
  <c r="M177" i="1"/>
  <c r="O177" i="1"/>
  <c r="S177" i="1"/>
  <c r="U177" i="1"/>
  <c r="W177" i="1"/>
  <c r="G184" i="1"/>
  <c r="G188" i="1"/>
  <c r="G206" i="1"/>
  <c r="G214" i="1"/>
  <c r="G215" i="1"/>
  <c r="M215" i="1"/>
  <c r="P215" i="1"/>
  <c r="G216" i="1"/>
  <c r="G217" i="1"/>
  <c r="G218" i="1"/>
  <c r="G223" i="1"/>
  <c r="G245" i="1"/>
  <c r="G258" i="1"/>
  <c r="G260" i="1"/>
  <c r="G268" i="1"/>
  <c r="G269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20" i="1"/>
  <c r="G321" i="1"/>
  <c r="G322" i="1"/>
  <c r="G323" i="1"/>
  <c r="G324" i="1"/>
  <c r="G325" i="1"/>
  <c r="G326" i="1"/>
  <c r="G330" i="1"/>
  <c r="G331" i="1"/>
  <c r="G332" i="1"/>
  <c r="G334" i="1"/>
  <c r="G335" i="1"/>
  <c r="G339" i="1"/>
  <c r="G340" i="1"/>
  <c r="G343" i="1"/>
  <c r="G344" i="1"/>
  <c r="G353" i="1"/>
  <c r="G354" i="1"/>
  <c r="G355" i="1"/>
  <c r="G357" i="1"/>
  <c r="G363" i="1"/>
  <c r="G364" i="1"/>
  <c r="G366" i="1"/>
  <c r="G368" i="1"/>
  <c r="G369" i="1"/>
  <c r="G372" i="1"/>
  <c r="G373" i="1"/>
  <c r="G387" i="1"/>
  <c r="G390" i="1"/>
  <c r="G392" i="1"/>
  <c r="G413" i="1"/>
  <c r="G420" i="1"/>
  <c r="G429" i="1"/>
  <c r="O429" i="1"/>
  <c r="S429" i="1"/>
  <c r="U429" i="1"/>
  <c r="W429" i="1"/>
  <c r="G430" i="1"/>
  <c r="G431" i="1"/>
  <c r="G432" i="1"/>
  <c r="G433" i="1"/>
  <c r="G440" i="1"/>
  <c r="G441" i="1"/>
  <c r="G444" i="1"/>
  <c r="G447" i="1"/>
  <c r="G448" i="1"/>
  <c r="G449" i="1"/>
  <c r="G450" i="1"/>
  <c r="G451" i="1"/>
  <c r="G454" i="1"/>
  <c r="G455" i="1"/>
  <c r="G456" i="1"/>
  <c r="G458" i="1"/>
  <c r="G459" i="1"/>
  <c r="G461" i="1"/>
  <c r="G462" i="1"/>
  <c r="G463" i="1"/>
  <c r="G505" i="1"/>
  <c r="G636" i="1"/>
  <c r="M636" i="1"/>
  <c r="O636" i="1"/>
  <c r="Q636" i="1"/>
  <c r="S636" i="1"/>
  <c r="U636" i="1"/>
  <c r="M658" i="1"/>
  <c r="O658" i="1"/>
  <c r="Q658" i="1"/>
  <c r="S658" i="1"/>
  <c r="U658" i="1"/>
  <c r="W658" i="1"/>
  <c r="K659" i="1"/>
  <c r="M659" i="1"/>
  <c r="O659" i="1"/>
  <c r="Q659" i="1"/>
  <c r="S659" i="1"/>
  <c r="U659" i="1"/>
  <c r="W659" i="1"/>
  <c r="K666" i="1"/>
  <c r="M666" i="1"/>
  <c r="O666" i="1"/>
  <c r="Q666" i="1"/>
  <c r="K667" i="1"/>
  <c r="M667" i="1"/>
  <c r="O667" i="1"/>
  <c r="Q667" i="1"/>
  <c r="M670" i="1"/>
  <c r="Q670" i="1"/>
  <c r="I691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<sst xmlns="http://schemas.openxmlformats.org/spreadsheetml/2006/main" count="1153" uniqueCount="929">
  <si>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</si>
  <si>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</si>
  <si>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</si>
  <si>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</si>
  <si>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</si>
  <si>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</si>
  <si>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</si>
  <si>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</si>
  <si>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</si>
  <si>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</si>
  <si>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</si>
  <si>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</si>
  <si>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</si>
  <si>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</si>
  <si>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</si>
  <si>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</si>
  <si>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</si>
  <si>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</si>
  <si>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</si>
  <si>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</si>
  <si>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</si>
  <si>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</si>
  <si>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</si>
  <si>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</si>
  <si>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</si>
  <si>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</si>
  <si>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</si>
  <si>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</si>
  <si>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</si>
  <si>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</si>
  <si>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</si>
  <si>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</si>
  <si>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</si>
  <si>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</si>
  <si>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</si>
  <si>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</si>
  <si>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</si>
  <si>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</si>
  <si>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</si>
  <si>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</si>
  <si>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</si>
  <si>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</si>
  <si>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</si>
  <si>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</si>
  <si>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</si>
  <si>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</si>
  <si>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</si>
  <si>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</si>
  <si>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</si>
  <si>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</si>
  <si>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</si>
  <si>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</si>
  <si>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</si>
  <si>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</si>
  <si>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</si>
  <si>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</si>
  <si>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</si>
  <si>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</si>
  <si>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</si>
  <si>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</si>
  <si>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</si>
  <si>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</si>
  <si>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</si>
  <si>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</si>
  <si>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</si>
  <si>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</si>
  <si>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</si>
  <si>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</si>
  <si>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</si>
  <si>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</si>
  <si>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</si>
  <si>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</si>
  <si>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</si>
  <si>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</si>
  <si>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</si>
  <si>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</si>
  <si>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</si>
  <si>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</si>
  <si>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</si>
  <si>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</si>
  <si>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</si>
  <si>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</si>
  <si>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</si>
  <si>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</si>
  <si>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</si>
  <si>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</si>
  <si>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</si>
  <si>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</si>
  <si>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</si>
  <si>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</si>
  <si>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</si>
  <si>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</si>
  <si>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</si>
  <si>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</si>
  <si>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</si>
  <si>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</si>
  <si>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</si>
  <si>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</si>
  <si>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</si>
  <si>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</si>
  <si>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</si>
  <si>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</si>
  <si>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</si>
  <si>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</si>
  <si>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</si>
  <si>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</si>
  <si>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</si>
  <si>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</si>
  <si>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</si>
  <si>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</si>
  <si>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</si>
  <si>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</si>
  <si>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</si>
  <si>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</si>
  <si>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</si>
  <si>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</si>
  <si>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</si>
  <si>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</si>
  <si>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</si>
  <si>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</si>
  <si>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</si>
  <si>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</si>
  <si>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</si>
  <si>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</si>
  <si>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</si>
  <si>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</si>
  <si>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</si>
  <si>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</si>
  <si>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</si>
  <si>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</si>
  <si>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</si>
  <si>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</si>
  <si>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</si>
  <si>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</si>
  <si>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</si>
  <si>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</si>
  <si>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</si>
  <si>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</si>
  <si>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</si>
  <si>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</si>
  <si>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</si>
  <si>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</si>
  <si>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</si>
  <si>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</si>
  <si>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</si>
  <si>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</si>
  <si>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</si>
  <si>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</si>
  <si>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</si>
  <si>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</si>
  <si>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</si>
  <si>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</si>
  <si>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</si>
  <si>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</si>
  <si>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</si>
  <si>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</si>
  <si>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</si>
  <si>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</si>
  <si>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</si>
  <si>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</si>
  <si>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</si>
  <si>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</si>
  <si>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</si>
  <si>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</si>
  <si>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</si>
  <si>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</si>
  <si>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</si>
  <si>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</si>
  <si>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</si>
  <si>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</si>
  <si>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</si>
  <si>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</si>
  <si>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</si>
  <si>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</si>
  <si>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</si>
  <si>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</si>
  <si>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</si>
  <si>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</si>
  <si>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</si>
  <si>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</si>
  <si>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</si>
  <si>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</si>
  <si>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</si>
  <si>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</si>
  <si>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</si>
  <si>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</si>
  <si>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</si>
  <si>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</si>
  <si>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</si>
  <si>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</si>
  <si>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</si>
  <si>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</si>
  <si>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</si>
  <si>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</si>
  <si>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</si>
  <si>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</si>
  <si>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</si>
  <si>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</si>
  <si>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</si>
  <si>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</si>
  <si>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</si>
  <si>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</si>
  <si>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</si>
  <si>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</si>
  <si>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</si>
  <si>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</si>
  <si>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</si>
  <si>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</si>
  <si>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</si>
  <si>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</si>
  <si>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</si>
  <si>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</si>
  <si>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</si>
  <si>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</si>
  <si>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</si>
  <si>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</si>
  <si>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</si>
  <si>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</si>
  <si>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</si>
  <si>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</si>
  <si>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</si>
  <si>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</si>
  <si>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</si>
  <si>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</si>
  <si>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</si>
  <si>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</si>
  <si>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</si>
  <si>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</si>
  <si>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</si>
  <si>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</si>
  <si>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</si>
  <si>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</si>
  <si>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</si>
  <si>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</si>
  <si>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</si>
  <si>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</si>
  <si>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</si>
  <si>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</si>
  <si>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</si>
  <si>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</si>
  <si>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</si>
  <si>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</si>
  <si>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</si>
  <si>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</si>
  <si>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</si>
  <si>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</si>
  <si>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</si>
  <si>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</si>
  <si>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</si>
  <si>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</si>
  <si>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</si>
  <si>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</si>
  <si>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</si>
  <si>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</si>
  <si>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</si>
  <si>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</si>
  <si>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</si>
  <si>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</si>
  <si>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</si>
  <si>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</si>
  <si>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</si>
  <si>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</si>
  <si>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</si>
  <si>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</si>
  <si>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</si>
  <si>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</si>
  <si>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</si>
  <si>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</si>
  <si>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</si>
  <si>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</si>
  <si>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</si>
  <si>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</si>
  <si>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</si>
  <si>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</si>
  <si>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</si>
  <si>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</si>
  <si>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</si>
  <si>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</si>
  <si>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</si>
  <si>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</si>
  <si>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</si>
  <si>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</si>
  <si>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</si>
  <si>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</si>
  <si>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</si>
  <si>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</si>
  <si>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</si>
  <si>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</si>
  <si>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</si>
  <si>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</si>
  <si>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</si>
  <si>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</si>
  <si>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</si>
  <si>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</si>
  <si>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</si>
  <si>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</si>
  <si>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</si>
  <si>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</si>
  <si>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</si>
  <si>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</si>
  <si>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</si>
  <si>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</si>
  <si>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</si>
  <si>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</si>
  <si>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</si>
  <si>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</si>
  <si>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</si>
  <si>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</si>
  <si>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</si>
  <si>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</si>
  <si>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</si>
  <si>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</si>
  <si>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</si>
  <si>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</si>
  <si>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</si>
  <si>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</si>
  <si>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</si>
  <si>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</si>
  <si>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</si>
  <si>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</si>
  <si>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</si>
  <si>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</si>
  <si>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</si>
  <si>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</si>
  <si>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</si>
  <si>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</si>
  <si>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</si>
  <si>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</si>
  <si>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</si>
  <si>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</si>
  <si>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</si>
  <si>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</si>
  <si>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</si>
  <si>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</si>
  <si>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</si>
  <si>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</si>
  <si>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</si>
  <si>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</si>
  <si>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</si>
  <si>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</si>
  <si>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</si>
  <si>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</si>
  <si>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</si>
  <si>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</si>
  <si>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</si>
  <si>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</si>
  <si>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</si>
  <si>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</si>
  <si>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</si>
  <si>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</si>
  <si>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</si>
  <si>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</si>
  <si>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</si>
  <si>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</si>
  <si>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</si>
  <si>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</si>
  <si>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</si>
  <si>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</si>
  <si>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</si>
  <si>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</si>
  <si>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</si>
  <si>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</si>
  <si>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</si>
  <si>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</si>
  <si>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</si>
  <si>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</si>
  <si>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</si>
  <si>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</si>
  <si>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</si>
  <si>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</si>
  <si>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</si>
  <si>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</si>
  <si>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</si>
  <si>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</si>
  <si>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</si>
  <si>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</si>
  <si>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</si>
  <si>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</si>
  <si>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</si>
  <si>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</si>
  <si>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</si>
  <si>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</si>
  <si>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</si>
  <si>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</si>
  <si>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</si>
  <si>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</si>
  <si>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</si>
  <si>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</si>
  <si>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</si>
  <si>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</si>
  <si>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</si>
  <si>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</si>
  <si>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</si>
  <si>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</si>
  <si>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</si>
  <si>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</si>
  <si>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</si>
  <si>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</si>
  <si>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</si>
  <si>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</si>
  <si>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</si>
  <si>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</si>
  <si>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</si>
  <si>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</si>
  <si>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</si>
  <si>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</si>
  <si>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</si>
  <si>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</si>
  <si>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</si>
  <si>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</si>
  <si>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</si>
  <si>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</si>
  <si>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</si>
  <si>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</si>
  <si>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</si>
  <si>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</si>
  <si>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</si>
  <si>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</si>
  <si>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</si>
  <si>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</si>
  <si>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</si>
  <si>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</si>
  <si>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</si>
  <si>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</si>
  <si>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</si>
  <si>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</si>
  <si>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</si>
  <si>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</si>
  <si>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</si>
  <si>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</si>
  <si>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</si>
  <si>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</si>
  <si>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</si>
  <si>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</si>
  <si>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</si>
  <si>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</si>
  <si>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</si>
  <si>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</si>
  <si>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</si>
  <si>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</si>
  <si>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</si>
  <si>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</si>
  <si>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</si>
  <si>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</si>
  <si>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</si>
  <si>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</si>
  <si>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</si>
  <si>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</si>
  <si>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</si>
  <si>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</si>
  <si>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</si>
  <si>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</si>
  <si>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</si>
  <si>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</si>
  <si>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</si>
  <si>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</si>
  <si>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</si>
  <si>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</si>
  <si>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</si>
  <si>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</si>
  <si>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</si>
  <si>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</si>
  <si>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</si>
  <si>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</si>
  <si>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</si>
  <si>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</si>
  <si>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</si>
  <si>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</si>
  <si>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</si>
  <si>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</si>
  <si>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</si>
  <si>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</si>
  <si>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</si>
  <si>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</si>
  <si>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</si>
  <si>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</si>
  <si>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</si>
  <si>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</si>
  <si>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</si>
  <si>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</si>
  <si>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</si>
  <si>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</si>
  <si>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</si>
  <si>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</si>
  <si>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</si>
  <si>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</si>
  <si>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</si>
  <si>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</si>
  <si>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</si>
  <si>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</si>
  <si>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</si>
  <si>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</si>
  <si>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</si>
  <si>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</si>
  <si>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</si>
  <si>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</si>
  <si>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</si>
  <si>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</si>
  <si>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</si>
  <si>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</si>
  <si>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</si>
  <si>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</si>
  <si>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</si>
  <si>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</si>
  <si>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</si>
  <si>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</si>
  <si>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</si>
  <si>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</si>
  <si>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</si>
  <si>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</si>
  <si>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</si>
  <si>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</si>
  <si>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</si>
  <si>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</si>
  <si>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</si>
  <si>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</si>
  <si>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</si>
  <si>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</si>
  <si>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</si>
  <si>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</si>
  <si>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</si>
  <si>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</si>
  <si>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</si>
  <si>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</si>
  <si>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</si>
  <si>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</si>
  <si>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</si>
  <si>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</si>
  <si>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</si>
  <si>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</si>
  <si>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</si>
  <si>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</si>
  <si>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</si>
  <si>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</si>
  <si>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</si>
  <si>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</si>
  <si>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</si>
  <si>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</si>
  <si>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</si>
  <si>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</si>
  <si>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</si>
  <si>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</si>
  <si>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</si>
  <si>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</si>
  <si>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</si>
  <si>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</si>
  <si>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</si>
  <si>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</si>
  <si>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</si>
  <si>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</si>
  <si>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</si>
  <si>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</si>
  <si>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</si>
  <si>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</si>
  <si>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</si>
  <si>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</si>
  <si>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</si>
  <si>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</si>
  <si>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</si>
  <si>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</si>
  <si>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</si>
  <si>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</si>
  <si>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</si>
  <si>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</si>
  <si>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</si>
  <si>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</si>
  <si>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</si>
  <si>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</si>
  <si>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</si>
  <si>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</si>
  <si>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</si>
  <si>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</si>
  <si>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</si>
  <si>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</si>
  <si>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</si>
  <si>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</si>
  <si>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</si>
  <si>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</si>
  <si>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</si>
  <si>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</si>
  <si>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</si>
  <si>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</si>
  <si>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</si>
  <si>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</si>
  <si>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</si>
  <si>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</si>
  <si>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</si>
  <si>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</si>
  <si>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</si>
  <si>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</si>
  <si>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</si>
  <si>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</si>
  <si>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</si>
  <si>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</si>
  <si>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</si>
  <si>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</si>
  <si>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</si>
  <si>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</si>
  <si>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</si>
  <si>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</si>
  <si>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</si>
  <si>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</si>
  <si>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</si>
  <si>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</si>
  <si>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</si>
  <si>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</si>
  <si>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</si>
  <si>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</si>
  <si>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</si>
  <si>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</si>
  <si>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</si>
  <si>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</si>
  <si>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</si>
  <si>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</si>
  <si>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</si>
  <si>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</si>
  <si>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</si>
  <si>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</si>
  <si>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</si>
  <si>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</si>
  <si>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</si>
  <si>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</si>
  <si>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</si>
  <si>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</si>
  <si>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</si>
  <si>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</si>
  <si>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</si>
  <si>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</si>
  <si>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</si>
  <si>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</si>
  <si>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</si>
  <si>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</si>
  <si>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</si>
  <si>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</si>
  <si>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</si>
  <si>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</si>
  <si>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</si>
  <si>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</si>
  <si>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</si>
  <si>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</si>
  <si>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</si>
  <si>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</si>
  <si>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</si>
  <si>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</si>
  <si>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</si>
  <si>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</si>
  <si>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</si>
  <si>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</si>
  <si>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</si>
  <si>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</si>
  <si>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</si>
  <si>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</si>
  <si>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</si>
  <si>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</si>
  <si>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</si>
  <si>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</si>
  <si>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</si>
  <si>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</si>
  <si>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</si>
  <si>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</si>
  <si>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</si>
  <si>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</si>
  <si>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</si>
  <si>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</si>
  <si>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</si>
  <si>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</si>
  <si>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</si>
  <si>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</si>
  <si>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</si>
  <si>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</si>
  <si>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</si>
  <si>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</si>
  <si>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</si>
  <si>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</si>
  <si>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</si>
  <si>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</si>
  <si>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</si>
  <si>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</si>
  <si>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</si>
  <si>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</si>
  <si>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</si>
  <si>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</si>
  <si>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</si>
  <si>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</si>
  <si>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</si>
  <si>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</si>
  <si>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</si>
  <si>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</si>
  <si>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</si>
  <si>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</si>
  <si>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</si>
  <si>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</si>
  <si>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</si>
  <si>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</si>
  <si>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</si>
  <si>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</si>
  <si>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</si>
  <si>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</si>
  <si>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</si>
  <si>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</si>
  <si>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</si>
  <si>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</si>
  <si>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</si>
  <si>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</si>
  <si>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</si>
  <si>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</si>
  <si>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</si>
  <si>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</si>
  <si>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</si>
  <si>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</si>
  <si>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</si>
  <si>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</si>
  <si>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</si>
  <si>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</si>
  <si>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</si>
  <si>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</si>
  <si>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</si>
  <si>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</si>
  <si>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</si>
  <si>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</si>
  <si>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</si>
  <si>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</si>
  <si>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</si>
  <si>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</si>
  <si>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</si>
  <si>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</si>
  <si>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</si>
  <si>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</si>
  <si>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</si>
  <si>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</si>
  <si>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</si>
  <si>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</si>
  <si>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</si>
  <si>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</si>
  <si>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</si>
  <si>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</si>
  <si>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</si>
  <si>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</si>
  <si>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</si>
  <si>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</si>
  <si>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</si>
  <si>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</si>
  <si>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</si>
  <si>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</si>
  <si>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</si>
  <si>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</si>
  <si>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</si>
  <si>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</si>
  <si>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</si>
  <si>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</si>
  <si>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</si>
  <si>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</si>
  <si>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</si>
  <si>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</si>
  <si>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</si>
  <si>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</si>
  <si>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</si>
  <si>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</si>
  <si>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</si>
  <si>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</si>
  <si>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</si>
  <si>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</si>
  <si>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</si>
  <si>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</si>
  <si>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</si>
  <si>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</si>
  <si>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</si>
  <si>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</si>
  <si>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</si>
  <si>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</si>
  <si>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</si>
  <si>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</si>
  <si>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</si>
  <si>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</si>
  <si>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</si>
  <si>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</si>
  <si>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</si>
  <si>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</si>
  <si>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</si>
  <si>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</si>
  <si>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</si>
  <si>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</si>
  <si>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</si>
  <si>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</si>
  <si>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</si>
  <si>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</si>
  <si>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</si>
  <si>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</si>
  <si>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</si>
  <si>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</si>
  <si>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</si>
  <si>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</si>
  <si>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</si>
  <si>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</si>
  <si>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</si>
  <si>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</si>
  <si>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</si>
  <si>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</si>
  <si>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</si>
  <si>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</si>
  <si>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</si>
  <si>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</si>
  <si>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</si>
  <si>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</si>
  <si>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</si>
  <si>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</si>
  <si>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</si>
  <si>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</si>
  <si>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</si>
  <si>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</si>
  <si>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</si>
  <si>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</si>
  <si>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</si>
  <si>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</si>
  <si>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</si>
  <si>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</si>
  <si>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</si>
  <si>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</si>
  <si>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</si>
  <si>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</si>
  <si>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</si>
  <si>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</si>
  <si>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</si>
  <si>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</si>
  <si>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</si>
  <si>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</si>
  <si>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</si>
  <si>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</si>
  <si>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</si>
  <si>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</si>
  <si>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</si>
  <si>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</si>
  <si>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</si>
  <si>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</si>
  <si>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</si>
  <si>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</si>
  <si>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</si>
  <si>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</si>
  <si>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</si>
  <si>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</si>
  <si>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</si>
  <si>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</si>
  <si>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</si>
  <si>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</si>
  <si>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</si>
  <si>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</si>
  <si>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</si>
  <si>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</si>
  <si>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</si>
  <si>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</si>
  <si>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</si>
  <si>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</si>
  <si>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</si>
  <si>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</si>
  <si>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</si>
  <si>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</si>
  <si>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</si>
  <si>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00921 - Cuaderno Eco cuero y corcho 21x14 cm hoja rayada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</si>
  <si>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</si>
  <si>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</si>
  <si>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</si>
  <si>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</si>
  <si>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</si>
  <si>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</si>
  <si>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</si>
  <si>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</si>
  <si>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</si>
  <si>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</si>
  <si>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</si>
  <si>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</si>
  <si>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</si>
  <si>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</si>
  <si>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</si>
  <si>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</si>
  <si>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</si>
  <si>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</si>
  <si>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</si>
  <si>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</si>
  <si>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</si>
  <si>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</si>
  <si>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</si>
  <si>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</si>
  <si>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</si>
  <si>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</si>
  <si>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</si>
  <si>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</si>
  <si>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</si>
  <si>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</si>
  <si>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</si>
  <si>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</si>
  <si>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</si>
  <si>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</si>
  <si>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</si>
  <si>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</si>
  <si>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</si>
  <si>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</si>
  <si>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</si>
  <si>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</si>
  <si>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</si>
  <si>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</si>
  <si>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</si>
  <si>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</si>
  <si>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</si>
  <si>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</si>
  <si>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</si>
  <si>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</si>
  <si>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</si>
  <si>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</si>
  <si>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</si>
  <si>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</si>
  <si>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</si>
  <si>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</si>
  <si>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</si>
  <si>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</si>
  <si>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</si>
  <si>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</si>
  <si>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</si>
  <si>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</si>
  <si>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>02272 - Bolígrafo Touch con soporte para celular en el clip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</si>
  <si>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</si>
  <si>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</si>
  <si>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</si>
  <si>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</si>
  <si>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</si>
  <si>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</si>
  <si>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</si>
  <si>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</si>
  <si>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LISTA DE PRECIOS Nº 11 / 2024 (En Pesos) - NO INCLUYE I.V.A. - NOVIEMBRE 1 - 2024</t>
  </si>
  <si>
    <t>02310 - Boligrafo metálico negro mate interior de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</si>
</sst>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4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indexed="3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1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71" fillId="2" borderId="0" xfId="0" applyFont="1" applyFill="1"/>
    <xf numFmtId="2" fontId="70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2" fillId="2" borderId="0" xfId="0" applyFont="1" applyFill="1"/>
    <xf numFmtId="2" fontId="67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8" xfId="0" applyNumberFormat="1" applyFont="1" applyFill="1" applyBorder="1" applyAlignment="1">
      <alignment horizontal="center" vertical="center"/>
    </xf>
    <xf numFmtId="2" fontId="62" fillId="8" borderId="7" xfId="0" applyNumberFormat="1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0" fillId="5" borderId="0" xfId="0" applyFont="1" applyFill="1" applyAlignment="1"/>
    <xf numFmtId="0" fontId="68" fillId="2" borderId="0" xfId="0" applyFont="1" applyFill="1" applyBorder="1"/>
    <xf numFmtId="2" fontId="73" fillId="8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/>
    <xf numFmtId="2" fontId="62" fillId="8" borderId="5" xfId="0" applyNumberFormat="1" applyFont="1" applyFill="1" applyBorder="1" applyAlignment="1">
      <alignment horizontal="center" vertical="center"/>
    </xf>
    <xf numFmtId="2" fontId="62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0" fontId="63" fillId="8" borderId="3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2" fillId="5" borderId="7" xfId="0" applyNumberFormat="1" applyFont="1" applyFill="1" applyBorder="1" applyAlignment="1">
      <alignment horizontal="center" vertical="center"/>
    </xf>
    <xf numFmtId="2" fontId="62" fillId="9" borderId="5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2" fillId="5" borderId="3" xfId="3" applyNumberFormat="1" applyFont="1" applyFill="1" applyBorder="1" applyAlignment="1">
      <alignment horizontal="center" vertical="center"/>
    </xf>
    <xf numFmtId="2" fontId="62" fillId="8" borderId="3" xfId="3" applyNumberFormat="1" applyFont="1" applyFill="1" applyBorder="1" applyAlignment="1">
      <alignment horizontal="center" vertical="center"/>
    </xf>
    <xf numFmtId="2" fontId="62" fillId="5" borderId="11" xfId="0" applyNumberFormat="1" applyFont="1" applyFill="1" applyBorder="1" applyAlignment="1">
      <alignment horizontal="center" vertical="center"/>
    </xf>
    <xf numFmtId="2" fontId="62" fillId="5" borderId="0" xfId="0" applyNumberFormat="1" applyFont="1" applyFill="1" applyBorder="1" applyAlignment="1">
      <alignment horizontal="center" vertical="center"/>
    </xf>
    <xf numFmtId="2" fontId="62" fillId="5" borderId="15" xfId="0" applyNumberFormat="1" applyFont="1" applyFill="1" applyBorder="1" applyAlignment="1">
      <alignment horizontal="center" vertical="center"/>
    </xf>
    <xf numFmtId="2" fontId="62" fillId="8" borderId="1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8" fillId="5" borderId="0" xfId="0" applyFont="1" applyFill="1" applyAlignment="1">
      <alignment horizontal="right"/>
    </xf>
    <xf numFmtId="0" fontId="68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3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9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6" fillId="10" borderId="0" xfId="0" applyFont="1" applyFill="1"/>
    <xf numFmtId="0" fontId="76" fillId="10" borderId="0" xfId="0" applyFont="1" applyFill="1" applyBorder="1"/>
    <xf numFmtId="0" fontId="68" fillId="10" borderId="0" xfId="0" applyFont="1" applyFill="1"/>
    <xf numFmtId="0" fontId="68" fillId="10" borderId="0" xfId="0" applyFont="1" applyFill="1" applyBorder="1"/>
    <xf numFmtId="0" fontId="68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7" fillId="10" borderId="1" xfId="0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horizontal="center" vertical="center"/>
    </xf>
    <xf numFmtId="0" fontId="68" fillId="10" borderId="22" xfId="0" applyFont="1" applyFill="1" applyBorder="1" applyAlignment="1">
      <alignment horizontal="center" vertical="center"/>
    </xf>
    <xf numFmtId="2" fontId="68" fillId="10" borderId="0" xfId="0" applyNumberFormat="1" applyFont="1" applyFill="1"/>
    <xf numFmtId="0" fontId="77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9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2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2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5" fillId="5" borderId="0" xfId="0" applyFont="1" applyFill="1" applyBorder="1" applyAlignment="1">
      <alignment horizontal="center" vertical="center" wrapText="1"/>
    </xf>
    <xf numFmtId="0" fontId="79" fillId="5" borderId="0" xfId="0" applyFont="1" applyFill="1" applyBorder="1" applyAlignment="1">
      <alignment horizontal="center" vertical="center"/>
    </xf>
    <xf numFmtId="0" fontId="84" fillId="5" borderId="0" xfId="0" applyFont="1" applyFill="1" applyBorder="1" applyAlignment="1">
      <alignment horizontal="center" vertical="center" wrapText="1"/>
    </xf>
    <xf numFmtId="2" fontId="65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8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2" fontId="62" fillId="9" borderId="5" xfId="3" applyNumberFormat="1" applyFont="1" applyFill="1" applyBorder="1" applyAlignment="1">
      <alignment horizontal="center" vertical="center"/>
    </xf>
    <xf numFmtId="0" fontId="68" fillId="5" borderId="0" xfId="0" applyFont="1" applyFill="1"/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2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2" fillId="7" borderId="19" xfId="0" applyNumberFormat="1" applyFont="1" applyFill="1" applyBorder="1" applyAlignment="1">
      <alignment horizontal="center" vertical="center"/>
    </xf>
    <xf numFmtId="2" fontId="62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2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2" fillId="5" borderId="3" xfId="0" applyNumberFormat="1" applyFont="1" applyFill="1" applyBorder="1" applyAlignment="1">
      <alignment horizontal="center" vertical="center"/>
    </xf>
    <xf numFmtId="1" fontId="62" fillId="8" borderId="3" xfId="0" applyNumberFormat="1" applyFont="1" applyFill="1" applyBorder="1" applyAlignment="1">
      <alignment horizontal="center" vertical="center"/>
    </xf>
    <xf numFmtId="1" fontId="62" fillId="5" borderId="7" xfId="0" applyNumberFormat="1" applyFont="1" applyFill="1" applyBorder="1" applyAlignment="1">
      <alignment horizontal="center" vertical="center"/>
    </xf>
    <xf numFmtId="1" fontId="62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2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7" fillId="8" borderId="3" xfId="0" applyNumberFormat="1" applyFont="1" applyFill="1" applyBorder="1" applyAlignment="1">
      <alignment horizontal="center" vertical="center"/>
    </xf>
    <xf numFmtId="0" fontId="65" fillId="8" borderId="3" xfId="0" applyFont="1" applyFill="1" applyBorder="1"/>
    <xf numFmtId="0" fontId="65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2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2" fillId="8" borderId="8" xfId="0" applyNumberFormat="1" applyFont="1" applyFill="1" applyBorder="1" applyAlignment="1">
      <alignment horizontal="center" vertical="center"/>
    </xf>
    <xf numFmtId="1" fontId="62" fillId="5" borderId="5" xfId="0" applyNumberFormat="1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2" fillId="8" borderId="14" xfId="0" applyNumberFormat="1" applyFont="1" applyFill="1" applyBorder="1" applyAlignment="1">
      <alignment horizontal="center" vertical="center"/>
    </xf>
    <xf numFmtId="1" fontId="62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2" fillId="8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2" fillId="8" borderId="4" xfId="0" applyNumberFormat="1" applyFont="1" applyFill="1" applyBorder="1" applyAlignment="1">
      <alignment horizontal="center" vertical="center"/>
    </xf>
    <xf numFmtId="1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3" fillId="8" borderId="3" xfId="0" applyNumberFormat="1" applyFont="1" applyFill="1" applyBorder="1" applyAlignment="1">
      <alignment horizontal="center" vertical="center"/>
    </xf>
    <xf numFmtId="1" fontId="73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2" fillId="5" borderId="0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62" fillId="9" borderId="3" xfId="0" applyNumberFormat="1" applyFont="1" applyFill="1" applyBorder="1" applyAlignment="1">
      <alignment horizontal="center" vertical="center"/>
    </xf>
    <xf numFmtId="1" fontId="62" fillId="9" borderId="5" xfId="0" applyNumberFormat="1" applyFont="1" applyFill="1" applyBorder="1" applyAlignment="1">
      <alignment horizontal="center" vertical="center"/>
    </xf>
    <xf numFmtId="1" fontId="62" fillId="5" borderId="18" xfId="0" applyNumberFormat="1" applyFont="1" applyFill="1" applyBorder="1" applyAlignment="1">
      <alignment horizontal="center" vertical="center"/>
    </xf>
    <xf numFmtId="1" fontId="62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2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2" fillId="5" borderId="17" xfId="0" applyNumberFormat="1" applyFont="1" applyFill="1" applyBorder="1" applyAlignment="1">
      <alignment horizontal="center" vertical="center"/>
    </xf>
    <xf numFmtId="1" fontId="62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2" fillId="9" borderId="14" xfId="0" applyNumberFormat="1" applyFont="1" applyFill="1" applyBorder="1" applyAlignment="1">
      <alignment horizontal="center" vertical="center"/>
    </xf>
    <xf numFmtId="1" fontId="62" fillId="9" borderId="17" xfId="0" applyNumberFormat="1" applyFont="1" applyFill="1" applyBorder="1" applyAlignment="1">
      <alignment horizontal="center" vertical="center"/>
    </xf>
    <xf numFmtId="1" fontId="65" fillId="5" borderId="3" xfId="0" applyNumberFormat="1" applyFont="1" applyFill="1" applyBorder="1" applyAlignment="1">
      <alignment horizontal="center" vertical="center" wrapText="1"/>
    </xf>
    <xf numFmtId="1" fontId="65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2" fillId="8" borderId="9" xfId="0" applyNumberFormat="1" applyFont="1" applyFill="1" applyBorder="1" applyAlignment="1">
      <alignment horizontal="center" vertical="center"/>
    </xf>
    <xf numFmtId="168" fontId="74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2" fillId="8" borderId="3" xfId="0" applyNumberFormat="1" applyFont="1" applyFill="1" applyBorder="1" applyAlignment="1">
      <alignment horizontal="center" vertical="center"/>
    </xf>
    <xf numFmtId="168" fontId="62" fillId="8" borderId="7" xfId="0" applyNumberFormat="1" applyFont="1" applyFill="1" applyBorder="1" applyAlignment="1">
      <alignment horizontal="center" vertical="center"/>
    </xf>
    <xf numFmtId="168" fontId="62" fillId="5" borderId="3" xfId="0" applyNumberFormat="1" applyFont="1" applyFill="1" applyBorder="1" applyAlignment="1">
      <alignment horizontal="center" vertical="center"/>
    </xf>
    <xf numFmtId="168" fontId="62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9" borderId="8" xfId="0" applyNumberFormat="1" applyFont="1" applyFill="1" applyBorder="1" applyAlignment="1">
      <alignment horizontal="center" vertical="center"/>
    </xf>
    <xf numFmtId="1" fontId="62" fillId="8" borderId="37" xfId="0" applyNumberFormat="1" applyFont="1" applyFill="1" applyBorder="1" applyAlignment="1">
      <alignment horizontal="center" vertical="center"/>
    </xf>
    <xf numFmtId="1" fontId="109" fillId="5" borderId="3" xfId="0" applyNumberFormat="1" applyFont="1" applyFill="1" applyBorder="1" applyAlignment="1">
      <alignment horizontal="center" vertical="center"/>
    </xf>
    <xf numFmtId="1" fontId="109" fillId="8" borderId="3" xfId="0" applyNumberFormat="1" applyFont="1" applyFill="1" applyBorder="1" applyAlignment="1">
      <alignment horizontal="center" vertical="center"/>
    </xf>
    <xf numFmtId="1" fontId="109" fillId="8" borderId="4" xfId="0" applyNumberFormat="1" applyFont="1" applyFill="1" applyBorder="1" applyAlignment="1">
      <alignment horizontal="center" vertical="center"/>
    </xf>
    <xf numFmtId="1" fontId="109" fillId="5" borderId="4" xfId="0" applyNumberFormat="1" applyFont="1" applyFill="1" applyBorder="1" applyAlignment="1">
      <alignment horizontal="center" vertical="center"/>
    </xf>
    <xf numFmtId="1" fontId="109" fillId="9" borderId="3" xfId="0" applyNumberFormat="1" applyFont="1" applyFill="1" applyBorder="1" applyAlignment="1">
      <alignment horizontal="center" vertical="center"/>
    </xf>
    <xf numFmtId="1" fontId="109" fillId="8" borderId="5" xfId="0" applyNumberFormat="1" applyFont="1" applyFill="1" applyBorder="1" applyAlignment="1">
      <alignment horizontal="center" vertical="center"/>
    </xf>
    <xf numFmtId="1" fontId="109" fillId="5" borderId="5" xfId="0" applyNumberFormat="1" applyFont="1" applyFill="1" applyBorder="1" applyAlignment="1">
      <alignment horizontal="center" vertical="center"/>
    </xf>
    <xf numFmtId="1" fontId="109" fillId="8" borderId="7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75" fillId="8" borderId="11" xfId="0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9" xfId="0" applyNumberFormat="1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0" fontId="65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2" fillId="19" borderId="3" xfId="0" applyNumberFormat="1" applyFont="1" applyFill="1" applyBorder="1" applyAlignment="1">
      <alignment horizontal="center" vertical="center"/>
    </xf>
    <xf numFmtId="2" fontId="73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2" fillId="20" borderId="7" xfId="0" applyNumberFormat="1" applyFont="1" applyFill="1" applyBorder="1" applyAlignment="1">
      <alignment horizontal="center" vertical="center"/>
    </xf>
    <xf numFmtId="168" fontId="62" fillId="5" borderId="7" xfId="0" applyNumberFormat="1" applyFont="1" applyFill="1" applyBorder="1" applyAlignment="1">
      <alignment horizontal="center" vertical="center"/>
    </xf>
    <xf numFmtId="2" fontId="62" fillId="20" borderId="3" xfId="0" applyNumberFormat="1" applyFont="1" applyFill="1" applyBorder="1" applyAlignment="1">
      <alignment horizontal="center" vertical="center"/>
    </xf>
    <xf numFmtId="168" fontId="62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2" fillId="8" borderId="15" xfId="0" applyNumberFormat="1" applyFont="1" applyFill="1" applyBorder="1" applyAlignment="1">
      <alignment horizontal="center" vertical="center"/>
    </xf>
    <xf numFmtId="166" fontId="82" fillId="2" borderId="3" xfId="2" applyNumberFormat="1" applyFont="1" applyFill="1" applyBorder="1" applyAlignment="1" applyProtection="1">
      <alignment horizontal="center" vertical="center"/>
    </xf>
    <xf numFmtId="166" fontId="82" fillId="2" borderId="5" xfId="2" applyNumberFormat="1" applyFont="1" applyFill="1" applyBorder="1" applyAlignment="1" applyProtection="1">
      <alignment horizontal="center"/>
    </xf>
    <xf numFmtId="166" fontId="112" fillId="2" borderId="5" xfId="2" applyNumberFormat="1" applyFont="1" applyFill="1" applyBorder="1" applyAlignment="1" applyProtection="1">
      <alignment horizontal="center"/>
    </xf>
    <xf numFmtId="166" fontId="113" fillId="2" borderId="5" xfId="2" applyNumberFormat="1" applyFont="1" applyFill="1" applyBorder="1" applyAlignment="1" applyProtection="1">
      <alignment horizontal="center"/>
    </xf>
    <xf numFmtId="0" fontId="82" fillId="2" borderId="3" xfId="2" applyFont="1" applyFill="1" applyBorder="1" applyAlignment="1" applyProtection="1">
      <alignment horizontal="center"/>
    </xf>
    <xf numFmtId="166" fontId="82" fillId="2" borderId="19" xfId="2" applyNumberFormat="1" applyFont="1" applyFill="1" applyBorder="1" applyAlignment="1" applyProtection="1">
      <alignment horizontal="center"/>
    </xf>
    <xf numFmtId="0" fontId="82" fillId="0" borderId="3" xfId="2" applyNumberFormat="1" applyFont="1" applyBorder="1" applyAlignment="1" applyProtection="1">
      <alignment horizontal="center"/>
    </xf>
    <xf numFmtId="0" fontId="68" fillId="2" borderId="3" xfId="0" applyFont="1" applyFill="1" applyBorder="1" applyAlignment="1">
      <alignment horizontal="center"/>
    </xf>
    <xf numFmtId="0" fontId="68" fillId="0" borderId="3" xfId="0" applyNumberFormat="1" applyFont="1" applyBorder="1" applyAlignment="1">
      <alignment horizontal="center"/>
    </xf>
    <xf numFmtId="0" fontId="82" fillId="0" borderId="3" xfId="2" applyFont="1" applyBorder="1" applyAlignment="1" applyProtection="1">
      <alignment horizontal="center"/>
    </xf>
    <xf numFmtId="0" fontId="82" fillId="2" borderId="7" xfId="2" applyFont="1" applyFill="1" applyBorder="1" applyAlignment="1" applyProtection="1">
      <alignment horizontal="center"/>
    </xf>
    <xf numFmtId="166" fontId="82" fillId="2" borderId="4" xfId="2" applyNumberFormat="1" applyFont="1" applyFill="1" applyBorder="1" applyAlignment="1" applyProtection="1">
      <alignment horizontal="center" vertical="center"/>
    </xf>
    <xf numFmtId="166" fontId="82" fillId="2" borderId="4" xfId="2" applyNumberFormat="1" applyFont="1" applyFill="1" applyBorder="1" applyAlignment="1" applyProtection="1">
      <alignment horizontal="center"/>
    </xf>
    <xf numFmtId="166" fontId="82" fillId="0" borderId="3" xfId="2" applyNumberFormat="1" applyFont="1" applyBorder="1" applyAlignment="1" applyProtection="1">
      <alignment horizontal="center"/>
    </xf>
    <xf numFmtId="166" fontId="82" fillId="2" borderId="5" xfId="2" applyNumberFormat="1" applyFont="1" applyFill="1" applyBorder="1" applyAlignment="1" applyProtection="1">
      <alignment horizontal="center" vertical="center"/>
    </xf>
    <xf numFmtId="166" fontId="68" fillId="2" borderId="4" xfId="0" applyNumberFormat="1" applyFont="1" applyFill="1" applyBorder="1" applyAlignment="1">
      <alignment horizontal="center"/>
    </xf>
    <xf numFmtId="166" fontId="68" fillId="2" borderId="3" xfId="0" applyNumberFormat="1" applyFont="1" applyFill="1" applyBorder="1" applyAlignment="1">
      <alignment horizontal="center"/>
    </xf>
    <xf numFmtId="166" fontId="82" fillId="5" borderId="3" xfId="2" applyNumberFormat="1" applyFont="1" applyFill="1" applyBorder="1" applyAlignment="1" applyProtection="1">
      <alignment horizontal="center"/>
    </xf>
    <xf numFmtId="166" fontId="68" fillId="5" borderId="3" xfId="0" applyNumberFormat="1" applyFont="1" applyFill="1" applyBorder="1" applyAlignment="1">
      <alignment horizontal="center"/>
    </xf>
    <xf numFmtId="49" fontId="82" fillId="2" borderId="3" xfId="2" applyNumberFormat="1" applyFont="1" applyFill="1" applyBorder="1" applyAlignment="1" applyProtection="1">
      <alignment horizontal="center"/>
    </xf>
    <xf numFmtId="49" fontId="82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4" fillId="5" borderId="3" xfId="0" applyNumberFormat="1" applyFont="1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1" fontId="109" fillId="5" borderId="0" xfId="0" applyNumberFormat="1" applyFont="1" applyFill="1" applyBorder="1" applyAlignment="1">
      <alignment horizontal="center" vertical="center"/>
    </xf>
    <xf numFmtId="49" fontId="82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4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1" fontId="109" fillId="9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1" fontId="62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166" fontId="82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/>
    <xf numFmtId="2" fontId="62" fillId="5" borderId="3" xfId="0" applyNumberFormat="1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/>
    </xf>
    <xf numFmtId="2" fontId="62" fillId="8" borderId="11" xfId="0" applyNumberFormat="1" applyFont="1" applyFill="1" applyBorder="1" applyAlignment="1">
      <alignment horizontal="center" vertical="center"/>
    </xf>
    <xf numFmtId="1" fontId="109" fillId="5" borderId="11" xfId="0" applyNumberFormat="1" applyFont="1" applyFill="1" applyBorder="1" applyAlignment="1">
      <alignment horizontal="center" vertical="center"/>
    </xf>
    <xf numFmtId="1" fontId="109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/>
    <xf numFmtId="0" fontId="69" fillId="5" borderId="3" xfId="0" applyFont="1" applyFill="1" applyBorder="1" applyAlignment="1"/>
    <xf numFmtId="0" fontId="69" fillId="8" borderId="3" xfId="0" applyFont="1" applyFill="1" applyBorder="1" applyAlignment="1"/>
    <xf numFmtId="0" fontId="2" fillId="8" borderId="3" xfId="0" applyFont="1" applyFill="1" applyBorder="1"/>
    <xf numFmtId="1" fontId="73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121" fillId="5" borderId="8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2" fontId="62" fillId="8" borderId="3" xfId="0" applyNumberFormat="1" applyFont="1" applyFill="1" applyBorder="1" applyAlignment="1">
      <alignment horizontal="center" vertical="center"/>
    </xf>
    <xf numFmtId="1" fontId="62" fillId="5" borderId="40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2" fontId="62" fillId="5" borderId="2" xfId="0" applyNumberFormat="1" applyFont="1" applyFill="1" applyBorder="1" applyAlignment="1">
      <alignment horizontal="center" vertical="center"/>
    </xf>
    <xf numFmtId="2" fontId="62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1" fontId="62" fillId="5" borderId="1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81" fillId="14" borderId="12" xfId="0" applyFont="1" applyFill="1" applyBorder="1"/>
    <xf numFmtId="0" fontId="79" fillId="14" borderId="3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79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7" fillId="11" borderId="5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9" fillId="14" borderId="12" xfId="0" applyFont="1" applyFill="1" applyBorder="1" applyAlignment="1">
      <alignment horizontal="center" vertical="center"/>
    </xf>
    <xf numFmtId="0" fontId="79" fillId="14" borderId="12" xfId="0" applyFont="1" applyFill="1" applyBorder="1" applyAlignment="1">
      <alignment horizontal="center" vertical="center"/>
    </xf>
    <xf numFmtId="0" fontId="79" fillId="14" borderId="9" xfId="0" applyFont="1" applyFill="1" applyBorder="1" applyAlignment="1">
      <alignment horizontal="center" vertical="center"/>
    </xf>
    <xf numFmtId="168" fontId="62" fillId="5" borderId="40" xfId="0" applyNumberFormat="1" applyFont="1" applyFill="1" applyBorder="1" applyAlignment="1">
      <alignment horizontal="center" vertical="center"/>
    </xf>
    <xf numFmtId="168" fontId="62" fillId="5" borderId="43" xfId="0" applyNumberFormat="1" applyFont="1" applyFill="1" applyBorder="1" applyAlignment="1">
      <alignment horizontal="center" vertical="center"/>
    </xf>
    <xf numFmtId="2" fontId="80" fillId="17" borderId="5" xfId="0" applyNumberFormat="1" applyFont="1" applyFill="1" applyBorder="1" applyAlignment="1">
      <alignment horizontal="center" vertical="center"/>
    </xf>
    <xf numFmtId="2" fontId="79" fillId="17" borderId="5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110" fillId="5" borderId="3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0" fontId="68" fillId="5" borderId="5" xfId="0" applyFont="1" applyFill="1" applyBorder="1"/>
    <xf numFmtId="1" fontId="1" fillId="5" borderId="5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/>
    <xf numFmtId="2" fontId="68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2" fontId="62" fillId="8" borderId="4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109" fillId="5" borderId="15" xfId="0" applyNumberFormat="1" applyFont="1" applyFill="1" applyBorder="1" applyAlignment="1">
      <alignment horizontal="center" vertical="center"/>
    </xf>
    <xf numFmtId="1" fontId="122" fillId="5" borderId="8" xfId="0" applyNumberFormat="1" applyFont="1" applyFill="1" applyBorder="1" applyAlignment="1">
      <alignment horizontal="center" vertical="center"/>
    </xf>
    <xf numFmtId="1" fontId="73" fillId="8" borderId="15" xfId="0" applyNumberFormat="1" applyFont="1" applyFill="1" applyBorder="1" applyAlignment="1">
      <alignment horizontal="center" vertical="center"/>
    </xf>
    <xf numFmtId="1" fontId="121" fillId="8" borderId="8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62" fillId="8" borderId="18" xfId="0" applyNumberFormat="1" applyFont="1" applyFill="1" applyBorder="1" applyAlignment="1">
      <alignment horizontal="center" vertical="center"/>
    </xf>
    <xf numFmtId="1" fontId="62" fillId="8" borderId="38" xfId="0" applyNumberFormat="1" applyFont="1" applyFill="1" applyBorder="1" applyAlignment="1">
      <alignment horizontal="center" vertical="center"/>
    </xf>
    <xf numFmtId="1" fontId="62" fillId="5" borderId="3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1" fontId="73" fillId="8" borderId="5" xfId="0" applyNumberFormat="1" applyFont="1" applyFill="1" applyBorder="1" applyAlignment="1">
      <alignment horizontal="center" vertical="center"/>
    </xf>
    <xf numFmtId="1" fontId="73" fillId="5" borderId="5" xfId="0" applyNumberFormat="1" applyFont="1" applyFill="1" applyBorder="1" applyAlignment="1">
      <alignment horizontal="center" vertical="center"/>
    </xf>
    <xf numFmtId="0" fontId="26" fillId="5" borderId="3" xfId="0" applyFont="1" applyFill="1" applyBorder="1"/>
    <xf numFmtId="0" fontId="2" fillId="5" borderId="3" xfId="0" applyFont="1" applyFill="1" applyBorder="1" applyAlignment="1"/>
    <xf numFmtId="0" fontId="4" fillId="8" borderId="3" xfId="0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66" fontId="113" fillId="2" borderId="3" xfId="2" applyNumberFormat="1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18" xfId="3" applyNumberFormat="1" applyFont="1" applyFill="1" applyBorder="1" applyAlignment="1">
      <alignment horizontal="center" vertical="center"/>
    </xf>
    <xf numFmtId="1" fontId="109" fillId="5" borderId="18" xfId="0" applyNumberFormat="1" applyFont="1" applyFill="1" applyBorder="1" applyAlignment="1">
      <alignment horizontal="center" vertical="center"/>
    </xf>
    <xf numFmtId="0" fontId="42" fillId="5" borderId="3" xfId="0" applyFont="1" applyFill="1" applyBorder="1"/>
    <xf numFmtId="1" fontId="73" fillId="9" borderId="3" xfId="0" applyNumberFormat="1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62" fillId="5" borderId="39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1" fontId="62" fillId="8" borderId="35" xfId="0" applyNumberFormat="1" applyFont="1" applyFill="1" applyBorder="1" applyAlignment="1">
      <alignment horizontal="center" vertical="center"/>
    </xf>
    <xf numFmtId="2" fontId="62" fillId="8" borderId="36" xfId="0" applyNumberFormat="1" applyFont="1" applyFill="1" applyBorder="1" applyAlignment="1">
      <alignment horizontal="center" vertical="center"/>
    </xf>
    <xf numFmtId="1" fontId="62" fillId="8" borderId="36" xfId="0" applyNumberFormat="1" applyFont="1" applyFill="1" applyBorder="1" applyAlignment="1">
      <alignment horizontal="center" vertical="center"/>
    </xf>
    <xf numFmtId="1" fontId="43" fillId="8" borderId="7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 vertical="center"/>
    </xf>
    <xf numFmtId="2" fontId="62" fillId="8" borderId="40" xfId="0" applyNumberFormat="1" applyFont="1" applyFill="1" applyBorder="1" applyAlignment="1">
      <alignment horizontal="center" vertical="center"/>
    </xf>
    <xf numFmtId="1" fontId="109" fillId="5" borderId="7" xfId="0" applyNumberFormat="1" applyFont="1" applyFill="1" applyBorder="1" applyAlignment="1">
      <alignment horizontal="center" vertical="center"/>
    </xf>
    <xf numFmtId="1" fontId="73" fillId="5" borderId="4" xfId="0" applyNumberFormat="1" applyFont="1" applyFill="1" applyBorder="1" applyAlignment="1">
      <alignment horizontal="center" vertical="center"/>
    </xf>
    <xf numFmtId="1" fontId="73" fillId="8" borderId="4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123" fillId="2" borderId="0" xfId="0" applyFont="1" applyFill="1"/>
    <xf numFmtId="2" fontId="62" fillId="9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64" fillId="12" borderId="7" xfId="0" applyFont="1" applyFill="1" applyBorder="1" applyAlignment="1">
      <alignment horizontal="center" vertical="center" wrapText="1"/>
    </xf>
    <xf numFmtId="0" fontId="63" fillId="12" borderId="5" xfId="0" applyFont="1" applyFill="1" applyBorder="1" applyAlignment="1">
      <alignment horizontal="center" vertical="center" wrapText="1"/>
    </xf>
    <xf numFmtId="2" fontId="107" fillId="14" borderId="25" xfId="0" applyNumberFormat="1" applyFont="1" applyFill="1" applyBorder="1" applyAlignment="1">
      <alignment horizontal="center" vertical="center" wrapText="1"/>
    </xf>
    <xf numFmtId="0" fontId="81" fillId="14" borderId="25" xfId="0" applyFont="1" applyFill="1" applyBorder="1" applyAlignment="1">
      <alignment horizontal="center" vertical="center" wrapText="1"/>
    </xf>
    <xf numFmtId="0" fontId="81" fillId="14" borderId="19" xfId="0" applyFont="1" applyFill="1" applyBorder="1" applyAlignment="1">
      <alignment horizontal="center" vertical="center" wrapText="1"/>
    </xf>
    <xf numFmtId="0" fontId="4" fillId="21" borderId="16" xfId="2" applyFont="1" applyFill="1" applyBorder="1" applyAlignment="1" applyProtection="1">
      <alignment horizontal="center" vertical="center" wrapText="1"/>
    </xf>
    <xf numFmtId="0" fontId="4" fillId="21" borderId="25" xfId="2" applyFont="1" applyFill="1" applyBorder="1" applyAlignment="1" applyProtection="1">
      <alignment horizontal="center" vertical="center" wrapText="1"/>
    </xf>
    <xf numFmtId="0" fontId="4" fillId="21" borderId="19" xfId="2" applyFont="1" applyFill="1" applyBorder="1" applyAlignment="1" applyProtection="1">
      <alignment horizontal="center" vertical="center" wrapText="1"/>
    </xf>
    <xf numFmtId="0" fontId="4" fillId="21" borderId="18" xfId="2" applyFont="1" applyFill="1" applyBorder="1" applyAlignment="1" applyProtection="1">
      <alignment horizontal="center" vertical="center" wrapText="1"/>
    </xf>
    <xf numFmtId="0" fontId="4" fillId="21" borderId="12" xfId="2" applyFont="1" applyFill="1" applyBorder="1" applyAlignment="1" applyProtection="1">
      <alignment horizontal="center" vertical="center" wrapText="1"/>
    </xf>
    <xf numFmtId="0" fontId="4" fillId="21" borderId="9" xfId="2" applyFont="1" applyFill="1" applyBorder="1" applyAlignment="1" applyProtection="1">
      <alignment horizontal="center" vertical="center" wrapText="1"/>
    </xf>
    <xf numFmtId="0" fontId="64" fillId="21" borderId="7" xfId="0" applyFont="1" applyFill="1" applyBorder="1" applyAlignment="1">
      <alignment horizontal="center" vertical="center" wrapText="1"/>
    </xf>
    <xf numFmtId="0" fontId="64" fillId="21" borderId="5" xfId="0" applyFont="1" applyFill="1" applyBorder="1" applyAlignment="1">
      <alignment horizontal="center" vertical="center" wrapText="1"/>
    </xf>
    <xf numFmtId="0" fontId="91" fillId="17" borderId="0" xfId="0" applyFont="1" applyFill="1" applyBorder="1" applyAlignment="1">
      <alignment horizontal="center" vertical="center" wrapText="1"/>
    </xf>
    <xf numFmtId="0" fontId="83" fillId="17" borderId="0" xfId="0" applyFont="1" applyFill="1" applyBorder="1" applyAlignment="1">
      <alignment horizontal="center" vertical="center" wrapText="1"/>
    </xf>
    <xf numFmtId="0" fontId="81" fillId="17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4" fillId="12" borderId="3" xfId="0" applyFont="1" applyFill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2" fontId="107" fillId="14" borderId="3" xfId="0" applyNumberFormat="1" applyFont="1" applyFill="1" applyBorder="1" applyAlignment="1">
      <alignment horizontal="center" vertical="center" wrapText="1"/>
    </xf>
    <xf numFmtId="0" fontId="81" fillId="14" borderId="3" xfId="0" applyFont="1" applyFill="1" applyBorder="1" applyAlignment="1">
      <alignment horizontal="center" vertical="center" wrapText="1"/>
    </xf>
    <xf numFmtId="0" fontId="1" fillId="21" borderId="25" xfId="0" applyFont="1" applyFill="1" applyBorder="1" applyAlignment="1">
      <alignment horizontal="center" vertical="center" wrapText="1"/>
    </xf>
    <xf numFmtId="0" fontId="1" fillId="21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69" fillId="10" borderId="1" xfId="0" applyFont="1" applyFill="1" applyBorder="1" applyAlignment="1"/>
    <xf numFmtId="0" fontId="69" fillId="10" borderId="0" xfId="0" applyFont="1" applyFill="1" applyAlignment="1"/>
    <xf numFmtId="0" fontId="69" fillId="10" borderId="22" xfId="0" applyFont="1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5" fillId="7" borderId="3" xfId="0" applyFont="1" applyFill="1" applyBorder="1" applyAlignment="1"/>
    <xf numFmtId="0" fontId="5" fillId="5" borderId="3" xfId="0" applyFont="1" applyFill="1" applyBorder="1" applyAlignment="1"/>
    <xf numFmtId="2" fontId="5" fillId="8" borderId="11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87" fillId="8" borderId="3" xfId="0" applyFont="1" applyFill="1" applyBorder="1" applyAlignment="1">
      <alignment horizontal="left" wrapText="1"/>
    </xf>
    <xf numFmtId="0" fontId="0" fillId="8" borderId="2" xfId="0" applyFill="1" applyBorder="1" applyAlignment="1"/>
    <xf numFmtId="0" fontId="0" fillId="8" borderId="4" xfId="0" applyFill="1" applyBorder="1" applyAlignment="1"/>
    <xf numFmtId="0" fontId="69" fillId="10" borderId="0" xfId="0" applyFont="1" applyFill="1" applyBorder="1" applyAlignment="1">
      <alignment vertical="center"/>
    </xf>
    <xf numFmtId="0" fontId="76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5" borderId="3" xfId="0" applyFill="1" applyBorder="1" applyAlignment="1"/>
    <xf numFmtId="0" fontId="0" fillId="8" borderId="5" xfId="0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2" fillId="10" borderId="1" xfId="0" applyFont="1" applyFill="1" applyBorder="1" applyAlignment="1"/>
    <xf numFmtId="0" fontId="1" fillId="5" borderId="3" xfId="0" applyFont="1" applyFill="1" applyBorder="1" applyAlignment="1"/>
    <xf numFmtId="0" fontId="69" fillId="10" borderId="0" xfId="0" applyFont="1" applyFill="1" applyBorder="1" applyAlignment="1"/>
    <xf numFmtId="0" fontId="68" fillId="0" borderId="0" xfId="0" applyFont="1" applyAlignment="1"/>
    <xf numFmtId="0" fontId="68" fillId="0" borderId="22" xfId="0" applyFont="1" applyBorder="1" applyAlignment="1"/>
    <xf numFmtId="2" fontId="6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75" fillId="9" borderId="3" xfId="0" applyNumberFormat="1" applyFont="1" applyFill="1" applyBorder="1" applyAlignment="1"/>
    <xf numFmtId="0" fontId="68" fillId="9" borderId="3" xfId="0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7" borderId="2" xfId="0" applyFill="1" applyBorder="1" applyAlignment="1"/>
    <xf numFmtId="0" fontId="0" fillId="7" borderId="4" xfId="0" applyFill="1" applyBorder="1" applyAlignment="1"/>
    <xf numFmtId="0" fontId="2" fillId="10" borderId="0" xfId="0" applyFont="1" applyFill="1" applyAlignment="1"/>
    <xf numFmtId="0" fontId="97" fillId="10" borderId="0" xfId="0" applyFont="1" applyFill="1" applyBorder="1" applyAlignment="1"/>
    <xf numFmtId="0" fontId="68" fillId="10" borderId="0" xfId="0" applyFont="1" applyFill="1" applyBorder="1" applyAlignment="1"/>
    <xf numFmtId="0" fontId="0" fillId="5" borderId="11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2" fontId="4" fillId="9" borderId="18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0" fontId="91" fillId="14" borderId="11" xfId="0" applyFont="1" applyFill="1" applyBorder="1" applyAlignment="1">
      <alignment horizontal="center" vertical="center"/>
    </xf>
    <xf numFmtId="0" fontId="81" fillId="14" borderId="2" xfId="0" applyFont="1" applyFill="1" applyBorder="1" applyAlignment="1">
      <alignment horizontal="center" vertical="center"/>
    </xf>
    <xf numFmtId="0" fontId="81" fillId="14" borderId="2" xfId="0" applyFont="1" applyFill="1" applyBorder="1" applyAlignment="1">
      <alignment horizontal="center"/>
    </xf>
    <xf numFmtId="0" fontId="81" fillId="14" borderId="4" xfId="0" applyFont="1" applyFill="1" applyBorder="1" applyAlignment="1">
      <alignment horizontal="center"/>
    </xf>
    <xf numFmtId="0" fontId="5" fillId="8" borderId="11" xfId="0" applyFont="1" applyFill="1" applyBorder="1" applyAlignment="1"/>
    <xf numFmtId="0" fontId="76" fillId="5" borderId="1" xfId="0" applyFont="1" applyFill="1" applyBorder="1" applyAlignment="1"/>
    <xf numFmtId="0" fontId="0" fillId="5" borderId="0" xfId="0" applyFill="1" applyBorder="1" applyAlignment="1"/>
    <xf numFmtId="0" fontId="0" fillId="0" borderId="0" xfId="0" applyAlignment="1"/>
    <xf numFmtId="0" fontId="5" fillId="8" borderId="3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5" borderId="18" xfId="0" applyNumberFormat="1" applyFont="1" applyFill="1" applyBorder="1" applyAlignment="1"/>
    <xf numFmtId="0" fontId="0" fillId="5" borderId="12" xfId="0" applyNumberFormat="1" applyFill="1" applyBorder="1" applyAlignment="1"/>
    <xf numFmtId="0" fontId="0" fillId="5" borderId="9" xfId="0" applyNumberFormat="1" applyFill="1" applyBorder="1" applyAlignment="1"/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0" fillId="8" borderId="11" xfId="0" applyFill="1" applyBorder="1" applyAlignment="1"/>
    <xf numFmtId="0" fontId="76" fillId="10" borderId="0" xfId="0" applyFont="1" applyFill="1" applyBorder="1" applyAlignment="1"/>
    <xf numFmtId="0" fontId="76" fillId="10" borderId="22" xfId="0" applyFont="1" applyFill="1" applyBorder="1" applyAlignment="1"/>
    <xf numFmtId="0" fontId="55" fillId="5" borderId="0" xfId="2" applyFont="1" applyFill="1" applyAlignment="1" applyProtection="1"/>
    <xf numFmtId="0" fontId="55" fillId="2" borderId="0" xfId="2" applyFont="1" applyFill="1" applyAlignment="1" applyProtection="1"/>
    <xf numFmtId="0" fontId="119" fillId="21" borderId="16" xfId="2" applyFont="1" applyFill="1" applyBorder="1" applyAlignment="1" applyProtection="1">
      <alignment horizontal="center" vertical="center" wrapText="1"/>
    </xf>
    <xf numFmtId="0" fontId="119" fillId="21" borderId="25" xfId="2" applyFont="1" applyFill="1" applyBorder="1" applyAlignment="1" applyProtection="1">
      <alignment horizontal="center" vertical="center" wrapText="1"/>
    </xf>
    <xf numFmtId="0" fontId="119" fillId="21" borderId="19" xfId="2" applyFont="1" applyFill="1" applyBorder="1" applyAlignment="1" applyProtection="1">
      <alignment horizontal="center" vertical="center" wrapText="1"/>
    </xf>
    <xf numFmtId="0" fontId="119" fillId="21" borderId="18" xfId="2" applyFont="1" applyFill="1" applyBorder="1" applyAlignment="1" applyProtection="1">
      <alignment horizontal="center" vertical="center" wrapText="1"/>
    </xf>
    <xf numFmtId="0" fontId="119" fillId="21" borderId="12" xfId="2" applyFont="1" applyFill="1" applyBorder="1" applyAlignment="1" applyProtection="1">
      <alignment horizontal="center" vertical="center" wrapText="1"/>
    </xf>
    <xf numFmtId="0" fontId="119" fillId="21" borderId="9" xfId="2" applyFont="1" applyFill="1" applyBorder="1" applyAlignment="1" applyProtection="1">
      <alignment horizontal="center" vertical="center" wrapText="1"/>
    </xf>
    <xf numFmtId="0" fontId="55" fillId="0" borderId="0" xfId="2" applyFont="1" applyAlignment="1" applyProtection="1"/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5" fillId="7" borderId="5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36" fillId="10" borderId="0" xfId="0" applyFont="1" applyFill="1" applyBorder="1" applyAlignment="1"/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6" fillId="9" borderId="11" xfId="0" applyFont="1" applyFill="1" applyBorder="1" applyAlignment="1">
      <alignment horizontal="center" vertical="center" wrapText="1"/>
    </xf>
    <xf numFmtId="0" fontId="116" fillId="9" borderId="2" xfId="0" applyFont="1" applyFill="1" applyBorder="1" applyAlignment="1">
      <alignment horizontal="center" vertical="center" wrapText="1"/>
    </xf>
    <xf numFmtId="0" fontId="117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96" fillId="5" borderId="11" xfId="0" applyFont="1" applyFill="1" applyBorder="1" applyAlignment="1">
      <alignment horizontal="center" vertical="center"/>
    </xf>
    <xf numFmtId="0" fontId="94" fillId="5" borderId="2" xfId="0" applyFont="1" applyFill="1" applyBorder="1" applyAlignment="1">
      <alignment horizontal="center" vertical="center"/>
    </xf>
    <xf numFmtId="0" fontId="94" fillId="5" borderId="2" xfId="0" applyFont="1" applyFill="1" applyBorder="1" applyAlignment="1"/>
    <xf numFmtId="0" fontId="94" fillId="5" borderId="4" xfId="0" applyFont="1" applyFill="1" applyBorder="1" applyAlignment="1"/>
    <xf numFmtId="0" fontId="114" fillId="21" borderId="11" xfId="0" applyFont="1" applyFill="1" applyBorder="1" applyAlignment="1">
      <alignment horizontal="center" vertical="center" wrapText="1"/>
    </xf>
    <xf numFmtId="0" fontId="115" fillId="21" borderId="2" xfId="0" applyFont="1" applyFill="1" applyBorder="1" applyAlignment="1">
      <alignment horizontal="center" vertical="center" wrapText="1"/>
    </xf>
    <xf numFmtId="0" fontId="115" fillId="21" borderId="4" xfId="0" applyFont="1" applyFill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2" fontId="61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7" borderId="11" xfId="0" applyFont="1" applyFill="1" applyBorder="1" applyAlignment="1"/>
    <xf numFmtId="0" fontId="66" fillId="2" borderId="7" xfId="2" applyFont="1" applyFill="1" applyBorder="1" applyAlignment="1" applyProtection="1">
      <alignment horizontal="center" vertical="center"/>
    </xf>
    <xf numFmtId="0" fontId="66" fillId="0" borderId="5" xfId="2" applyFont="1" applyBorder="1" applyAlignment="1" applyProtection="1">
      <alignment horizontal="center" vertical="center"/>
    </xf>
    <xf numFmtId="0" fontId="48" fillId="21" borderId="16" xfId="0" applyFont="1" applyFill="1" applyBorder="1" applyAlignment="1">
      <alignment horizontal="left" vertical="center" wrapText="1"/>
    </xf>
    <xf numFmtId="0" fontId="18" fillId="21" borderId="25" xfId="0" applyFont="1" applyFill="1" applyBorder="1" applyAlignment="1">
      <alignment horizontal="left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47" fillId="21" borderId="25" xfId="0" applyFont="1" applyFill="1" applyBorder="1" applyAlignment="1">
      <alignment horizontal="center" vertical="center" wrapText="1"/>
    </xf>
    <xf numFmtId="0" fontId="47" fillId="21" borderId="19" xfId="0" applyFont="1" applyFill="1" applyBorder="1" applyAlignment="1">
      <alignment horizontal="center" vertical="center" wrapText="1"/>
    </xf>
    <xf numFmtId="0" fontId="90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18" xfId="2" applyFill="1" applyBorder="1" applyAlignment="1" applyProtection="1">
      <alignment horizontal="left" vertical="center"/>
    </xf>
    <xf numFmtId="0" fontId="12" fillId="21" borderId="12" xfId="2" applyFill="1" applyBorder="1" applyAlignment="1" applyProtection="1">
      <alignment horizontal="left" vertical="center"/>
    </xf>
    <xf numFmtId="0" fontId="93" fillId="22" borderId="11" xfId="0" applyFont="1" applyFill="1" applyBorder="1" applyAlignment="1">
      <alignment horizontal="center" vertical="center"/>
    </xf>
    <xf numFmtId="0" fontId="94" fillId="22" borderId="2" xfId="0" applyFont="1" applyFill="1" applyBorder="1" applyAlignment="1">
      <alignment horizontal="center" vertical="center"/>
    </xf>
    <xf numFmtId="0" fontId="94" fillId="22" borderId="4" xfId="0" applyFont="1" applyFill="1" applyBorder="1" applyAlignment="1">
      <alignment horizontal="center" vertical="center"/>
    </xf>
    <xf numFmtId="0" fontId="118" fillId="21" borderId="16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20" fillId="21" borderId="11" xfId="2" applyFont="1" applyFill="1" applyBorder="1" applyAlignment="1" applyProtection="1">
      <alignment horizontal="center" vertical="center" wrapText="1"/>
    </xf>
    <xf numFmtId="0" fontId="120" fillId="21" borderId="2" xfId="2" applyFont="1" applyFill="1" applyBorder="1" applyAlignment="1" applyProtection="1">
      <alignment horizontal="center" vertical="center" wrapText="1"/>
    </xf>
    <xf numFmtId="0" fontId="120" fillId="21" borderId="4" xfId="2" applyFont="1" applyFill="1" applyBorder="1" applyAlignment="1" applyProtection="1">
      <alignment horizontal="center" vertical="center" wrapText="1"/>
    </xf>
    <xf numFmtId="0" fontId="92" fillId="5" borderId="0" xfId="2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/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1" fillId="5" borderId="7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9" borderId="5" xfId="0" applyFont="1" applyFill="1" applyBorder="1" applyAlignment="1"/>
    <xf numFmtId="2" fontId="5" fillId="8" borderId="11" xfId="0" applyNumberFormat="1" applyFont="1" applyFill="1" applyBorder="1" applyAlignment="1">
      <alignment horizontal="left"/>
    </xf>
    <xf numFmtId="0" fontId="5" fillId="5" borderId="5" xfId="0" applyFont="1" applyFill="1" applyBorder="1" applyAlignment="1"/>
    <xf numFmtId="0" fontId="0" fillId="5" borderId="5" xfId="0" applyFill="1" applyBorder="1" applyAlignment="1"/>
    <xf numFmtId="2" fontId="62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0" fontId="1" fillId="7" borderId="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18" fillId="8" borderId="3" xfId="0" applyFont="1" applyFill="1" applyBorder="1" applyAlignment="1"/>
    <xf numFmtId="0" fontId="111" fillId="13" borderId="16" xfId="0" applyFont="1" applyFill="1" applyBorder="1" applyAlignment="1">
      <alignment horizontal="center" vertical="center" wrapText="1"/>
    </xf>
    <xf numFmtId="0" fontId="111" fillId="13" borderId="25" xfId="0" applyFont="1" applyFill="1" applyBorder="1" applyAlignment="1">
      <alignment horizontal="center" vertical="center" wrapText="1"/>
    </xf>
    <xf numFmtId="0" fontId="111" fillId="13" borderId="18" xfId="0" applyFont="1" applyFill="1" applyBorder="1" applyAlignment="1">
      <alignment horizontal="center" vertical="center" wrapText="1"/>
    </xf>
    <xf numFmtId="0" fontId="111" fillId="13" borderId="12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/>
    <xf numFmtId="2" fontId="69" fillId="13" borderId="16" xfId="0" applyNumberFormat="1" applyFont="1" applyFill="1" applyBorder="1" applyAlignment="1">
      <alignment horizontal="center" vertical="center" wrapText="1"/>
    </xf>
    <xf numFmtId="0" fontId="75" fillId="13" borderId="25" xfId="0" applyFont="1" applyFill="1" applyBorder="1" applyAlignment="1">
      <alignment horizontal="center" vertical="center" wrapText="1"/>
    </xf>
    <xf numFmtId="0" fontId="75" fillId="13" borderId="19" xfId="0" applyFont="1" applyFill="1" applyBorder="1" applyAlignment="1">
      <alignment horizontal="center" vertical="center" wrapText="1"/>
    </xf>
    <xf numFmtId="0" fontId="75" fillId="13" borderId="1" xfId="0" applyFont="1" applyFill="1" applyBorder="1" applyAlignment="1">
      <alignment horizontal="center" vertical="center" wrapText="1"/>
    </xf>
    <xf numFmtId="0" fontId="75" fillId="13" borderId="0" xfId="0" applyFont="1" applyFill="1" applyBorder="1" applyAlignment="1">
      <alignment horizontal="center" vertical="center" wrapText="1"/>
    </xf>
    <xf numFmtId="0" fontId="75" fillId="13" borderId="12" xfId="0" applyFont="1" applyFill="1" applyBorder="1" applyAlignment="1">
      <alignment horizontal="center" vertical="center" wrapText="1"/>
    </xf>
    <xf numFmtId="0" fontId="75" fillId="13" borderId="9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/>
    <xf numFmtId="0" fontId="0" fillId="5" borderId="18" xfId="0" applyFill="1" applyBorder="1" applyAlignment="1"/>
    <xf numFmtId="2" fontId="62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5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76" fillId="10" borderId="1" xfId="0" applyFont="1" applyFill="1" applyBorder="1" applyAlignment="1">
      <alignment vertical="center"/>
    </xf>
    <xf numFmtId="0" fontId="78" fillId="10" borderId="0" xfId="0" applyFont="1" applyFill="1" applyBorder="1" applyAlignment="1">
      <alignment vertical="center"/>
    </xf>
    <xf numFmtId="0" fontId="78" fillId="10" borderId="22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108" fillId="13" borderId="16" xfId="0" applyFont="1" applyFill="1" applyBorder="1" applyAlignment="1">
      <alignment horizontal="center" vertical="center" wrapText="1"/>
    </xf>
    <xf numFmtId="0" fontId="108" fillId="13" borderId="25" xfId="0" applyFont="1" applyFill="1" applyBorder="1" applyAlignment="1">
      <alignment horizontal="center" vertical="center" wrapText="1"/>
    </xf>
    <xf numFmtId="0" fontId="108" fillId="13" borderId="19" xfId="0" applyFont="1" applyFill="1" applyBorder="1" applyAlignment="1">
      <alignment horizontal="center" vertical="center" wrapText="1"/>
    </xf>
    <xf numFmtId="0" fontId="108" fillId="13" borderId="1" xfId="0" applyFont="1" applyFill="1" applyBorder="1" applyAlignment="1">
      <alignment horizontal="center" vertical="center" wrapText="1"/>
    </xf>
    <xf numFmtId="0" fontId="108" fillId="13" borderId="0" xfId="0" applyFont="1" applyFill="1" applyBorder="1" applyAlignment="1">
      <alignment horizontal="center" vertical="center" wrapText="1"/>
    </xf>
    <xf numFmtId="0" fontId="108" fillId="13" borderId="22" xfId="0" applyFont="1" applyFill="1" applyBorder="1" applyAlignment="1">
      <alignment horizontal="center" vertical="center" wrapText="1"/>
    </xf>
    <xf numFmtId="0" fontId="108" fillId="13" borderId="18" xfId="0" applyFont="1" applyFill="1" applyBorder="1" applyAlignment="1">
      <alignment horizontal="center" vertical="center" wrapText="1"/>
    </xf>
    <xf numFmtId="0" fontId="108" fillId="13" borderId="12" xfId="0" applyFont="1" applyFill="1" applyBorder="1" applyAlignment="1">
      <alignment horizontal="center" vertical="center" wrapText="1"/>
    </xf>
    <xf numFmtId="0" fontId="108" fillId="13" borderId="9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2" fontId="79" fillId="17" borderId="15" xfId="0" applyNumberFormat="1" applyFont="1" applyFill="1" applyBorder="1" applyAlignment="1">
      <alignment horizontal="center" vertical="center" wrapText="1"/>
    </xf>
    <xf numFmtId="0" fontId="107" fillId="17" borderId="5" xfId="0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5" fillId="5" borderId="18" xfId="0" applyFont="1" applyFill="1" applyBorder="1" applyAlignment="1"/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107" fillId="17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0" fillId="5" borderId="3" xfId="0" applyNumberFormat="1" applyFill="1" applyBorder="1" applyAlignment="1"/>
    <xf numFmtId="2" fontId="17" fillId="8" borderId="11" xfId="0" applyNumberFormat="1" applyFont="1" applyFill="1" applyBorder="1" applyAlignment="1"/>
    <xf numFmtId="0" fontId="87" fillId="5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2" fontId="87" fillId="5" borderId="3" xfId="0" applyNumberFormat="1" applyFont="1" applyFill="1" applyBorder="1" applyAlignment="1"/>
    <xf numFmtId="0" fontId="86" fillId="5" borderId="3" xfId="0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1" fillId="9" borderId="5" xfId="0" applyNumberFormat="1" applyFont="1" applyFill="1" applyBorder="1" applyAlignment="1"/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0" fontId="75" fillId="5" borderId="0" xfId="0" applyFont="1" applyFill="1" applyBorder="1" applyAlignment="1">
      <alignment horizontal="center" vertical="center" wrapText="1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61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03" fillId="14" borderId="11" xfId="2" applyFont="1" applyFill="1" applyBorder="1" applyAlignment="1" applyProtection="1">
      <alignment horizontal="center" vertical="center" wrapText="1"/>
    </xf>
    <xf numFmtId="0" fontId="103" fillId="14" borderId="2" xfId="2" applyFont="1" applyFill="1" applyBorder="1" applyAlignment="1" applyProtection="1">
      <alignment horizontal="center" vertical="center" wrapText="1"/>
    </xf>
    <xf numFmtId="0" fontId="103" fillId="14" borderId="4" xfId="2" applyFont="1" applyFill="1" applyBorder="1" applyAlignment="1" applyProtection="1">
      <alignment horizontal="center" vertical="center" wrapText="1"/>
    </xf>
    <xf numFmtId="0" fontId="88" fillId="14" borderId="34" xfId="0" applyFont="1" applyFill="1" applyBorder="1" applyAlignment="1">
      <alignment horizontal="center" vertical="center" wrapText="1"/>
    </xf>
    <xf numFmtId="0" fontId="89" fillId="14" borderId="26" xfId="0" applyFont="1" applyFill="1" applyBorder="1" applyAlignment="1">
      <alignment horizontal="center" vertical="center" wrapText="1"/>
    </xf>
    <xf numFmtId="0" fontId="81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wrapText="1"/>
    </xf>
    <xf numFmtId="0" fontId="9" fillId="21" borderId="19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22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1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22" xfId="0" applyFill="1" applyBorder="1" applyAlignment="1">
      <alignment wrapText="1"/>
    </xf>
    <xf numFmtId="0" fontId="0" fillId="21" borderId="18" xfId="0" applyFill="1" applyBorder="1" applyAlignment="1">
      <alignment wrapText="1"/>
    </xf>
    <xf numFmtId="0" fontId="0" fillId="21" borderId="12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88" fillId="14" borderId="16" xfId="0" applyFont="1" applyFill="1" applyBorder="1" applyAlignment="1">
      <alignment horizontal="center" vertical="center" wrapText="1"/>
    </xf>
    <xf numFmtId="0" fontId="89" fillId="14" borderId="2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2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22" xfId="0" applyFont="1" applyFill="1" applyBorder="1" applyAlignment="1">
      <alignment wrapText="1"/>
    </xf>
    <xf numFmtId="0" fontId="5" fillId="21" borderId="1" xfId="0" applyFont="1" applyFill="1" applyBorder="1" applyAlignment="1">
      <alignment wrapText="1"/>
    </xf>
    <xf numFmtId="0" fontId="5" fillId="21" borderId="18" xfId="0" applyFont="1" applyFill="1" applyBorder="1" applyAlignment="1">
      <alignment wrapText="1"/>
    </xf>
    <xf numFmtId="0" fontId="5" fillId="21" borderId="12" xfId="0" applyFont="1" applyFill="1" applyBorder="1" applyAlignment="1">
      <alignment wrapText="1"/>
    </xf>
    <xf numFmtId="0" fontId="1" fillId="21" borderId="12" xfId="0" applyFont="1" applyFill="1" applyBorder="1" applyAlignment="1">
      <alignment wrapText="1"/>
    </xf>
    <xf numFmtId="0" fontId="1" fillId="21" borderId="9" xfId="0" applyFont="1" applyFill="1" applyBorder="1" applyAlignment="1">
      <alignment wrapText="1"/>
    </xf>
    <xf numFmtId="0" fontId="26" fillId="2" borderId="1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5" fillId="14" borderId="41" xfId="0" applyFont="1" applyFill="1" applyBorder="1" applyAlignment="1">
      <alignment horizontal="center" vertical="center" wrapText="1"/>
    </xf>
    <xf numFmtId="0" fontId="81" fillId="14" borderId="30" xfId="0" applyFont="1" applyFill="1" applyBorder="1" applyAlignment="1">
      <alignment horizontal="center" vertical="center" wrapText="1"/>
    </xf>
    <xf numFmtId="0" fontId="81" fillId="14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0" fillId="17" borderId="15" xfId="0" applyNumberFormat="1" applyFont="1" applyFill="1" applyBorder="1" applyAlignment="1">
      <alignment horizontal="center" vertical="center" wrapText="1"/>
    </xf>
    <xf numFmtId="0" fontId="81" fillId="17" borderId="15" xfId="0" applyFont="1" applyFill="1" applyBorder="1" applyAlignment="1">
      <alignment horizontal="center" vertical="center" wrapText="1"/>
    </xf>
    <xf numFmtId="0" fontId="100" fillId="14" borderId="11" xfId="0" applyFont="1" applyFill="1" applyBorder="1" applyAlignment="1">
      <alignment horizontal="center" vertical="center" wrapText="1"/>
    </xf>
    <xf numFmtId="0" fontId="100" fillId="14" borderId="2" xfId="0" applyFont="1" applyFill="1" applyBorder="1" applyAlignment="1">
      <alignment horizontal="center" vertical="center" wrapText="1"/>
    </xf>
    <xf numFmtId="0" fontId="101" fillId="14" borderId="4" xfId="0" applyFont="1" applyFill="1" applyBorder="1" applyAlignment="1">
      <alignment horizontal="center" vertical="center" wrapText="1"/>
    </xf>
    <xf numFmtId="2" fontId="6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87" fillId="5" borderId="11" xfId="0" applyNumberFormat="1" applyFont="1" applyFill="1" applyBorder="1" applyAlignment="1"/>
    <xf numFmtId="0" fontId="36" fillId="10" borderId="0" xfId="0" applyFont="1" applyFill="1" applyAlignment="1"/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0" fillId="7" borderId="3" xfId="0" applyFill="1" applyBorder="1" applyAlignment="1">
      <alignment wrapText="1"/>
    </xf>
    <xf numFmtId="0" fontId="18" fillId="7" borderId="5" xfId="0" applyFont="1" applyFill="1" applyBorder="1" applyAlignment="1"/>
    <xf numFmtId="0" fontId="18" fillId="9" borderId="3" xfId="0" applyFont="1" applyFill="1" applyBorder="1" applyAlignment="1"/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89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9" fillId="14" borderId="11" xfId="0" applyNumberFormat="1" applyFont="1" applyFill="1" applyBorder="1" applyAlignment="1">
      <alignment horizontal="center" vertical="center"/>
    </xf>
    <xf numFmtId="0" fontId="79" fillId="14" borderId="2" xfId="0" applyFont="1" applyFill="1" applyBorder="1" applyAlignment="1">
      <alignment horizontal="center" vertical="center"/>
    </xf>
    <xf numFmtId="0" fontId="81" fillId="14" borderId="4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8" fillId="14" borderId="3" xfId="0" applyFont="1" applyFill="1" applyBorder="1" applyAlignment="1">
      <alignment horizontal="center" vertical="center" wrapText="1"/>
    </xf>
    <xf numFmtId="0" fontId="89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21" borderId="1" xfId="0" applyNumberFormat="1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80" fillId="14" borderId="23" xfId="0" applyFont="1" applyFill="1" applyBorder="1" applyAlignment="1">
      <alignment horizontal="center" vertical="center" wrapText="1"/>
    </xf>
    <xf numFmtId="0" fontId="80" fillId="14" borderId="26" xfId="0" applyFont="1" applyFill="1" applyBorder="1" applyAlignment="1">
      <alignment horizontal="center" vertical="center" wrapText="1"/>
    </xf>
    <xf numFmtId="0" fontId="80" fillId="14" borderId="27" xfId="0" applyFont="1" applyFill="1" applyBorder="1" applyAlignment="1">
      <alignment horizontal="center" vertical="center" wrapText="1"/>
    </xf>
    <xf numFmtId="0" fontId="80" fillId="14" borderId="6" xfId="0" applyFont="1" applyFill="1" applyBorder="1" applyAlignment="1">
      <alignment horizontal="center" vertical="center" wrapText="1"/>
    </xf>
    <xf numFmtId="0" fontId="80" fillId="14" borderId="0" xfId="0" applyFont="1" applyFill="1" applyBorder="1" applyAlignment="1">
      <alignment horizontal="center" vertical="center" wrapText="1"/>
    </xf>
    <xf numFmtId="0" fontId="80" fillId="14" borderId="13" xfId="0" applyFont="1" applyFill="1" applyBorder="1" applyAlignment="1">
      <alignment horizontal="center" vertical="center" wrapText="1"/>
    </xf>
    <xf numFmtId="0" fontId="80" fillId="14" borderId="24" xfId="0" applyFont="1" applyFill="1" applyBorder="1" applyAlignment="1">
      <alignment horizontal="center" vertical="center" wrapText="1"/>
    </xf>
    <xf numFmtId="0" fontId="80" fillId="14" borderId="20" xfId="0" applyFont="1" applyFill="1" applyBorder="1" applyAlignment="1">
      <alignment horizontal="center" vertical="center" wrapText="1"/>
    </xf>
    <xf numFmtId="0" fontId="80" fillId="14" borderId="28" xfId="0" applyFont="1" applyFill="1" applyBorder="1" applyAlignment="1">
      <alignment horizontal="center" vertical="center" wrapText="1"/>
    </xf>
    <xf numFmtId="0" fontId="79" fillId="19" borderId="5" xfId="0" applyFont="1" applyFill="1" applyBorder="1" applyAlignment="1"/>
    <xf numFmtId="0" fontId="107" fillId="19" borderId="5" xfId="0" applyFont="1" applyFill="1" applyBorder="1" applyAlignment="1"/>
    <xf numFmtId="0" fontId="80" fillId="18" borderId="5" xfId="0" applyFont="1" applyFill="1" applyBorder="1" applyAlignment="1"/>
    <xf numFmtId="0" fontId="81" fillId="18" borderId="5" xfId="0" applyFont="1" applyFill="1" applyBorder="1" applyAlignment="1"/>
    <xf numFmtId="0" fontId="80" fillId="14" borderId="5" xfId="0" applyFont="1" applyFill="1" applyBorder="1" applyAlignment="1"/>
    <xf numFmtId="0" fontId="81" fillId="14" borderId="5" xfId="0" applyFont="1" applyFill="1" applyBorder="1" applyAlignment="1"/>
    <xf numFmtId="2" fontId="0" fillId="8" borderId="3" xfId="0" applyNumberFormat="1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69" fillId="13" borderId="16" xfId="0" applyFont="1" applyFill="1" applyBorder="1" applyAlignment="1">
      <alignment horizontal="center" vertical="center" wrapText="1"/>
    </xf>
    <xf numFmtId="0" fontId="68" fillId="13" borderId="25" xfId="0" applyFont="1" applyFill="1" applyBorder="1" applyAlignment="1">
      <alignment horizontal="center" vertical="center" wrapText="1"/>
    </xf>
    <xf numFmtId="0" fontId="68" fillId="13" borderId="19" xfId="0" applyFont="1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68" fillId="13" borderId="22" xfId="0" applyFont="1" applyFill="1" applyBorder="1" applyAlignment="1">
      <alignment horizontal="center" vertical="center" wrapText="1"/>
    </xf>
    <xf numFmtId="0" fontId="68" fillId="13" borderId="18" xfId="0" applyFont="1" applyFill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2" fontId="5" fillId="9" borderId="11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76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1" fillId="8" borderId="3" xfId="0" applyFont="1" applyFill="1" applyBorder="1" applyAlignment="1"/>
    <xf numFmtId="0" fontId="69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2" fontId="5" fillId="9" borderId="11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" fillId="9" borderId="3" xfId="0" applyFont="1" applyFill="1" applyBorder="1" applyAlignment="1"/>
    <xf numFmtId="0" fontId="1" fillId="5" borderId="3" xfId="0" applyFont="1" applyFill="1" applyBorder="1" applyAlignment="1">
      <alignment wrapText="1"/>
    </xf>
    <xf numFmtId="0" fontId="18" fillId="5" borderId="7" xfId="0" applyFont="1" applyFill="1" applyBorder="1" applyAlignment="1"/>
    <xf numFmtId="2" fontId="87" fillId="5" borderId="3" xfId="0" applyNumberFormat="1" applyFont="1" applyFill="1" applyBorder="1" applyAlignment="1">
      <alignment wrapText="1"/>
    </xf>
    <xf numFmtId="0" fontId="86" fillId="5" borderId="3" xfId="0" applyFont="1" applyFill="1" applyBorder="1" applyAlignment="1">
      <alignment wrapText="1"/>
    </xf>
    <xf numFmtId="2" fontId="5" fillId="5" borderId="18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17" fillId="5" borderId="11" xfId="0" applyNumberFormat="1" applyFont="1" applyFill="1" applyBorder="1" applyAlignment="1"/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2" fontId="79" fillId="15" borderId="11" xfId="0" applyNumberFormat="1" applyFont="1" applyFill="1" applyBorder="1" applyAlignment="1">
      <alignment horizontal="center" vertical="center"/>
    </xf>
    <xf numFmtId="0" fontId="81" fillId="15" borderId="2" xfId="0" applyFont="1" applyFill="1" applyBorder="1" applyAlignment="1">
      <alignment horizontal="center" vertical="center"/>
    </xf>
    <xf numFmtId="0" fontId="81" fillId="15" borderId="4" xfId="0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695</xdr:row>
      <xdr:rowOff>28575</xdr:rowOff>
    </xdr:from>
    <xdr:to>
      <xdr:col>1</xdr:col>
      <xdr:colOff>295275</xdr:colOff>
      <xdr:row>695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693</xdr:row>
      <xdr:rowOff>19050</xdr:rowOff>
    </xdr:from>
    <xdr:to>
      <xdr:col>1</xdr:col>
      <xdr:colOff>180975</xdr:colOff>
      <xdr:row>693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108</xdr:row>
      <xdr:rowOff>28575</xdr:rowOff>
    </xdr:from>
    <xdr:to>
      <xdr:col>0</xdr:col>
      <xdr:colOff>295275</xdr:colOff>
      <xdr:row>108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110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683</xdr:row>
      <xdr:rowOff>76200</xdr:rowOff>
    </xdr:from>
    <xdr:to>
      <xdr:col>8</xdr:col>
      <xdr:colOff>353861</xdr:colOff>
      <xdr:row>689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697</xdr:row>
      <xdr:rowOff>38100</xdr:rowOff>
    </xdr:from>
    <xdr:to>
      <xdr:col>1</xdr:col>
      <xdr:colOff>295275</xdr:colOff>
      <xdr:row>697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112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28575</xdr:rowOff>
    </xdr:from>
    <xdr:to>
      <xdr:col>1</xdr:col>
      <xdr:colOff>0</xdr:colOff>
      <xdr:row>48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696</xdr:row>
      <xdr:rowOff>38100</xdr:rowOff>
    </xdr:from>
    <xdr:to>
      <xdr:col>1</xdr:col>
      <xdr:colOff>295275</xdr:colOff>
      <xdr:row>696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19050</xdr:rowOff>
    </xdr:from>
    <xdr:to>
      <xdr:col>1</xdr:col>
      <xdr:colOff>0</xdr:colOff>
      <xdr:row>609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610</xdr:row>
      <xdr:rowOff>19050</xdr:rowOff>
    </xdr:from>
    <xdr:to>
      <xdr:col>1</xdr:col>
      <xdr:colOff>0</xdr:colOff>
      <xdr:row>610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19050</xdr:rowOff>
    </xdr:from>
    <xdr:to>
      <xdr:col>1</xdr:col>
      <xdr:colOff>0</xdr:colOff>
      <xdr:row>611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716</xdr:row>
      <xdr:rowOff>36168</xdr:rowOff>
    </xdr:from>
    <xdr:to>
      <xdr:col>22</xdr:col>
      <xdr:colOff>273705</xdr:colOff>
      <xdr:row>716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28575</xdr:rowOff>
    </xdr:from>
    <xdr:to>
      <xdr:col>1</xdr:col>
      <xdr:colOff>0</xdr:colOff>
      <xdr:row>334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28575</xdr:rowOff>
    </xdr:from>
    <xdr:to>
      <xdr:col>1</xdr:col>
      <xdr:colOff>0</xdr:colOff>
      <xdr:row>95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28575</xdr:rowOff>
    </xdr:from>
    <xdr:to>
      <xdr:col>1</xdr:col>
      <xdr:colOff>0</xdr:colOff>
      <xdr:row>419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28575</xdr:rowOff>
    </xdr:from>
    <xdr:to>
      <xdr:col>1</xdr:col>
      <xdr:colOff>0</xdr:colOff>
      <xdr:row>443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459</xdr:row>
      <xdr:rowOff>19050</xdr:rowOff>
    </xdr:from>
    <xdr:to>
      <xdr:col>24</xdr:col>
      <xdr:colOff>47625</xdr:colOff>
      <xdr:row>459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20292</xdr:rowOff>
    </xdr:from>
    <xdr:to>
      <xdr:col>24</xdr:col>
      <xdr:colOff>47625</xdr:colOff>
      <xdr:row>585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20292</xdr:rowOff>
    </xdr:from>
    <xdr:to>
      <xdr:col>24</xdr:col>
      <xdr:colOff>47625</xdr:colOff>
      <xdr:row>586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588</xdr:row>
      <xdr:rowOff>19050</xdr:rowOff>
    </xdr:from>
    <xdr:to>
      <xdr:col>24</xdr:col>
      <xdr:colOff>47625</xdr:colOff>
      <xdr:row>588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590</xdr:row>
      <xdr:rowOff>19050</xdr:rowOff>
    </xdr:from>
    <xdr:to>
      <xdr:col>24</xdr:col>
      <xdr:colOff>47625</xdr:colOff>
      <xdr:row>590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589</xdr:row>
      <xdr:rowOff>19050</xdr:rowOff>
    </xdr:from>
    <xdr:to>
      <xdr:col>24</xdr:col>
      <xdr:colOff>47625</xdr:colOff>
      <xdr:row>589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591</xdr:row>
      <xdr:rowOff>19050</xdr:rowOff>
    </xdr:from>
    <xdr:to>
      <xdr:col>24</xdr:col>
      <xdr:colOff>47625</xdr:colOff>
      <xdr:row>591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19050</xdr:rowOff>
    </xdr:from>
    <xdr:to>
      <xdr:col>24</xdr:col>
      <xdr:colOff>47625</xdr:colOff>
      <xdr:row>592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47625</xdr:colOff>
      <xdr:row>593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47625</xdr:colOff>
      <xdr:row>594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47625</xdr:colOff>
      <xdr:row>595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47625</xdr:colOff>
      <xdr:row>596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9525</xdr:rowOff>
    </xdr:from>
    <xdr:to>
      <xdr:col>24</xdr:col>
      <xdr:colOff>47625</xdr:colOff>
      <xdr:row>597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47625</xdr:colOff>
      <xdr:row>624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47625</xdr:colOff>
      <xdr:row>626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619</xdr:row>
      <xdr:rowOff>19050</xdr:rowOff>
    </xdr:from>
    <xdr:to>
      <xdr:col>24</xdr:col>
      <xdr:colOff>47625</xdr:colOff>
      <xdr:row>619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618</xdr:row>
      <xdr:rowOff>19050</xdr:rowOff>
    </xdr:from>
    <xdr:to>
      <xdr:col>24</xdr:col>
      <xdr:colOff>47625</xdr:colOff>
      <xdr:row>618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616</xdr:row>
      <xdr:rowOff>19050</xdr:rowOff>
    </xdr:from>
    <xdr:to>
      <xdr:col>24</xdr:col>
      <xdr:colOff>47625</xdr:colOff>
      <xdr:row>616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615</xdr:row>
      <xdr:rowOff>19050</xdr:rowOff>
    </xdr:from>
    <xdr:to>
      <xdr:col>24</xdr:col>
      <xdr:colOff>47625</xdr:colOff>
      <xdr:row>615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614</xdr:row>
      <xdr:rowOff>19050</xdr:rowOff>
    </xdr:from>
    <xdr:to>
      <xdr:col>24</xdr:col>
      <xdr:colOff>47625</xdr:colOff>
      <xdr:row>614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259</xdr:row>
      <xdr:rowOff>19050</xdr:rowOff>
    </xdr:from>
    <xdr:to>
      <xdr:col>26</xdr:col>
      <xdr:colOff>9524</xdr:colOff>
      <xdr:row>259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176</xdr:row>
      <xdr:rowOff>19050</xdr:rowOff>
    </xdr:from>
    <xdr:to>
      <xdr:col>26</xdr:col>
      <xdr:colOff>9524</xdr:colOff>
      <xdr:row>176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299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617</xdr:row>
      <xdr:rowOff>19050</xdr:rowOff>
    </xdr:from>
    <xdr:to>
      <xdr:col>24</xdr:col>
      <xdr:colOff>47625</xdr:colOff>
      <xdr:row>617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28575</xdr:rowOff>
    </xdr:from>
    <xdr:to>
      <xdr:col>1</xdr:col>
      <xdr:colOff>0</xdr:colOff>
      <xdr:row>338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573</xdr:row>
      <xdr:rowOff>19050</xdr:rowOff>
    </xdr:from>
    <xdr:to>
      <xdr:col>24</xdr:col>
      <xdr:colOff>47625</xdr:colOff>
      <xdr:row>573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19050</xdr:rowOff>
    </xdr:from>
    <xdr:to>
      <xdr:col>24</xdr:col>
      <xdr:colOff>47625</xdr:colOff>
      <xdr:row>574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218</xdr:row>
      <xdr:rowOff>19050</xdr:rowOff>
    </xdr:from>
    <xdr:to>
      <xdr:col>26</xdr:col>
      <xdr:colOff>9524</xdr:colOff>
      <xdr:row>218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47625</xdr:colOff>
      <xdr:row>293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587</xdr:row>
      <xdr:rowOff>19050</xdr:rowOff>
    </xdr:from>
    <xdr:to>
      <xdr:col>10</xdr:col>
      <xdr:colOff>1</xdr:colOff>
      <xdr:row>587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588</xdr:row>
      <xdr:rowOff>19050</xdr:rowOff>
    </xdr:from>
    <xdr:to>
      <xdr:col>10</xdr:col>
      <xdr:colOff>1</xdr:colOff>
      <xdr:row>588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589</xdr:row>
      <xdr:rowOff>19050</xdr:rowOff>
    </xdr:from>
    <xdr:to>
      <xdr:col>10</xdr:col>
      <xdr:colOff>1</xdr:colOff>
      <xdr:row>589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276</xdr:row>
      <xdr:rowOff>19050</xdr:rowOff>
    </xdr:from>
    <xdr:to>
      <xdr:col>25</xdr:col>
      <xdr:colOff>83819</xdr:colOff>
      <xdr:row>276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277</xdr:row>
      <xdr:rowOff>19050</xdr:rowOff>
    </xdr:from>
    <xdr:to>
      <xdr:col>25</xdr:col>
      <xdr:colOff>83819</xdr:colOff>
      <xdr:row>277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278</xdr:row>
      <xdr:rowOff>19050</xdr:rowOff>
    </xdr:from>
    <xdr:to>
      <xdr:col>25</xdr:col>
      <xdr:colOff>83819</xdr:colOff>
      <xdr:row>278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279</xdr:row>
      <xdr:rowOff>19050</xdr:rowOff>
    </xdr:from>
    <xdr:to>
      <xdr:col>25</xdr:col>
      <xdr:colOff>83819</xdr:colOff>
      <xdr:row>279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630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246</xdr:row>
      <xdr:rowOff>19050</xdr:rowOff>
    </xdr:from>
    <xdr:to>
      <xdr:col>24</xdr:col>
      <xdr:colOff>47624</xdr:colOff>
      <xdr:row>246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258</xdr:row>
      <xdr:rowOff>19050</xdr:rowOff>
    </xdr:from>
    <xdr:to>
      <xdr:col>26</xdr:col>
      <xdr:colOff>9524</xdr:colOff>
      <xdr:row>258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323</xdr:row>
      <xdr:rowOff>19050</xdr:rowOff>
    </xdr:from>
    <xdr:to>
      <xdr:col>26</xdr:col>
      <xdr:colOff>9524</xdr:colOff>
      <xdr:row>323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342</xdr:row>
      <xdr:rowOff>19050</xdr:rowOff>
    </xdr:from>
    <xdr:to>
      <xdr:col>26</xdr:col>
      <xdr:colOff>9524</xdr:colOff>
      <xdr:row>342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263</xdr:row>
      <xdr:rowOff>19050</xdr:rowOff>
    </xdr:from>
    <xdr:to>
      <xdr:col>26</xdr:col>
      <xdr:colOff>9524</xdr:colOff>
      <xdr:row>263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579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213</xdr:row>
      <xdr:rowOff>28575</xdr:rowOff>
    </xdr:from>
    <xdr:to>
      <xdr:col>1</xdr:col>
      <xdr:colOff>0</xdr:colOff>
      <xdr:row>213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621</xdr:row>
      <xdr:rowOff>19050</xdr:rowOff>
    </xdr:from>
    <xdr:to>
      <xdr:col>10</xdr:col>
      <xdr:colOff>1</xdr:colOff>
      <xdr:row>621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622</xdr:row>
      <xdr:rowOff>19050</xdr:rowOff>
    </xdr:from>
    <xdr:to>
      <xdr:col>10</xdr:col>
      <xdr:colOff>1</xdr:colOff>
      <xdr:row>622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623</xdr:row>
      <xdr:rowOff>19050</xdr:rowOff>
    </xdr:from>
    <xdr:to>
      <xdr:col>10</xdr:col>
      <xdr:colOff>1</xdr:colOff>
      <xdr:row>623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1748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297</xdr:row>
      <xdr:rowOff>19050</xdr:rowOff>
    </xdr:from>
    <xdr:to>
      <xdr:col>24</xdr:col>
      <xdr:colOff>47625</xdr:colOff>
      <xdr:row>297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297</xdr:row>
      <xdr:rowOff>19050</xdr:rowOff>
    </xdr:from>
    <xdr:to>
      <xdr:col>25</xdr:col>
      <xdr:colOff>74294</xdr:colOff>
      <xdr:row>297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273</xdr:row>
      <xdr:rowOff>19050</xdr:rowOff>
    </xdr:from>
    <xdr:to>
      <xdr:col>25</xdr:col>
      <xdr:colOff>83819</xdr:colOff>
      <xdr:row>273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526</xdr:row>
      <xdr:rowOff>19050</xdr:rowOff>
    </xdr:from>
    <xdr:to>
      <xdr:col>24</xdr:col>
      <xdr:colOff>75821</xdr:colOff>
      <xdr:row>526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453</xdr:row>
      <xdr:rowOff>19050</xdr:rowOff>
    </xdr:from>
    <xdr:to>
      <xdr:col>24</xdr:col>
      <xdr:colOff>75821</xdr:colOff>
      <xdr:row>453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524</xdr:row>
      <xdr:rowOff>19050</xdr:rowOff>
    </xdr:from>
    <xdr:to>
      <xdr:col>24</xdr:col>
      <xdr:colOff>75821</xdr:colOff>
      <xdr:row>524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182</xdr:row>
      <xdr:rowOff>19050</xdr:rowOff>
    </xdr:from>
    <xdr:to>
      <xdr:col>26</xdr:col>
      <xdr:colOff>9524</xdr:colOff>
      <xdr:row>182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261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289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239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459</xdr:row>
      <xdr:rowOff>19050</xdr:rowOff>
    </xdr:from>
    <xdr:to>
      <xdr:col>10</xdr:col>
      <xdr:colOff>1</xdr:colOff>
      <xdr:row>459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445</xdr:row>
      <xdr:rowOff>19050</xdr:rowOff>
    </xdr:from>
    <xdr:to>
      <xdr:col>11</xdr:col>
      <xdr:colOff>0</xdr:colOff>
      <xdr:row>445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19050</xdr:rowOff>
    </xdr:from>
    <xdr:to>
      <xdr:col>11</xdr:col>
      <xdr:colOff>0</xdr:colOff>
      <xdr:row>446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447</xdr:row>
      <xdr:rowOff>19050</xdr:rowOff>
    </xdr:from>
    <xdr:to>
      <xdr:col>11</xdr:col>
      <xdr:colOff>0</xdr:colOff>
      <xdr:row>447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19050</xdr:rowOff>
    </xdr:from>
    <xdr:to>
      <xdr:col>11</xdr:col>
      <xdr:colOff>0</xdr:colOff>
      <xdr:row>448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240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255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487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19050</xdr:rowOff>
    </xdr:from>
    <xdr:to>
      <xdr:col>10</xdr:col>
      <xdr:colOff>2173</xdr:colOff>
      <xdr:row>90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348</xdr:row>
      <xdr:rowOff>16566</xdr:rowOff>
    </xdr:from>
    <xdr:to>
      <xdr:col>24</xdr:col>
      <xdr:colOff>46383</xdr:colOff>
      <xdr:row>348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271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271</xdr:row>
      <xdr:rowOff>16566</xdr:rowOff>
    </xdr:from>
    <xdr:to>
      <xdr:col>25</xdr:col>
      <xdr:colOff>82577</xdr:colOff>
      <xdr:row>271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48</xdr:row>
      <xdr:rowOff>19050</xdr:rowOff>
    </xdr:from>
    <xdr:to>
      <xdr:col>13</xdr:col>
      <xdr:colOff>9524</xdr:colOff>
      <xdr:row>48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672</xdr:row>
      <xdr:rowOff>19050</xdr:rowOff>
    </xdr:from>
    <xdr:to>
      <xdr:col>13</xdr:col>
      <xdr:colOff>1</xdr:colOff>
      <xdr:row>672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673</xdr:row>
      <xdr:rowOff>19050</xdr:rowOff>
    </xdr:from>
    <xdr:to>
      <xdr:col>13</xdr:col>
      <xdr:colOff>1</xdr:colOff>
      <xdr:row>673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674</xdr:row>
      <xdr:rowOff>19050</xdr:rowOff>
    </xdr:from>
    <xdr:to>
      <xdr:col>13</xdr:col>
      <xdr:colOff>1</xdr:colOff>
      <xdr:row>674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358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146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525</xdr:row>
      <xdr:rowOff>19050</xdr:rowOff>
    </xdr:from>
    <xdr:to>
      <xdr:col>24</xdr:col>
      <xdr:colOff>75821</xdr:colOff>
      <xdr:row>525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77200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357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22</xdr:row>
      <xdr:rowOff>19050</xdr:rowOff>
    </xdr:from>
    <xdr:to>
      <xdr:col>9</xdr:col>
      <xdr:colOff>12838</xdr:colOff>
      <xdr:row>22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410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381</xdr:row>
      <xdr:rowOff>28575</xdr:rowOff>
    </xdr:from>
    <xdr:to>
      <xdr:col>1</xdr:col>
      <xdr:colOff>0</xdr:colOff>
      <xdr:row>381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47624</xdr:colOff>
      <xdr:row>273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47624</xdr:colOff>
      <xdr:row>274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291</xdr:row>
      <xdr:rowOff>19050</xdr:rowOff>
    </xdr:from>
    <xdr:to>
      <xdr:col>24</xdr:col>
      <xdr:colOff>47624</xdr:colOff>
      <xdr:row>291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393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392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605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607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49180</xdr:colOff>
      <xdr:row>611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49180</xdr:colOff>
      <xdr:row>610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49180</xdr:colOff>
      <xdr:row>609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605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634</xdr:row>
      <xdr:rowOff>19050</xdr:rowOff>
    </xdr:from>
    <xdr:to>
      <xdr:col>24</xdr:col>
      <xdr:colOff>47625</xdr:colOff>
      <xdr:row>634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635</xdr:row>
      <xdr:rowOff>19050</xdr:rowOff>
    </xdr:from>
    <xdr:to>
      <xdr:col>24</xdr:col>
      <xdr:colOff>49180</xdr:colOff>
      <xdr:row>635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646</xdr:row>
      <xdr:rowOff>19050</xdr:rowOff>
    </xdr:from>
    <xdr:to>
      <xdr:col>24</xdr:col>
      <xdr:colOff>49180</xdr:colOff>
      <xdr:row>646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636</xdr:row>
      <xdr:rowOff>19050</xdr:rowOff>
    </xdr:from>
    <xdr:to>
      <xdr:col>24</xdr:col>
      <xdr:colOff>49180</xdr:colOff>
      <xdr:row>636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647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632</xdr:row>
      <xdr:rowOff>19050</xdr:rowOff>
    </xdr:from>
    <xdr:to>
      <xdr:col>24</xdr:col>
      <xdr:colOff>49180</xdr:colOff>
      <xdr:row>632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633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629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551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552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553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602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269</xdr:row>
      <xdr:rowOff>19050</xdr:rowOff>
    </xdr:from>
    <xdr:to>
      <xdr:col>18</xdr:col>
      <xdr:colOff>9526</xdr:colOff>
      <xdr:row>269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9526</xdr:colOff>
      <xdr:row>24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212</xdr:row>
      <xdr:rowOff>19050</xdr:rowOff>
    </xdr:from>
    <xdr:to>
      <xdr:col>24</xdr:col>
      <xdr:colOff>75821</xdr:colOff>
      <xdr:row>212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47624</xdr:colOff>
      <xdr:row>209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286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195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128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614</xdr:row>
      <xdr:rowOff>19050</xdr:rowOff>
    </xdr:from>
    <xdr:to>
      <xdr:col>10</xdr:col>
      <xdr:colOff>1</xdr:colOff>
      <xdr:row>614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613</xdr:row>
      <xdr:rowOff>19050</xdr:rowOff>
    </xdr:from>
    <xdr:to>
      <xdr:col>10</xdr:col>
      <xdr:colOff>1</xdr:colOff>
      <xdr:row>613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298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298</xdr:row>
      <xdr:rowOff>28575</xdr:rowOff>
    </xdr:from>
    <xdr:ext cx="342900" cy="104775"/>
    <xdr:pic>
      <xdr:nvPicPr>
        <xdr:cNvPr id="1241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349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349</xdr:row>
      <xdr:rowOff>28575</xdr:rowOff>
    </xdr:from>
    <xdr:ext cx="342900" cy="104775"/>
    <xdr:pic>
      <xdr:nvPicPr>
        <xdr:cNvPr id="128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344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338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339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351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351</xdr:row>
      <xdr:rowOff>28575</xdr:rowOff>
    </xdr:from>
    <xdr:ext cx="342900" cy="104775"/>
    <xdr:pic>
      <xdr:nvPicPr>
        <xdr:cNvPr id="103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245</xdr:row>
      <xdr:rowOff>19050</xdr:rowOff>
    </xdr:from>
    <xdr:to>
      <xdr:col>24</xdr:col>
      <xdr:colOff>47625</xdr:colOff>
      <xdr:row>245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47624</xdr:colOff>
      <xdr:row>432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47624</xdr:colOff>
      <xdr:row>431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385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360</xdr:row>
      <xdr:rowOff>19050</xdr:rowOff>
    </xdr:from>
    <xdr:to>
      <xdr:col>24</xdr:col>
      <xdr:colOff>47624</xdr:colOff>
      <xdr:row>360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322</xdr:row>
      <xdr:rowOff>19050</xdr:rowOff>
    </xdr:from>
    <xdr:to>
      <xdr:col>24</xdr:col>
      <xdr:colOff>47624</xdr:colOff>
      <xdr:row>322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554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8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88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28575</xdr:rowOff>
    </xdr:from>
    <xdr:to>
      <xdr:col>1</xdr:col>
      <xdr:colOff>0</xdr:colOff>
      <xdr:row>294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28575</xdr:rowOff>
    </xdr:from>
    <xdr:to>
      <xdr:col>1</xdr:col>
      <xdr:colOff>0</xdr:colOff>
      <xdr:row>356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399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399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19150" cy="123825"/>
    <xdr:pic>
      <xdr:nvPicPr>
        <xdr:cNvPr id="90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83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19150" cy="123825"/>
    <xdr:pic>
      <xdr:nvPicPr>
        <xdr:cNvPr id="91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80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84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5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643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644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256</xdr:row>
      <xdr:rowOff>28575</xdr:rowOff>
    </xdr:from>
    <xdr:ext cx="342900" cy="104775"/>
    <xdr:pic>
      <xdr:nvPicPr>
        <xdr:cNvPr id="85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1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326</xdr:row>
      <xdr:rowOff>28575</xdr:rowOff>
    </xdr:from>
    <xdr:ext cx="342900" cy="104775"/>
    <xdr:pic>
      <xdr:nvPicPr>
        <xdr:cNvPr id="85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275</xdr:row>
      <xdr:rowOff>19050</xdr:rowOff>
    </xdr:from>
    <xdr:to>
      <xdr:col>25</xdr:col>
      <xdr:colOff>83819</xdr:colOff>
      <xdr:row>275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564</xdr:row>
      <xdr:rowOff>28575</xdr:rowOff>
    </xdr:from>
    <xdr:ext cx="342900" cy="104775"/>
    <xdr:pic>
      <xdr:nvPicPr>
        <xdr:cNvPr id="84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608</xdr:row>
      <xdr:rowOff>28575</xdr:rowOff>
    </xdr:from>
    <xdr:ext cx="342900" cy="104775"/>
    <xdr:pic>
      <xdr:nvPicPr>
        <xdr:cNvPr id="84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44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843" name="Imagen 8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552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855" name="Imagen 8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241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241</xdr:row>
      <xdr:rowOff>28575</xdr:rowOff>
    </xdr:from>
    <xdr:ext cx="342900" cy="104775"/>
    <xdr:pic>
      <xdr:nvPicPr>
        <xdr:cNvPr id="89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28575</xdr:rowOff>
    </xdr:from>
    <xdr:ext cx="342900" cy="104775"/>
    <xdr:pic>
      <xdr:nvPicPr>
        <xdr:cNvPr id="94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2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95250</xdr:colOff>
      <xdr:row>606</xdr:row>
      <xdr:rowOff>19050</xdr:rowOff>
    </xdr:from>
    <xdr:to>
      <xdr:col>26</xdr:col>
      <xdr:colOff>38100</xdr:colOff>
      <xdr:row>606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91687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628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370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370</xdr:row>
      <xdr:rowOff>28575</xdr:rowOff>
    </xdr:from>
    <xdr:ext cx="342900" cy="104775"/>
    <xdr:pic>
      <xdr:nvPicPr>
        <xdr:cNvPr id="102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369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369</xdr:row>
      <xdr:rowOff>28575</xdr:rowOff>
    </xdr:from>
    <xdr:ext cx="342900" cy="104775"/>
    <xdr:pic>
      <xdr:nvPicPr>
        <xdr:cNvPr id="103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9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49" cy="123825"/>
    <xdr:pic>
      <xdr:nvPicPr>
        <xdr:cNvPr id="10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5664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0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517</xdr:row>
      <xdr:rowOff>19050</xdr:rowOff>
    </xdr:from>
    <xdr:to>
      <xdr:col>8</xdr:col>
      <xdr:colOff>368046</xdr:colOff>
      <xdr:row>517</xdr:row>
      <xdr:rowOff>140970</xdr:rowOff>
    </xdr:to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79552800"/>
          <a:ext cx="76809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517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531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248</xdr:row>
      <xdr:rowOff>19050</xdr:rowOff>
    </xdr:from>
    <xdr:to>
      <xdr:col>8</xdr:col>
      <xdr:colOff>181168</xdr:colOff>
      <xdr:row>248</xdr:row>
      <xdr:rowOff>142875</xdr:rowOff>
    </xdr:to>
    <xdr:pic>
      <xdr:nvPicPr>
        <xdr:cNvPr id="95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839527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518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520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528</xdr:row>
      <xdr:rowOff>28575</xdr:rowOff>
    </xdr:from>
    <xdr:ext cx="342900" cy="104775"/>
    <xdr:pic>
      <xdr:nvPicPr>
        <xdr:cNvPr id="106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3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383</xdr:row>
      <xdr:rowOff>28575</xdr:rowOff>
    </xdr:from>
    <xdr:ext cx="342900" cy="104775"/>
    <xdr:pic>
      <xdr:nvPicPr>
        <xdr:cNvPr id="10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260</xdr:row>
      <xdr:rowOff>19050</xdr:rowOff>
    </xdr:from>
    <xdr:to>
      <xdr:col>8</xdr:col>
      <xdr:colOff>181168</xdr:colOff>
      <xdr:row>260</xdr:row>
      <xdr:rowOff>142875</xdr:rowOff>
    </xdr:to>
    <xdr:pic>
      <xdr:nvPicPr>
        <xdr:cNvPr id="1048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022407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292</xdr:row>
      <xdr:rowOff>19050</xdr:rowOff>
    </xdr:from>
    <xdr:to>
      <xdr:col>24</xdr:col>
      <xdr:colOff>47625</xdr:colOff>
      <xdr:row>292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28575</xdr:rowOff>
    </xdr:from>
    <xdr:to>
      <xdr:col>25</xdr:col>
      <xdr:colOff>83819</xdr:colOff>
      <xdr:row>290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290</xdr:row>
      <xdr:rowOff>19050</xdr:rowOff>
    </xdr:from>
    <xdr:to>
      <xdr:col>24</xdr:col>
      <xdr:colOff>47625</xdr:colOff>
      <xdr:row>290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51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93" TargetMode="External"/><Relationship Id="rId531" Type="http://schemas.openxmlformats.org/officeDocument/2006/relationships/hyperlink" Target="https://www.jivi.com.ar/ficha.php?id=1451" TargetMode="External"/><Relationship Id="rId170" Type="http://schemas.openxmlformats.org/officeDocument/2006/relationships/hyperlink" Target="https://www.jivi.com.ar/ficha.php?id=885" TargetMode="External"/><Relationship Id="rId268" Type="http://schemas.openxmlformats.org/officeDocument/2006/relationships/hyperlink" Target="https://www.jivi.com.ar/ficha.php?id=1413" TargetMode="External"/><Relationship Id="rId475" Type="http://schemas.openxmlformats.org/officeDocument/2006/relationships/hyperlink" Target="https://www.jivi.com.ar/ficha.php?id=977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62" TargetMode="External"/><Relationship Id="rId335" Type="http://schemas.openxmlformats.org/officeDocument/2006/relationships/hyperlink" Target="https://www.jivi.com.ar/ficha.php?id=1506" TargetMode="External"/><Relationship Id="rId542" Type="http://schemas.openxmlformats.org/officeDocument/2006/relationships/hyperlink" Target="https://www.jivi.com.ar/ficha.php?id=1774" TargetMode="External"/><Relationship Id="rId181" Type="http://schemas.openxmlformats.org/officeDocument/2006/relationships/hyperlink" Target="https://www.jivi.com.ar/ficha.php?id=1156" TargetMode="External"/><Relationship Id="rId402" Type="http://schemas.openxmlformats.org/officeDocument/2006/relationships/hyperlink" Target="https://www.jivi.com.ar/ficha.php?id=1587" TargetMode="External"/><Relationship Id="rId279" Type="http://schemas.openxmlformats.org/officeDocument/2006/relationships/hyperlink" Target="https://www.jivi.com.ar/ficha.php?id=1423" TargetMode="External"/><Relationship Id="rId486" Type="http://schemas.openxmlformats.org/officeDocument/2006/relationships/hyperlink" Target="https://www.jivi.com.ar/ficha.php?id=1729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48" TargetMode="External"/><Relationship Id="rId346" Type="http://schemas.openxmlformats.org/officeDocument/2006/relationships/hyperlink" Target="https://www.jivi.com.ar/ficha.php?id=1532" TargetMode="External"/><Relationship Id="rId553" Type="http://schemas.openxmlformats.org/officeDocument/2006/relationships/hyperlink" Target="https://www.jivi.com.ar/ficha.php?id=1152" TargetMode="External"/><Relationship Id="rId192" Type="http://schemas.openxmlformats.org/officeDocument/2006/relationships/hyperlink" Target="https://www.jivi.com.ar/ficha.php?id=349" TargetMode="External"/><Relationship Id="rId206" Type="http://schemas.openxmlformats.org/officeDocument/2006/relationships/hyperlink" Target="https://www.jivi.com.ar/ficha.php?id=1060" TargetMode="External"/><Relationship Id="rId413" Type="http://schemas.openxmlformats.org/officeDocument/2006/relationships/hyperlink" Target="https://www.jivi.com.ar/ficha.php?id=1599" TargetMode="External"/><Relationship Id="rId497" Type="http://schemas.openxmlformats.org/officeDocument/2006/relationships/hyperlink" Target="https://www.jivi.com.ar/ficha.php?id=1745" TargetMode="External"/><Relationship Id="rId357" Type="http://schemas.openxmlformats.org/officeDocument/2006/relationships/hyperlink" Target="https://www.jivi.com.ar/ficha.php?id=981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277" TargetMode="External"/><Relationship Id="rId564" Type="http://schemas.openxmlformats.org/officeDocument/2006/relationships/hyperlink" Target="https://www.jivi.com.ar/ficha.php?id=1530" TargetMode="External"/><Relationship Id="rId424" Type="http://schemas.openxmlformats.org/officeDocument/2006/relationships/hyperlink" Target="https://www.jivi.com.ar/ficha.php?id=1274" TargetMode="External"/><Relationship Id="rId270" Type="http://schemas.openxmlformats.org/officeDocument/2006/relationships/hyperlink" Target="https://www.jivi.com.ar/ficha.php?id=1356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82" TargetMode="External"/><Relationship Id="rId368" Type="http://schemas.openxmlformats.org/officeDocument/2006/relationships/hyperlink" Target="https://www.jivi.com.ar/ficha.php?id=1558" TargetMode="External"/><Relationship Id="rId575" Type="http://schemas.openxmlformats.org/officeDocument/2006/relationships/hyperlink" Target="https://www.jivi.com.ar/ficha.php?id=1912" TargetMode="External"/><Relationship Id="rId228" Type="http://schemas.openxmlformats.org/officeDocument/2006/relationships/hyperlink" Target="https://www.jivi.com.ar/ficha.php?id=1314" TargetMode="External"/><Relationship Id="rId435" Type="http://schemas.openxmlformats.org/officeDocument/2006/relationships/hyperlink" Target="https://www.jivi.com.ar/ficha.php?id=1620" TargetMode="External"/><Relationship Id="rId281" Type="http://schemas.openxmlformats.org/officeDocument/2006/relationships/hyperlink" Target="https://www.jivi.com.ar/ficha.php?id=1426" TargetMode="External"/><Relationship Id="rId502" Type="http://schemas.openxmlformats.org/officeDocument/2006/relationships/hyperlink" Target="https://www.jivi.com.ar/ficha.php?id=1787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55" TargetMode="External"/><Relationship Id="rId379" Type="http://schemas.openxmlformats.org/officeDocument/2006/relationships/hyperlink" Target="https://www.jivi.com.ar/ficha.php?id=1408" TargetMode="External"/><Relationship Id="rId544" Type="http://schemas.openxmlformats.org/officeDocument/2006/relationships/hyperlink" Target="https://www.jivi.com.ar/ficha.php?id=1544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68" TargetMode="External"/><Relationship Id="rId239" Type="http://schemas.openxmlformats.org/officeDocument/2006/relationships/hyperlink" Target="https://www.jivi.com.ar/registro.php" TargetMode="External"/><Relationship Id="rId390" Type="http://schemas.openxmlformats.org/officeDocument/2006/relationships/hyperlink" Target="https://www.jivi.com.ar/ficha.php?id=1294" TargetMode="External"/><Relationship Id="rId404" Type="http://schemas.openxmlformats.org/officeDocument/2006/relationships/hyperlink" Target="https://www.jivi.com.ar/ficha.php?id=1588" TargetMode="External"/><Relationship Id="rId446" Type="http://schemas.openxmlformats.org/officeDocument/2006/relationships/hyperlink" Target="https://www.jivi.com.ar/ficha.php?id=1639" TargetMode="External"/><Relationship Id="rId250" Type="http://schemas.openxmlformats.org/officeDocument/2006/relationships/hyperlink" Target="https://www.jivi.com.ar/ficha.php?id=363" TargetMode="External"/><Relationship Id="rId292" Type="http://schemas.openxmlformats.org/officeDocument/2006/relationships/hyperlink" Target="https://www.jivi.com.ar/ficha.php?id=1056" TargetMode="External"/><Relationship Id="rId306" Type="http://schemas.openxmlformats.org/officeDocument/2006/relationships/hyperlink" Target="https://www.jivi.com.ar/ficha.php?id=1466" TargetMode="External"/><Relationship Id="rId488" Type="http://schemas.openxmlformats.org/officeDocument/2006/relationships/hyperlink" Target="https://www.jivi.com.ar/ficha.php?id=1731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35" TargetMode="External"/><Relationship Id="rId513" Type="http://schemas.openxmlformats.org/officeDocument/2006/relationships/hyperlink" Target="https://www.jivi.com.ar/ficha.php?id=1710" TargetMode="External"/><Relationship Id="rId555" Type="http://schemas.openxmlformats.org/officeDocument/2006/relationships/hyperlink" Target="https://www.jivi.com.ar/ficha.php?id=1077" TargetMode="External"/><Relationship Id="rId152" Type="http://schemas.openxmlformats.org/officeDocument/2006/relationships/hyperlink" Target="https://www.jivi.com.ar/ficha.php?id=647" TargetMode="External"/><Relationship Id="rId194" Type="http://schemas.openxmlformats.org/officeDocument/2006/relationships/hyperlink" Target="https://www.jivi.com.ar/ficha.php?id=1181" TargetMode="External"/><Relationship Id="rId208" Type="http://schemas.openxmlformats.org/officeDocument/2006/relationships/hyperlink" Target="https://www.jivi.com.ar/ficha.php?id=883" TargetMode="External"/><Relationship Id="rId415" Type="http://schemas.openxmlformats.org/officeDocument/2006/relationships/hyperlink" Target="https://www.jivi.com.ar/ficha.php?id=1603" TargetMode="External"/><Relationship Id="rId457" Type="http://schemas.openxmlformats.org/officeDocument/2006/relationships/hyperlink" Target="https://www.jivi.com.ar/ficha.php?id=1667" TargetMode="External"/><Relationship Id="rId261" Type="http://schemas.openxmlformats.org/officeDocument/2006/relationships/hyperlink" Target="https://www.jivi.com.ar/ficha.php?id=1110" TargetMode="External"/><Relationship Id="rId499" Type="http://schemas.openxmlformats.org/officeDocument/2006/relationships/hyperlink" Target="https://www.jivi.com.ar/ficha.php?id=1747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79" TargetMode="External"/><Relationship Id="rId359" Type="http://schemas.openxmlformats.org/officeDocument/2006/relationships/hyperlink" Target="https://www.jivi.com.ar/ficha.php?id=1549" TargetMode="External"/><Relationship Id="rId524" Type="http://schemas.openxmlformats.org/officeDocument/2006/relationships/hyperlink" Target="https://www.jivi.com.ar/ficha.php?id=1186" TargetMode="External"/><Relationship Id="rId566" Type="http://schemas.openxmlformats.org/officeDocument/2006/relationships/hyperlink" Target="https://www.jivi.com.ar/ficha.php?id=1380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707" TargetMode="External"/><Relationship Id="rId163" Type="http://schemas.openxmlformats.org/officeDocument/2006/relationships/hyperlink" Target="https://www.jivi.com.ar/ficha.php?id=1090" TargetMode="External"/><Relationship Id="rId219" Type="http://schemas.openxmlformats.org/officeDocument/2006/relationships/hyperlink" Target="https://www.jivi.com.ar/ficha.php?id=378" TargetMode="External"/><Relationship Id="rId370" Type="http://schemas.openxmlformats.org/officeDocument/2006/relationships/hyperlink" Target="https://www.jivi.com.ar/ficha.php?id=1561" TargetMode="External"/><Relationship Id="rId426" Type="http://schemas.openxmlformats.org/officeDocument/2006/relationships/hyperlink" Target="https://www.jivi.com.ar/ficha.php?id=1611" TargetMode="External"/><Relationship Id="rId230" Type="http://schemas.openxmlformats.org/officeDocument/2006/relationships/hyperlink" Target="https://www.jivi.com.ar/ficha.php?id=1344" TargetMode="External"/><Relationship Id="rId468" Type="http://schemas.openxmlformats.org/officeDocument/2006/relationships/hyperlink" Target="https://www.jivi.com.ar/ficha.php?id=1698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353" TargetMode="External"/><Relationship Id="rId328" Type="http://schemas.openxmlformats.org/officeDocument/2006/relationships/hyperlink" Target="https://www.jivi.com.ar/ficha.php?id=1497" TargetMode="External"/><Relationship Id="rId535" Type="http://schemas.openxmlformats.org/officeDocument/2006/relationships/hyperlink" Target="https://www.jivi.com.ar/ficha.php?id=1342" TargetMode="External"/><Relationship Id="rId577" Type="http://schemas.openxmlformats.org/officeDocument/2006/relationships/printerSettings" Target="../printerSettings/printerSettings1.bin"/><Relationship Id="rId132" Type="http://schemas.openxmlformats.org/officeDocument/2006/relationships/hyperlink" Target="https://www.jivi.com.ar/ficha.php?id=903" TargetMode="External"/><Relationship Id="rId174" Type="http://schemas.openxmlformats.org/officeDocument/2006/relationships/hyperlink" Target="https://www.jivi.com.ar/ficha.php?id=1119" TargetMode="External"/><Relationship Id="rId381" Type="http://schemas.openxmlformats.org/officeDocument/2006/relationships/hyperlink" Target="https://www.jivi.com.ar/ficha.php?id=1434" TargetMode="External"/><Relationship Id="rId241" Type="http://schemas.openxmlformats.org/officeDocument/2006/relationships/hyperlink" Target="https://www.jivi.com.ar/ficha.php?id=1372" TargetMode="External"/><Relationship Id="rId437" Type="http://schemas.openxmlformats.org/officeDocument/2006/relationships/hyperlink" Target="https://www.jivi.com.ar/ficha.php?id=1204" TargetMode="External"/><Relationship Id="rId479" Type="http://schemas.openxmlformats.org/officeDocument/2006/relationships/hyperlink" Target="https://www.jivi.com.ar/ficha.php?id=1708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31" TargetMode="External"/><Relationship Id="rId339" Type="http://schemas.openxmlformats.org/officeDocument/2006/relationships/hyperlink" Target="https://www.jivi.com.ar/ficha.php?id=1511" TargetMode="External"/><Relationship Id="rId490" Type="http://schemas.openxmlformats.org/officeDocument/2006/relationships/hyperlink" Target="https://www.jivi.com.ar/ficha.php?id=1734" TargetMode="External"/><Relationship Id="rId504" Type="http://schemas.openxmlformats.org/officeDocument/2006/relationships/hyperlink" Target="https://www.jivi.com.ar/ficha.php?id=1751" TargetMode="External"/><Relationship Id="rId546" Type="http://schemas.openxmlformats.org/officeDocument/2006/relationships/hyperlink" Target="https://www.jivi.com.ar/ficha.php?id=1556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57" TargetMode="External"/><Relationship Id="rId185" Type="http://schemas.openxmlformats.org/officeDocument/2006/relationships/hyperlink" Target="https://www.jivi.com.ar/ficha.php?id=975" TargetMode="External"/><Relationship Id="rId350" Type="http://schemas.openxmlformats.org/officeDocument/2006/relationships/hyperlink" Target="https://www.jivi.com.ar/ficha.php?id=1539" TargetMode="External"/><Relationship Id="rId406" Type="http://schemas.openxmlformats.org/officeDocument/2006/relationships/hyperlink" Target="https://www.jivi.com.ar/ficha.php?id=1590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jivi.com.ar/ficha.php?id=89" TargetMode="External"/><Relationship Id="rId392" Type="http://schemas.openxmlformats.org/officeDocument/2006/relationships/hyperlink" Target="https://www.jivi.com.ar/ficha.php?id=1296" TargetMode="External"/><Relationship Id="rId448" Type="http://schemas.openxmlformats.org/officeDocument/2006/relationships/hyperlink" Target="https://www.jivi.com.ar/ficha.php?id=1652" TargetMode="External"/><Relationship Id="rId252" Type="http://schemas.openxmlformats.org/officeDocument/2006/relationships/hyperlink" Target="https://www.jivi.com.ar/ficha.php?id=1343" TargetMode="External"/><Relationship Id="rId294" Type="http://schemas.openxmlformats.org/officeDocument/2006/relationships/hyperlink" Target="https://www.jivi.com.ar/ficha.php?id=1335" TargetMode="External"/><Relationship Id="rId308" Type="http://schemas.openxmlformats.org/officeDocument/2006/relationships/hyperlink" Target="https://www.jivi.com.ar/ficha.php?id=1468" TargetMode="External"/><Relationship Id="rId515" Type="http://schemas.openxmlformats.org/officeDocument/2006/relationships/hyperlink" Target="https://www.jivi.com.ar/ficha.php?id=1737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1052" TargetMode="External"/><Relationship Id="rId361" Type="http://schemas.openxmlformats.org/officeDocument/2006/relationships/hyperlink" Target="https://www.jivi.com.ar/ficha.php?id=1552" TargetMode="External"/><Relationship Id="rId557" Type="http://schemas.openxmlformats.org/officeDocument/2006/relationships/hyperlink" Target="https://www.jivi.com.ar/ficha.php?id=1616" TargetMode="External"/><Relationship Id="rId196" Type="http://schemas.openxmlformats.org/officeDocument/2006/relationships/hyperlink" Target="https://www.jivi.com.ar/ficha.php?id=1218" TargetMode="External"/><Relationship Id="rId417" Type="http://schemas.openxmlformats.org/officeDocument/2006/relationships/hyperlink" Target="https://www.jivi.com.ar/ficha.php?id=1604" TargetMode="External"/><Relationship Id="rId459" Type="http://schemas.openxmlformats.org/officeDocument/2006/relationships/hyperlink" Target="https://www.jivi.com.ar/ficha.php?id=1272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02" TargetMode="External"/><Relationship Id="rId263" Type="http://schemas.openxmlformats.org/officeDocument/2006/relationships/hyperlink" Target="https://www.jivi.com.ar/ficha.php?id=477" TargetMode="External"/><Relationship Id="rId319" Type="http://schemas.openxmlformats.org/officeDocument/2006/relationships/hyperlink" Target="https://www.jivi.com.ar/ficha.php?id=1481" TargetMode="External"/><Relationship Id="rId470" Type="http://schemas.openxmlformats.org/officeDocument/2006/relationships/hyperlink" Target="https://www.jivi.com.ar/ficha.php?id=1510" TargetMode="External"/><Relationship Id="rId526" Type="http://schemas.openxmlformats.org/officeDocument/2006/relationships/hyperlink" Target="https://www.jivi.com.ar/ficha.php?id=1319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709" TargetMode="External"/><Relationship Id="rId330" Type="http://schemas.openxmlformats.org/officeDocument/2006/relationships/hyperlink" Target="https://www.jivi.com.ar/ficha.php?id=1499" TargetMode="External"/><Relationship Id="rId568" Type="http://schemas.openxmlformats.org/officeDocument/2006/relationships/hyperlink" Target="https://www.jivi.com.ar/ficha.php?id=1840" TargetMode="External"/><Relationship Id="rId165" Type="http://schemas.openxmlformats.org/officeDocument/2006/relationships/hyperlink" Target="https://www.jivi.com.ar/ficha.php?id=1095" TargetMode="External"/><Relationship Id="rId372" Type="http://schemas.openxmlformats.org/officeDocument/2006/relationships/hyperlink" Target="https://www.jivi.com.ar/ficha.php?id=1066" TargetMode="External"/><Relationship Id="rId428" Type="http://schemas.openxmlformats.org/officeDocument/2006/relationships/hyperlink" Target="https://www.jivi.com.ar/ficha.php?id=1614" TargetMode="External"/><Relationship Id="rId232" Type="http://schemas.openxmlformats.org/officeDocument/2006/relationships/hyperlink" Target="https://www.jivi.com.ar/ficha.php?id=1346" TargetMode="External"/><Relationship Id="rId274" Type="http://schemas.openxmlformats.org/officeDocument/2006/relationships/hyperlink" Target="https://www.jivi.com.ar/ficha.php?id=1418" TargetMode="External"/><Relationship Id="rId481" Type="http://schemas.openxmlformats.org/officeDocument/2006/relationships/hyperlink" Target="https://www.jivi.com.ar/ficha.php?id=1722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16" TargetMode="External"/><Relationship Id="rId537" Type="http://schemas.openxmlformats.org/officeDocument/2006/relationships/hyperlink" Target="https://www.jivi.com.ar/ficha.php?id=1377" TargetMode="External"/><Relationship Id="rId579" Type="http://schemas.openxmlformats.org/officeDocument/2006/relationships/vmlDrawing" Target="../drawings/vmlDrawing1.vm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154" TargetMode="External"/><Relationship Id="rId341" Type="http://schemas.openxmlformats.org/officeDocument/2006/relationships/hyperlink" Target="https://www.jivi.com.ar/ficha.php?id=1516" TargetMode="External"/><Relationship Id="rId383" Type="http://schemas.openxmlformats.org/officeDocument/2006/relationships/hyperlink" Target="https://www.jivi.com.ar/ficha.php?id=1568" TargetMode="External"/><Relationship Id="rId439" Type="http://schemas.openxmlformats.org/officeDocument/2006/relationships/hyperlink" Target="https://www.jivi.com.ar/ficha.php?id=1634" TargetMode="External"/><Relationship Id="rId201" Type="http://schemas.openxmlformats.org/officeDocument/2006/relationships/hyperlink" Target="https://www.jivi.com.ar/ficha.php?id=904" TargetMode="External"/><Relationship Id="rId243" Type="http://schemas.openxmlformats.org/officeDocument/2006/relationships/hyperlink" Target="https://www.jivi.com.ar/ficha.php?id=1382" TargetMode="External"/><Relationship Id="rId285" Type="http://schemas.openxmlformats.org/officeDocument/2006/relationships/hyperlink" Target="https://www.jivi.com.ar/ficha.php?id=1436" TargetMode="External"/><Relationship Id="rId450" Type="http://schemas.openxmlformats.org/officeDocument/2006/relationships/hyperlink" Target="https://www.jivi.com.ar/ficha.php?id=1640" TargetMode="External"/><Relationship Id="rId506" Type="http://schemas.openxmlformats.org/officeDocument/2006/relationships/hyperlink" Target="https://www.jivi.com.ar/ficha.php?id=1776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71" TargetMode="External"/><Relationship Id="rId492" Type="http://schemas.openxmlformats.org/officeDocument/2006/relationships/hyperlink" Target="https://www.jivi.com.ar/ficha.php?id=1740" TargetMode="External"/><Relationship Id="rId548" Type="http://schemas.openxmlformats.org/officeDocument/2006/relationships/hyperlink" Target="https://www.jivi.com.ar/ficha.php?id=1491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73" TargetMode="External"/><Relationship Id="rId187" Type="http://schemas.openxmlformats.org/officeDocument/2006/relationships/hyperlink" Target="https://www.jivi.com.ar/ficha.php?id=1175" TargetMode="External"/><Relationship Id="rId352" Type="http://schemas.openxmlformats.org/officeDocument/2006/relationships/hyperlink" Target="https://www.jivi.com.ar/ficha.php?id=1541" TargetMode="External"/><Relationship Id="rId394" Type="http://schemas.openxmlformats.org/officeDocument/2006/relationships/hyperlink" Target="https://www.jivi.com.ar/ficha.php?id=1249" TargetMode="External"/><Relationship Id="rId408" Type="http://schemas.openxmlformats.org/officeDocument/2006/relationships/hyperlink" Target="https://www.jivi.com.ar/ficha.php?id=1592" TargetMode="External"/><Relationship Id="rId212" Type="http://schemas.openxmlformats.org/officeDocument/2006/relationships/hyperlink" Target="https://www.jivi.com.ar/ficha.php?id=1253" TargetMode="External"/><Relationship Id="rId254" Type="http://schemas.openxmlformats.org/officeDocument/2006/relationships/hyperlink" Target="https://www.jivi.com.ar/ficha.php?id=872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214" TargetMode="External"/><Relationship Id="rId296" Type="http://schemas.openxmlformats.org/officeDocument/2006/relationships/hyperlink" Target="https://www.jivi.com.ar/ficha.php?id=1354" TargetMode="External"/><Relationship Id="rId461" Type="http://schemas.openxmlformats.org/officeDocument/2006/relationships/hyperlink" Target="https://www.jivi.com.ar/ficha.php?id=1672" TargetMode="External"/><Relationship Id="rId517" Type="http://schemas.openxmlformats.org/officeDocument/2006/relationships/hyperlink" Target="https://www.jivi.com.ar/ficha.php?id=1780" TargetMode="External"/><Relationship Id="rId559" Type="http://schemas.openxmlformats.org/officeDocument/2006/relationships/hyperlink" Target="https://www.jivi.com.ar/ficha.php?id=1864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61" TargetMode="External"/><Relationship Id="rId198" Type="http://schemas.openxmlformats.org/officeDocument/2006/relationships/hyperlink" Target="https://www.jivi.com.ar/ficha.php?id=1220" TargetMode="External"/><Relationship Id="rId321" Type="http://schemas.openxmlformats.org/officeDocument/2006/relationships/hyperlink" Target="https://www.jivi.com.ar/ficha.php?id=1486" TargetMode="External"/><Relationship Id="rId363" Type="http://schemas.openxmlformats.org/officeDocument/2006/relationships/hyperlink" Target="https://www.jivi.com.ar/ficha.php?id=1553" TargetMode="External"/><Relationship Id="rId419" Type="http://schemas.openxmlformats.org/officeDocument/2006/relationships/hyperlink" Target="https://www.jivi.com.ar/ficha.php?id=1424" TargetMode="External"/><Relationship Id="rId570" Type="http://schemas.openxmlformats.org/officeDocument/2006/relationships/hyperlink" Target="https://www.jivi.com.ar/ficha.php?id=1886" TargetMode="External"/><Relationship Id="rId223" Type="http://schemas.openxmlformats.org/officeDocument/2006/relationships/hyperlink" Target="https://www.jivi.com.ar/ficha.php?id=1305" TargetMode="External"/><Relationship Id="rId430" Type="http://schemas.openxmlformats.org/officeDocument/2006/relationships/hyperlink" Target="https://www.jivi.com.ar/ficha.php?id=608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402" TargetMode="External"/><Relationship Id="rId472" Type="http://schemas.openxmlformats.org/officeDocument/2006/relationships/hyperlink" Target="https://www.jivi.com.ar/ficha.php?id=1531" TargetMode="External"/><Relationship Id="rId528" Type="http://schemas.openxmlformats.org/officeDocument/2006/relationships/hyperlink" Target="https://www.jivi.com.ar/ficha.php?id=1447" TargetMode="External"/><Relationship Id="rId125" Type="http://schemas.openxmlformats.org/officeDocument/2006/relationships/hyperlink" Target="https://www.jivi.com.ar/ficha.php?id=846" TargetMode="External"/><Relationship Id="rId167" Type="http://schemas.openxmlformats.org/officeDocument/2006/relationships/hyperlink" Target="https://www.jivi.com.ar/ficha.php?id=297" TargetMode="External"/><Relationship Id="rId332" Type="http://schemas.openxmlformats.org/officeDocument/2006/relationships/hyperlink" Target="https://www.jivi.com.ar/ficha.php?id=1502" TargetMode="External"/><Relationship Id="rId374" Type="http://schemas.openxmlformats.org/officeDocument/2006/relationships/hyperlink" Target="https://www.jivi.com.ar/ficha.php?id=1563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4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20" TargetMode="External"/><Relationship Id="rId441" Type="http://schemas.openxmlformats.org/officeDocument/2006/relationships/hyperlink" Target="https://www.jivi.com.ar/ficha.php?id=968" TargetMode="External"/><Relationship Id="rId483" Type="http://schemas.openxmlformats.org/officeDocument/2006/relationships/hyperlink" Target="https://www.jivi.com.ar/ficha.php?id=1725" TargetMode="External"/><Relationship Id="rId539" Type="http://schemas.openxmlformats.org/officeDocument/2006/relationships/hyperlink" Target="https://www.jivi.com.ar/ficha.php?id=1453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26" TargetMode="External"/><Relationship Id="rId178" Type="http://schemas.openxmlformats.org/officeDocument/2006/relationships/hyperlink" Target="https://www.jivi.com.ar/ficha.php?id=1158" TargetMode="External"/><Relationship Id="rId301" Type="http://schemas.openxmlformats.org/officeDocument/2006/relationships/hyperlink" Target="https://www.jivi.com.ar/ficha.php?id=1063" TargetMode="External"/><Relationship Id="rId343" Type="http://schemas.openxmlformats.org/officeDocument/2006/relationships/hyperlink" Target="https://www.jivi.com.ar/ficha.php?id=1523" TargetMode="External"/><Relationship Id="rId550" Type="http://schemas.openxmlformats.org/officeDocument/2006/relationships/hyperlink" Target="https://www.jivi.com.ar/ficha.php?id=1594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225" TargetMode="External"/><Relationship Id="rId385" Type="http://schemas.openxmlformats.org/officeDocument/2006/relationships/hyperlink" Target="https://www.jivi.com.ar/ficha.php?id=1570" TargetMode="External"/><Relationship Id="rId245" Type="http://schemas.openxmlformats.org/officeDocument/2006/relationships/hyperlink" Target="https://www.jivi.com.ar/ficha.php?id=1384" TargetMode="External"/><Relationship Id="rId287" Type="http://schemas.openxmlformats.org/officeDocument/2006/relationships/hyperlink" Target="https://www.jivi.com.ar/ficha.php?id=1702" TargetMode="External"/><Relationship Id="rId410" Type="http://schemas.openxmlformats.org/officeDocument/2006/relationships/hyperlink" Target="https://www.jivi.com.ar/ficha.php?id=1595" TargetMode="External"/><Relationship Id="rId452" Type="http://schemas.openxmlformats.org/officeDocument/2006/relationships/hyperlink" Target="https://www.jivi.com.ar/ficha.php?id=1660" TargetMode="External"/><Relationship Id="rId494" Type="http://schemas.openxmlformats.org/officeDocument/2006/relationships/hyperlink" Target="https://www.jivi.com.ar/ficha.php?id=1575" TargetMode="External"/><Relationship Id="rId508" Type="http://schemas.openxmlformats.org/officeDocument/2006/relationships/hyperlink" Target="https://www.jivi.com.ar/ficha.php?id=1304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1006" TargetMode="External"/><Relationship Id="rId312" Type="http://schemas.openxmlformats.org/officeDocument/2006/relationships/hyperlink" Target="htthttps://www.jivi.com.ar/ficha.php?id=1476" TargetMode="External"/><Relationship Id="rId354" Type="http://schemas.openxmlformats.org/officeDocument/2006/relationships/hyperlink" Target="https://www.jivi.com.ar/ficha.php?id=1363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1182" TargetMode="External"/><Relationship Id="rId396" Type="http://schemas.openxmlformats.org/officeDocument/2006/relationships/hyperlink" Target="https://www.jivi.com.ar/ficha.php?id=1576" TargetMode="External"/><Relationship Id="rId561" Type="http://schemas.openxmlformats.org/officeDocument/2006/relationships/hyperlink" Target="https://www.jivi.com.ar/ficha.php?id=1055" TargetMode="External"/><Relationship Id="rId214" Type="http://schemas.openxmlformats.org/officeDocument/2006/relationships/hyperlink" Target="https://www.jivi.com.ar/ficha.php?id=1261" TargetMode="External"/><Relationship Id="rId256" Type="http://schemas.openxmlformats.org/officeDocument/2006/relationships/hyperlink" Target="https://www.jivi.com.ar/ficha.php?id=1262" TargetMode="External"/><Relationship Id="rId298" Type="http://schemas.openxmlformats.org/officeDocument/2006/relationships/hyperlink" Target="https://www.jivi.com.ar/ficha.php?id=1450" TargetMode="External"/><Relationship Id="rId421" Type="http://schemas.openxmlformats.org/officeDocument/2006/relationships/hyperlink" Target="https://www.jivi.com.ar/ficha.php?id=1459" TargetMode="External"/><Relationship Id="rId463" Type="http://schemas.openxmlformats.org/officeDocument/2006/relationships/hyperlink" Target="https://www.jivi.com.ar/ficha.php?id=1691" TargetMode="External"/><Relationship Id="rId519" Type="http://schemas.openxmlformats.org/officeDocument/2006/relationships/hyperlink" Target="https://www.jivi.com.ar/ficha.php?id=1293" TargetMode="External"/><Relationship Id="rId116" Type="http://schemas.openxmlformats.org/officeDocument/2006/relationships/hyperlink" Target="https://www.jivi.com.ar/ficha.php?id=234" TargetMode="External"/><Relationship Id="rId158" Type="http://schemas.openxmlformats.org/officeDocument/2006/relationships/hyperlink" Target="https://www.jivi.com.ar/ficha.php?id=364" TargetMode="External"/><Relationship Id="rId323" Type="http://schemas.openxmlformats.org/officeDocument/2006/relationships/hyperlink" Target="https://www.jivi.com.ar/ficha.php?id=1492" TargetMode="External"/><Relationship Id="rId530" Type="http://schemas.openxmlformats.org/officeDocument/2006/relationships/hyperlink" Target="https://www.jivi.com.ar/ficha.php?id=1128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397" TargetMode="External"/><Relationship Id="rId572" Type="http://schemas.openxmlformats.org/officeDocument/2006/relationships/hyperlink" Target="https://www.jivi.com.ar/ficha.php?id=1138" TargetMode="External"/><Relationship Id="rId225" Type="http://schemas.openxmlformats.org/officeDocument/2006/relationships/hyperlink" Target="https://www.jivi.com.ar/ficha.php?id=1287" TargetMode="External"/><Relationship Id="rId267" Type="http://schemas.openxmlformats.org/officeDocument/2006/relationships/hyperlink" Target="https://www.jivi.com.ar/ficha.php?id=1405" TargetMode="External"/><Relationship Id="rId432" Type="http://schemas.openxmlformats.org/officeDocument/2006/relationships/hyperlink" Target="https://www.jivi.com.ar/ficha.php?id=1617" TargetMode="External"/><Relationship Id="rId474" Type="http://schemas.openxmlformats.org/officeDocument/2006/relationships/hyperlink" Target="https://www.jivi.com.ar/ficha.php?id=1704" TargetMode="External"/><Relationship Id="rId127" Type="http://schemas.openxmlformats.org/officeDocument/2006/relationships/hyperlink" Target="https://www.jivi.com.ar/ficha.php?id=854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98" TargetMode="External"/><Relationship Id="rId334" Type="http://schemas.openxmlformats.org/officeDocument/2006/relationships/hyperlink" Target="https://www.jivi.com.ar/ficha.php?id=1505" TargetMode="External"/><Relationship Id="rId376" Type="http://schemas.openxmlformats.org/officeDocument/2006/relationships/hyperlink" Target="https://www.jivi.com.ar/ficha.php?id=790" TargetMode="External"/><Relationship Id="rId541" Type="http://schemas.openxmlformats.org/officeDocument/2006/relationships/hyperlink" Target="https://www.jivi.com.ar/ficha.php?id=1131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https://www.jivi.com.ar/ficha.php?id=1155" TargetMode="External"/><Relationship Id="rId236" Type="http://schemas.openxmlformats.org/officeDocument/2006/relationships/hyperlink" Target="https://www.jivi.com.ar/ficha.php?id=1360" TargetMode="External"/><Relationship Id="rId278" Type="http://schemas.openxmlformats.org/officeDocument/2006/relationships/hyperlink" Target="https://www.jivi.com.ar/ficha.php?id=1422" TargetMode="External"/><Relationship Id="rId401" Type="http://schemas.openxmlformats.org/officeDocument/2006/relationships/hyperlink" Target="https://www.jivi.com.ar/ficha.php?id=1586" TargetMode="External"/><Relationship Id="rId443" Type="http://schemas.openxmlformats.org/officeDocument/2006/relationships/hyperlink" Target="https://www.jivi.com.ar/ficha.php?id=1642" TargetMode="External"/><Relationship Id="rId303" Type="http://schemas.openxmlformats.org/officeDocument/2006/relationships/hyperlink" Target="https://www.jivi.com.ar/ficha.php?id=969" TargetMode="External"/><Relationship Id="rId485" Type="http://schemas.openxmlformats.org/officeDocument/2006/relationships/hyperlink" Target="https://www.jivi.com.ar/ficha.php?id=1728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247" TargetMode="External"/><Relationship Id="rId345" Type="http://schemas.openxmlformats.org/officeDocument/2006/relationships/hyperlink" Target="https://www.jivi.com.ar/ficha.php?id=1527" TargetMode="External"/><Relationship Id="rId387" Type="http://schemas.openxmlformats.org/officeDocument/2006/relationships/hyperlink" Target="https://www.jivi.com.ar/ficha.php?id=1518" TargetMode="External"/><Relationship Id="rId510" Type="http://schemas.openxmlformats.org/officeDocument/2006/relationships/hyperlink" Target="https://www.jivi.com.ar/ficha.php?id=1777" TargetMode="External"/><Relationship Id="rId552" Type="http://schemas.openxmlformats.org/officeDocument/2006/relationships/hyperlink" Target="https://www.jivi.com.ar/ficha.php?id=1799" TargetMode="External"/><Relationship Id="rId191" Type="http://schemas.openxmlformats.org/officeDocument/2006/relationships/hyperlink" Target="https://www.jivi.com.ar/ficha.php?id=1185" TargetMode="External"/><Relationship Id="rId205" Type="http://schemas.openxmlformats.org/officeDocument/2006/relationships/hyperlink" Target="https://www.jivi.com.ar/ficha.php?id=919" TargetMode="External"/><Relationship Id="rId247" Type="http://schemas.openxmlformats.org/officeDocument/2006/relationships/hyperlink" Target="https://www.jivi.com.ar/ficha.php?id=1385" TargetMode="External"/><Relationship Id="rId412" Type="http://schemas.openxmlformats.org/officeDocument/2006/relationships/hyperlink" Target="https://www.jivi.com.ar/ficha.php?id=1598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442" TargetMode="External"/><Relationship Id="rId454" Type="http://schemas.openxmlformats.org/officeDocument/2006/relationships/hyperlink" Target="https://www.jivi.com.ar/ficha.php?id=440" TargetMode="External"/><Relationship Id="rId496" Type="http://schemas.openxmlformats.org/officeDocument/2006/relationships/hyperlink" Target="https://www.jivi.com.ar/ficha.php?id=1744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251" TargetMode="External"/><Relationship Id="rId314" Type="http://schemas.openxmlformats.org/officeDocument/2006/relationships/hyperlink" Target="https://www.jivi.com.ar/ficha.php?id=996" TargetMode="External"/><Relationship Id="rId356" Type="http://schemas.openxmlformats.org/officeDocument/2006/relationships/hyperlink" Target="https://www.jivi.com.ar/ficha.php?id=1547" TargetMode="External"/><Relationship Id="rId398" Type="http://schemas.openxmlformats.org/officeDocument/2006/relationships/hyperlink" Target="https://www.jivi.com.ar/ficha.php?id=1581" TargetMode="External"/><Relationship Id="rId521" Type="http://schemas.openxmlformats.org/officeDocument/2006/relationships/hyperlink" Target="https://www.jivi.com.ar/ficha.php?id=1265" TargetMode="External"/><Relationship Id="rId563" Type="http://schemas.openxmlformats.org/officeDocument/2006/relationships/hyperlink" Target="https://www.jivi.com.ar/ficha.php?id=1739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1079" TargetMode="External"/><Relationship Id="rId216" Type="http://schemas.openxmlformats.org/officeDocument/2006/relationships/hyperlink" Target="https://www.jivi.com.ar/ficha.php?id=1268" TargetMode="External"/><Relationship Id="rId423" Type="http://schemas.openxmlformats.org/officeDocument/2006/relationships/hyperlink" Target="https://www.jivi.com.ar/ficha.php?id=1609" TargetMode="External"/><Relationship Id="rId258" Type="http://schemas.openxmlformats.org/officeDocument/2006/relationships/hyperlink" Target="https://www.jivi.com.ar/ficha.php?id=1401" TargetMode="External"/><Relationship Id="rId465" Type="http://schemas.openxmlformats.org/officeDocument/2006/relationships/hyperlink" Target="https://www.jivi.com.ar/ficha.php?id=1695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80" TargetMode="External"/><Relationship Id="rId325" Type="http://schemas.openxmlformats.org/officeDocument/2006/relationships/hyperlink" Target="https://www.jivi.com.ar/ficha.php?id=1494" TargetMode="External"/><Relationship Id="rId367" Type="http://schemas.openxmlformats.org/officeDocument/2006/relationships/hyperlink" Target="https://www.jivi.com.ar/ficha.php?id=1557" TargetMode="External"/><Relationship Id="rId532" Type="http://schemas.openxmlformats.org/officeDocument/2006/relationships/hyperlink" Target="https://www.jivi.com.ar/ficha.php?id=1654" TargetMode="External"/><Relationship Id="rId574" Type="http://schemas.openxmlformats.org/officeDocument/2006/relationships/hyperlink" Target="https://www.jivi.com.ar/ficha.php?id=1916" TargetMode="External"/><Relationship Id="rId171" Type="http://schemas.openxmlformats.org/officeDocument/2006/relationships/hyperlink" Target="https://www.jivi.com.ar/ficha.php?id=1104" TargetMode="External"/><Relationship Id="rId227" Type="http://schemas.openxmlformats.org/officeDocument/2006/relationships/hyperlink" Target="https://www.jivi.com.ar/ficha.php?id=1316" TargetMode="External"/><Relationship Id="rId269" Type="http://schemas.openxmlformats.org/officeDocument/2006/relationships/hyperlink" Target="https://www.jivi.com.ar/ficha.php?id=1415" TargetMode="External"/><Relationship Id="rId434" Type="http://schemas.openxmlformats.org/officeDocument/2006/relationships/hyperlink" Target="https://www.jivi.com.ar/ficha.php?id=1619" TargetMode="External"/><Relationship Id="rId476" Type="http://schemas.openxmlformats.org/officeDocument/2006/relationships/hyperlink" Target="https://www.jivi.com.ar/ficha.php?id=1457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888" TargetMode="External"/><Relationship Id="rId280" Type="http://schemas.openxmlformats.org/officeDocument/2006/relationships/hyperlink" Target="https://www.jivi.com.ar/ficha.php?id=1425" TargetMode="External"/><Relationship Id="rId336" Type="http://schemas.openxmlformats.org/officeDocument/2006/relationships/hyperlink" Target="https://www.jivi.com.ar/ficha.php?id=1507" TargetMode="External"/><Relationship Id="rId501" Type="http://schemas.openxmlformats.org/officeDocument/2006/relationships/hyperlink" Target="https://www.jivi.com.ar/ficha.php?id=1749" TargetMode="External"/><Relationship Id="rId543" Type="http://schemas.openxmlformats.org/officeDocument/2006/relationships/hyperlink" Target="https://www.jivi.com.ar/ficha.php?id=1820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54" TargetMode="External"/><Relationship Id="rId182" Type="http://schemas.openxmlformats.org/officeDocument/2006/relationships/hyperlink" Target="https://www.jivi.com.ar/ficha.php?id=1153" TargetMode="External"/><Relationship Id="rId378" Type="http://schemas.openxmlformats.org/officeDocument/2006/relationships/hyperlink" Target="https://www.jivi.com.ar/ficha.php?id=1409" TargetMode="External"/><Relationship Id="rId403" Type="http://schemas.openxmlformats.org/officeDocument/2006/relationships/hyperlink" Target="https://www.jivi.com.ar/ficha.php?id=1221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66" TargetMode="External"/><Relationship Id="rId445" Type="http://schemas.openxmlformats.org/officeDocument/2006/relationships/hyperlink" Target="https://www.jivi.com.ar/ficha.php?id=1641" TargetMode="External"/><Relationship Id="rId487" Type="http://schemas.openxmlformats.org/officeDocument/2006/relationships/hyperlink" Target="https://www.jivi.com.ar/ficha.php?id=1730" TargetMode="External"/><Relationship Id="rId291" Type="http://schemas.openxmlformats.org/officeDocument/2006/relationships/hyperlink" Target="https://www.jivi.com.ar/ficha.php?id=216" TargetMode="External"/><Relationship Id="rId305" Type="http://schemas.openxmlformats.org/officeDocument/2006/relationships/hyperlink" Target="https://www.jivi.com.ar/ficha.php?id=1464" TargetMode="External"/><Relationship Id="rId347" Type="http://schemas.openxmlformats.org/officeDocument/2006/relationships/hyperlink" Target="https://www.jivi.com.ar/ficha.php?id=1534" TargetMode="External"/><Relationship Id="rId512" Type="http://schemas.openxmlformats.org/officeDocument/2006/relationships/hyperlink" Target="https://www.jivi.com.ar/ficha.php?id=1709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1025" TargetMode="External"/><Relationship Id="rId389" Type="http://schemas.openxmlformats.org/officeDocument/2006/relationships/hyperlink" Target="https://www.jivi.com.ar/ficha.php?id=1573" TargetMode="External"/><Relationship Id="rId554" Type="http://schemas.openxmlformats.org/officeDocument/2006/relationships/hyperlink" Target="https://www.jivi.com.ar/ficha.php?id=666" TargetMode="External"/><Relationship Id="rId193" Type="http://schemas.openxmlformats.org/officeDocument/2006/relationships/hyperlink" Target="https://www.jivi.com.ar/ficha.php?id=1190" TargetMode="External"/><Relationship Id="rId207" Type="http://schemas.openxmlformats.org/officeDocument/2006/relationships/hyperlink" Target="https://www.jivi.com.ar/ficha.php?id=1232" TargetMode="External"/><Relationship Id="rId249" Type="http://schemas.openxmlformats.org/officeDocument/2006/relationships/hyperlink" Target="https://www.jivi.com.ar/ficha.php?id=1389" TargetMode="External"/><Relationship Id="rId414" Type="http://schemas.openxmlformats.org/officeDocument/2006/relationships/hyperlink" Target="https://www.jivi.com.ar/ficha.php?id=1602" TargetMode="External"/><Relationship Id="rId456" Type="http://schemas.openxmlformats.org/officeDocument/2006/relationships/hyperlink" Target="https://www.jivi.com.ar/ficha.php?id=1666" TargetMode="External"/><Relationship Id="rId498" Type="http://schemas.openxmlformats.org/officeDocument/2006/relationships/hyperlink" Target="https://www.jivi.com.ar/ficha.php?id=1746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230" TargetMode="External"/><Relationship Id="rId316" Type="http://schemas.openxmlformats.org/officeDocument/2006/relationships/hyperlink" Target="https://www.jivi.com.ar/ficha.php?id=1478" TargetMode="External"/><Relationship Id="rId523" Type="http://schemas.openxmlformats.org/officeDocument/2006/relationships/hyperlink" Target="https://www.jivi.com.ar/ficha.php?id=1308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809" TargetMode="External"/><Relationship Id="rId358" Type="http://schemas.openxmlformats.org/officeDocument/2006/relationships/hyperlink" Target="https://www.jivi.com.ar/ficha.php?id=1548" TargetMode="External"/><Relationship Id="rId565" Type="http://schemas.openxmlformats.org/officeDocument/2006/relationships/hyperlink" Target="https://www.jivi.com.ar/ficha.php?id=1379" TargetMode="External"/><Relationship Id="rId162" Type="http://schemas.openxmlformats.org/officeDocument/2006/relationships/hyperlink" Target="https://www.jivi.com.ar/ficha.php?id=1089" TargetMode="External"/><Relationship Id="rId218" Type="http://schemas.openxmlformats.org/officeDocument/2006/relationships/hyperlink" Target="https://www.jivi.com.ar/ficha.php?id=991" TargetMode="External"/><Relationship Id="rId425" Type="http://schemas.openxmlformats.org/officeDocument/2006/relationships/hyperlink" Target="https://www.jivi.com.ar/ficha.php?id=1610" TargetMode="External"/><Relationship Id="rId467" Type="http://schemas.openxmlformats.org/officeDocument/2006/relationships/hyperlink" Target="https://www.jivi.com.ar/ficha.php?id=1697" TargetMode="External"/><Relationship Id="rId271" Type="http://schemas.openxmlformats.org/officeDocument/2006/relationships/hyperlink" Target="https://www.jivi.com.ar/ficha.php?id=1084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81" TargetMode="External"/><Relationship Id="rId327" Type="http://schemas.openxmlformats.org/officeDocument/2006/relationships/hyperlink" Target="https://www.jivi.com.ar/ficha.php?id=1496" TargetMode="External"/><Relationship Id="rId369" Type="http://schemas.openxmlformats.org/officeDocument/2006/relationships/hyperlink" Target="https://www.jivi.com.ar/ficha.php?id=518" TargetMode="External"/><Relationship Id="rId534" Type="http://schemas.openxmlformats.org/officeDocument/2006/relationships/hyperlink" Target="https://www.jivi.com.ar/ficha.php?id=1805" TargetMode="External"/><Relationship Id="rId576" Type="http://schemas.openxmlformats.org/officeDocument/2006/relationships/hyperlink" Target="https://www.jivi.com.ar/ficha.php?id=1386" TargetMode="External"/><Relationship Id="rId173" Type="http://schemas.openxmlformats.org/officeDocument/2006/relationships/hyperlink" Target="https://www.jivi.com.ar/ficha.php?id=1116" TargetMode="External"/><Relationship Id="rId229" Type="http://schemas.openxmlformats.org/officeDocument/2006/relationships/hyperlink" Target="https://www.jivi.com.ar/ficha.php?id=1336" TargetMode="External"/><Relationship Id="rId380" Type="http://schemas.openxmlformats.org/officeDocument/2006/relationships/hyperlink" Target="https://www.jivi.com.ar/ficha.php?id=1564" TargetMode="External"/><Relationship Id="rId436" Type="http://schemas.openxmlformats.org/officeDocument/2006/relationships/hyperlink" Target="https://www.jivi.com.ar/ficha.php?id=1355" TargetMode="External"/><Relationship Id="rId240" Type="http://schemas.openxmlformats.org/officeDocument/2006/relationships/hyperlink" Target="https://www.jivi.com.ar/ficha.php?id=864" TargetMode="External"/><Relationship Id="rId478" Type="http://schemas.openxmlformats.org/officeDocument/2006/relationships/hyperlink" Target="https://www.jivi.com.ar/ficha.php?id=1707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29" TargetMode="External"/><Relationship Id="rId338" Type="http://schemas.openxmlformats.org/officeDocument/2006/relationships/hyperlink" Target="https://www.jivi.com.ar/ficha.php?id=1509" TargetMode="External"/><Relationship Id="rId503" Type="http://schemas.openxmlformats.org/officeDocument/2006/relationships/hyperlink" Target="https://www.jivi.com.ar/ficha.php?id=1750" TargetMode="External"/><Relationship Id="rId545" Type="http://schemas.openxmlformats.org/officeDocument/2006/relationships/hyperlink" Target="https://www.jivi.com.ar/ficha.php?id=1533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56" TargetMode="External"/><Relationship Id="rId184" Type="http://schemas.openxmlformats.org/officeDocument/2006/relationships/hyperlink" Target="https://www.jivi.com.ar/ficha.php?id=1172" TargetMode="External"/><Relationship Id="rId391" Type="http://schemas.openxmlformats.org/officeDocument/2006/relationships/hyperlink" Target="https://www.jivi.com.ar/ficha.php?id=1271" TargetMode="External"/><Relationship Id="rId405" Type="http://schemas.openxmlformats.org/officeDocument/2006/relationships/hyperlink" Target="https://www.jivi.com.ar/ficha.php?id=1589" TargetMode="External"/><Relationship Id="rId447" Type="http://schemas.openxmlformats.org/officeDocument/2006/relationships/hyperlink" Target="https://www.jivi.com.ar/ficha.php?id=1637" TargetMode="External"/><Relationship Id="rId251" Type="http://schemas.openxmlformats.org/officeDocument/2006/relationships/hyperlink" Target="https://www.jivi.com.ar/ficha.php?id=236" TargetMode="External"/><Relationship Id="rId489" Type="http://schemas.openxmlformats.org/officeDocument/2006/relationships/hyperlink" Target="https://www.jivi.com.ar/ficha.php?id=1732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334" TargetMode="External"/><Relationship Id="rId307" Type="http://schemas.openxmlformats.org/officeDocument/2006/relationships/hyperlink" Target="https://www.jivi.com.ar/ficha.php?id=1467" TargetMode="External"/><Relationship Id="rId349" Type="http://schemas.openxmlformats.org/officeDocument/2006/relationships/hyperlink" Target="https://www.jivi.com.ar/ficha.php?id=1536" TargetMode="External"/><Relationship Id="rId514" Type="http://schemas.openxmlformats.org/officeDocument/2006/relationships/hyperlink" Target="https://www.jivi.com.ar/ficha.php?id=1736" TargetMode="External"/><Relationship Id="rId556" Type="http://schemas.openxmlformats.org/officeDocument/2006/relationships/hyperlink" Target="https://www.jivi.com.ar/ficha.php?id=1847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1049" TargetMode="External"/><Relationship Id="rId195" Type="http://schemas.openxmlformats.org/officeDocument/2006/relationships/hyperlink" Target="https://www.jivi.com.ar/ficha.php?id=1209" TargetMode="External"/><Relationship Id="rId209" Type="http://schemas.openxmlformats.org/officeDocument/2006/relationships/hyperlink" Target="https://www.jivi.com.ar/ficha.php?id=920" TargetMode="External"/><Relationship Id="rId360" Type="http://schemas.openxmlformats.org/officeDocument/2006/relationships/hyperlink" Target="https://www.jivi.com.ar/ficha.php?id=1551" TargetMode="External"/><Relationship Id="rId416" Type="http://schemas.openxmlformats.org/officeDocument/2006/relationships/hyperlink" Target="https://www.jivi.com.ar/ficha.php?id=1701" TargetMode="External"/><Relationship Id="rId220" Type="http://schemas.openxmlformats.org/officeDocument/2006/relationships/hyperlink" Target="https://www.jivi.com.ar/ficha.php?id=1607" TargetMode="External"/><Relationship Id="rId458" Type="http://schemas.openxmlformats.org/officeDocument/2006/relationships/hyperlink" Target="https://www.jivi.com.ar/ficha.php?id=1684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111" TargetMode="External"/><Relationship Id="rId318" Type="http://schemas.openxmlformats.org/officeDocument/2006/relationships/hyperlink" Target="https://www.jivi.com.ar/ficha.php?id=1480" TargetMode="External"/><Relationship Id="rId525" Type="http://schemas.openxmlformats.org/officeDocument/2006/relationships/hyperlink" Target="https://www.jivi.com.ar/ficha.php?id=1790" TargetMode="External"/><Relationship Id="rId567" Type="http://schemas.openxmlformats.org/officeDocument/2006/relationships/hyperlink" Target="https://www.jivi.com.ar/ficha.php?id=1280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708" TargetMode="External"/><Relationship Id="rId164" Type="http://schemas.openxmlformats.org/officeDocument/2006/relationships/hyperlink" Target="https://www.jivi.com.ar/ficha.php?id=1091" TargetMode="External"/><Relationship Id="rId371" Type="http://schemas.openxmlformats.org/officeDocument/2006/relationships/hyperlink" Target="https://www.jivi.com.ar/ficha.php?id=26" TargetMode="External"/><Relationship Id="rId427" Type="http://schemas.openxmlformats.org/officeDocument/2006/relationships/hyperlink" Target="https://www.jivi.com.ar/ficha.php?id=1612" TargetMode="External"/><Relationship Id="rId469" Type="http://schemas.openxmlformats.org/officeDocument/2006/relationships/hyperlink" Target="https://www.jivi.com.ar/ficha.php?id=1699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33" TargetMode="External"/><Relationship Id="rId273" Type="http://schemas.openxmlformats.org/officeDocument/2006/relationships/hyperlink" Target="https://www.jivi.com.ar/ficha.php?id=1419" TargetMode="External"/><Relationship Id="rId329" Type="http://schemas.openxmlformats.org/officeDocument/2006/relationships/hyperlink" Target="httphttps://www.jivi.com.ar/ficha.php?id=1498" TargetMode="External"/><Relationship Id="rId480" Type="http://schemas.openxmlformats.org/officeDocument/2006/relationships/hyperlink" Target="https://www.jivi.com.ar/ficha.php?id=1721" TargetMode="External"/><Relationship Id="rId536" Type="http://schemas.openxmlformats.org/officeDocument/2006/relationships/hyperlink" Target="https://www.jivi.com.ar/ficha.php?id=1070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86" TargetMode="External"/><Relationship Id="rId175" Type="http://schemas.openxmlformats.org/officeDocument/2006/relationships/hyperlink" Target="https://www.jivi.com.ar/ficha.php?id=1120" TargetMode="External"/><Relationship Id="rId340" Type="http://schemas.openxmlformats.org/officeDocument/2006/relationships/hyperlink" Target="https://www.jivi.com.ar/ficha.php?id=1515" TargetMode="External"/><Relationship Id="rId578" Type="http://schemas.openxmlformats.org/officeDocument/2006/relationships/drawing" Target="../drawings/drawing1.xml"/><Relationship Id="rId200" Type="http://schemas.openxmlformats.org/officeDocument/2006/relationships/hyperlink" Target="https://www.jivi.com.ar/ficha.php?id=1223" TargetMode="External"/><Relationship Id="rId382" Type="http://schemas.openxmlformats.org/officeDocument/2006/relationships/hyperlink" Target="https://www.jivi.com.ar/ficha.php?id=1567" TargetMode="External"/><Relationship Id="rId438" Type="http://schemas.openxmlformats.org/officeDocument/2006/relationships/hyperlink" Target="https://www.jivi.com.ar/ficha.php?id=1621" TargetMode="External"/><Relationship Id="rId242" Type="http://schemas.openxmlformats.org/officeDocument/2006/relationships/hyperlink" Target="https://www.jivi.com.ar/ficha.php?id=1378" TargetMode="External"/><Relationship Id="rId284" Type="http://schemas.openxmlformats.org/officeDocument/2006/relationships/hyperlink" Target="https://www.jivi.com.ar/ficha.php?id=1432" TargetMode="External"/><Relationship Id="rId491" Type="http://schemas.openxmlformats.org/officeDocument/2006/relationships/hyperlink" Target="https://www.jivi.com.ar/ficha.php?id=1738" TargetMode="External"/><Relationship Id="rId505" Type="http://schemas.openxmlformats.org/officeDocument/2006/relationships/hyperlink" Target="https://www.jivi.com.ar/ficha.php?id=1461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967" TargetMode="External"/><Relationship Id="rId547" Type="http://schemas.openxmlformats.org/officeDocument/2006/relationships/hyperlink" Target="https://www.jivi.com.ar/ficha.php?id=1825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488" TargetMode="External"/><Relationship Id="rId351" Type="http://schemas.openxmlformats.org/officeDocument/2006/relationships/hyperlink" Target="https://www.jivi.com.ar/ficha.php?id=1540" TargetMode="External"/><Relationship Id="rId393" Type="http://schemas.openxmlformats.org/officeDocument/2006/relationships/hyperlink" Target="https://www.jivi.com.ar/ficha.php?id=1139" TargetMode="External"/><Relationship Id="rId407" Type="http://schemas.openxmlformats.org/officeDocument/2006/relationships/hyperlink" Target="https://www.jivi.com.ar/ficha.php?id=1591" TargetMode="External"/><Relationship Id="rId449" Type="http://schemas.openxmlformats.org/officeDocument/2006/relationships/hyperlink" Target="https://www.jivi.com.ar/ficha.php?id=1655" TargetMode="External"/><Relationship Id="rId211" Type="http://schemas.openxmlformats.org/officeDocument/2006/relationships/hyperlink" Target="https://www.jivi.com.ar/ficha.php?id=1248" TargetMode="External"/><Relationship Id="rId253" Type="http://schemas.openxmlformats.org/officeDocument/2006/relationships/hyperlink" Target="https://www.jivi.com.ar/ficha.php?id=1394" TargetMode="External"/><Relationship Id="rId295" Type="http://schemas.openxmlformats.org/officeDocument/2006/relationships/hyperlink" Target="https://www.jivi.com.ar/ficha.php?id=1446" TargetMode="External"/><Relationship Id="rId309" Type="http://schemas.openxmlformats.org/officeDocument/2006/relationships/hyperlink" Target="https://www.jivi.com.ar/ficha.php?id=1470" TargetMode="External"/><Relationship Id="rId460" Type="http://schemas.openxmlformats.org/officeDocument/2006/relationships/hyperlink" Target="https://www.jivi.com.ar/ficha.php?id=1687" TargetMode="External"/><Relationship Id="rId516" Type="http://schemas.openxmlformats.org/officeDocument/2006/relationships/hyperlink" Target="https://www.jivi.com.ar/ficha.php?id=1779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534" TargetMode="External"/><Relationship Id="rId320" Type="http://schemas.openxmlformats.org/officeDocument/2006/relationships/hyperlink" Target="https://www.jivi.com.ar/ficha.php?id=1483" TargetMode="External"/><Relationship Id="rId558" Type="http://schemas.openxmlformats.org/officeDocument/2006/relationships/hyperlink" Target="https://www.jivi.com.ar/ficha.php?id=1520" TargetMode="External"/><Relationship Id="rId155" Type="http://schemas.openxmlformats.org/officeDocument/2006/relationships/hyperlink" Target="https://www.jivi.com.ar/ficha.php?id=1059" TargetMode="External"/><Relationship Id="rId197" Type="http://schemas.openxmlformats.org/officeDocument/2006/relationships/hyperlink" Target="https://www.jivi.com.ar/ficha.php?id=1219" TargetMode="External"/><Relationship Id="rId362" Type="http://schemas.openxmlformats.org/officeDocument/2006/relationships/hyperlink" Target="https://www.jivi.com.ar/ficha.php?id=1311" TargetMode="External"/><Relationship Id="rId418" Type="http://schemas.openxmlformats.org/officeDocument/2006/relationships/hyperlink" Target="https://www.jivi.com.ar/ficha.php?id=1606" TargetMode="External"/><Relationship Id="rId222" Type="http://schemas.openxmlformats.org/officeDocument/2006/relationships/hyperlink" Target="https://www.jivi.com.ar/ficha.php?id=1303" TargetMode="External"/><Relationship Id="rId264" Type="http://schemas.openxmlformats.org/officeDocument/2006/relationships/hyperlink" Target="https://www.jivi.com.ar/ficha.php?id=376" TargetMode="External"/><Relationship Id="rId471" Type="http://schemas.openxmlformats.org/officeDocument/2006/relationships/hyperlink" Target="https://www.jivi.com.ar/ficha.php?id=1462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40" TargetMode="External"/><Relationship Id="rId527" Type="http://schemas.openxmlformats.org/officeDocument/2006/relationships/hyperlink" Target="https://www.jivi.com.ar/ficha.php?id=1791" TargetMode="External"/><Relationship Id="rId569" Type="http://schemas.openxmlformats.org/officeDocument/2006/relationships/hyperlink" Target="https://www.jivi.com.ar/ficha.php?id=1371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94" TargetMode="External"/><Relationship Id="rId331" Type="http://schemas.openxmlformats.org/officeDocument/2006/relationships/hyperlink" Target="https://www.jivi.com.ar/ficha.php?id=1500" TargetMode="External"/><Relationship Id="rId373" Type="http://schemas.openxmlformats.org/officeDocument/2006/relationships/hyperlink" Target="https://www.jivi.com.ar/ficha.php?id=1562" TargetMode="External"/><Relationship Id="rId429" Type="http://schemas.openxmlformats.org/officeDocument/2006/relationships/hyperlink" Target="https://www.jivi.com.ar/ficha.php?id=1452" TargetMode="External"/><Relationship Id="rId580" Type="http://schemas.openxmlformats.org/officeDocument/2006/relationships/comments" Target="../comments1.xm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47" TargetMode="External"/><Relationship Id="rId440" Type="http://schemas.openxmlformats.org/officeDocument/2006/relationships/hyperlink" Target="https://www.jivi.com.ar/ficha.php?id=1635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281" TargetMode="External"/><Relationship Id="rId300" Type="http://schemas.openxmlformats.org/officeDocument/2006/relationships/hyperlink" Target="https://www.jivi.com.ar/ficha.php?id=1064" TargetMode="External"/><Relationship Id="rId482" Type="http://schemas.openxmlformats.org/officeDocument/2006/relationships/hyperlink" Target="https://www.jivi.com.ar/ficha.php?id=1723" TargetMode="External"/><Relationship Id="rId538" Type="http://schemas.openxmlformats.org/officeDocument/2006/relationships/hyperlink" Target="https://www.jivi.com.ar/ficha.php?id=1299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918" TargetMode="External"/><Relationship Id="rId177" Type="http://schemas.openxmlformats.org/officeDocument/2006/relationships/hyperlink" Target="https://www.jivi.com.ar/ficha.php?id=1157" TargetMode="External"/><Relationship Id="rId342" Type="http://schemas.openxmlformats.org/officeDocument/2006/relationships/hyperlink" Target="https://www.jivi.com.ar/ficha.php?id=1517" TargetMode="External"/><Relationship Id="rId384" Type="http://schemas.openxmlformats.org/officeDocument/2006/relationships/hyperlink" Target="https://www.jivi.com.ar/ficha.php?id=1569" TargetMode="External"/><Relationship Id="rId202" Type="http://schemas.openxmlformats.org/officeDocument/2006/relationships/hyperlink" Target="https://www.jivi.com.ar/ficha.php?id=1224" TargetMode="External"/><Relationship Id="rId244" Type="http://schemas.openxmlformats.org/officeDocument/2006/relationships/hyperlink" Target="https://www.jivi.com.ar/ficha.php?id=138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37" TargetMode="External"/><Relationship Id="rId451" Type="http://schemas.openxmlformats.org/officeDocument/2006/relationships/hyperlink" Target="https://www.jivi.com.ar/ficha.php?id=1657" TargetMode="External"/><Relationship Id="rId493" Type="http://schemas.openxmlformats.org/officeDocument/2006/relationships/hyperlink" Target="https://www.jivi.com.ar/ficha.php?id=1742" TargetMode="External"/><Relationship Id="rId507" Type="http://schemas.openxmlformats.org/officeDocument/2006/relationships/hyperlink" Target="https://www.jivi.com.ar/ficha.php?id=1310" TargetMode="External"/><Relationship Id="rId549" Type="http://schemas.openxmlformats.org/officeDocument/2006/relationships/hyperlink" Target="https://www.jivi.com.ar/ficha.php?id=1491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850" TargetMode="External"/><Relationship Id="rId188" Type="http://schemas.openxmlformats.org/officeDocument/2006/relationships/hyperlink" Target="https://www.jivi.com.ar/ficha.php?id=915" TargetMode="External"/><Relationship Id="rId311" Type="http://schemas.openxmlformats.org/officeDocument/2006/relationships/hyperlink" Target="https://www.jivi.com.ar/ficha.php?id=1472" TargetMode="External"/><Relationship Id="rId353" Type="http://schemas.openxmlformats.org/officeDocument/2006/relationships/hyperlink" Target="https://www.jivi.com.ar/ficha.php?id=1542" TargetMode="External"/><Relationship Id="rId395" Type="http://schemas.openxmlformats.org/officeDocument/2006/relationships/hyperlink" Target="https://www.jivi.com.ar/ficha.php?id=1574" TargetMode="External"/><Relationship Id="rId409" Type="http://schemas.openxmlformats.org/officeDocument/2006/relationships/hyperlink" Target="https://www.jivi.com.ar/ficha.php?id=1593" TargetMode="External"/><Relationship Id="rId560" Type="http://schemas.openxmlformats.org/officeDocument/2006/relationships/hyperlink" Target="https://www.jivi.com.ar/ficha.php?id=1443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124" TargetMode="External"/><Relationship Id="rId420" Type="http://schemas.openxmlformats.org/officeDocument/2006/relationships/hyperlink" Target="https://www.jivi.com.ar/ficha.php?id=1270" TargetMode="External"/><Relationship Id="rId255" Type="http://schemas.openxmlformats.org/officeDocument/2006/relationships/hyperlink" Target="https://www.jivi.com.ar/ficha.php?id=1399" TargetMode="External"/><Relationship Id="rId297" Type="http://schemas.openxmlformats.org/officeDocument/2006/relationships/hyperlink" Target="https://www.jivi.com.ar/ficha.php?id=1448" TargetMode="External"/><Relationship Id="rId462" Type="http://schemas.openxmlformats.org/officeDocument/2006/relationships/hyperlink" Target="https://www.jivi.com.ar/ficha.php?id=1690" TargetMode="External"/><Relationship Id="rId518" Type="http://schemas.openxmlformats.org/officeDocument/2006/relationships/hyperlink" Target="https://www.jivi.com.ar/ficha.php?id=1781" TargetMode="External"/><Relationship Id="rId115" Type="http://schemas.openxmlformats.org/officeDocument/2006/relationships/hyperlink" Target="https://www.jivi.com.ar/ficha.php?id=215" TargetMode="External"/><Relationship Id="rId157" Type="http://schemas.openxmlformats.org/officeDocument/2006/relationships/hyperlink" Target="https://www.jivi.com.ar/ficha.php?id=1062" TargetMode="External"/><Relationship Id="rId322" Type="http://schemas.openxmlformats.org/officeDocument/2006/relationships/hyperlink" Target="https://www.jivi.com.ar/ficha.php?id=1488" TargetMode="External"/><Relationship Id="rId364" Type="http://schemas.openxmlformats.org/officeDocument/2006/relationships/hyperlink" Target="https://www.jivi.com.ar/ficha.php?id=1554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22" TargetMode="External"/><Relationship Id="rId571" Type="http://schemas.openxmlformats.org/officeDocument/2006/relationships/hyperlink" Target="https://www.jivi.com.ar/ficha.php?id=1579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06" TargetMode="External"/><Relationship Id="rId266" Type="http://schemas.openxmlformats.org/officeDocument/2006/relationships/hyperlink" Target="https://www.jivi.com.ar/ficha.php?id=1393" TargetMode="External"/><Relationship Id="rId431" Type="http://schemas.openxmlformats.org/officeDocument/2006/relationships/hyperlink" Target="https://www.jivi.com.ar/ficha.php?id=1615" TargetMode="External"/><Relationship Id="rId473" Type="http://schemas.openxmlformats.org/officeDocument/2006/relationships/hyperlink" Target="https://www.jivi.com.ar/ficha.php?id=1528" TargetMode="External"/><Relationship Id="rId529" Type="http://schemas.openxmlformats.org/officeDocument/2006/relationships/hyperlink" Target="https://www.jivi.com.ar/ficha.php?id=1087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48" TargetMode="External"/><Relationship Id="rId168" Type="http://schemas.openxmlformats.org/officeDocument/2006/relationships/hyperlink" Target="https://www.jivi.com.ar/ficha.php?id=1097" TargetMode="External"/><Relationship Id="rId333" Type="http://schemas.openxmlformats.org/officeDocument/2006/relationships/hyperlink" Target="https://www.jivi.com.ar/ficha.php?id=1504" TargetMode="External"/><Relationship Id="rId540" Type="http://schemas.openxmlformats.org/officeDocument/2006/relationships/hyperlink" Target="https://www.jivi.com.ar/ficha.php?id=1597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414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59" TargetMode="External"/><Relationship Id="rId277" Type="http://schemas.openxmlformats.org/officeDocument/2006/relationships/hyperlink" Target="https://www.jivi.com.ar/ficha.php?id=1421" TargetMode="External"/><Relationship Id="rId400" Type="http://schemas.openxmlformats.org/officeDocument/2006/relationships/hyperlink" Target="https://www.jivi.com.ar/ficha.php?id=1584" TargetMode="External"/><Relationship Id="rId442" Type="http://schemas.openxmlformats.org/officeDocument/2006/relationships/hyperlink" Target="https://www.jivi.com.ar/ficha.php?id=1643" TargetMode="External"/><Relationship Id="rId484" Type="http://schemas.openxmlformats.org/officeDocument/2006/relationships/hyperlink" Target="https://www.jivi.com.ar/ficha.php?id=1727" TargetMode="External"/><Relationship Id="rId137" Type="http://schemas.openxmlformats.org/officeDocument/2006/relationships/hyperlink" Target="https://www.jivi.com.ar/ficha.php?id=938" TargetMode="External"/><Relationship Id="rId302" Type="http://schemas.openxmlformats.org/officeDocument/2006/relationships/hyperlink" Target="https://www.jivi.com.ar/ficha.php?id=1454" TargetMode="External"/><Relationship Id="rId344" Type="http://schemas.openxmlformats.org/officeDocument/2006/relationships/hyperlink" Target="https://www.jivi.com.ar/ficha.php?id=1559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1141" TargetMode="External"/><Relationship Id="rId386" Type="http://schemas.openxmlformats.org/officeDocument/2006/relationships/hyperlink" Target="https://www.jivi.com.ar/ficha.php?id=1571" TargetMode="External"/><Relationship Id="rId551" Type="http://schemas.openxmlformats.org/officeDocument/2006/relationships/hyperlink" Target="https://www.jivi.com.ar/ficha.php?id=1835" TargetMode="External"/><Relationship Id="rId190" Type="http://schemas.openxmlformats.org/officeDocument/2006/relationships/hyperlink" Target="https://www.jivi.com.ar/ficha.php?id=1183" TargetMode="External"/><Relationship Id="rId204" Type="http://schemas.openxmlformats.org/officeDocument/2006/relationships/hyperlink" Target="https://www.jivi.com.ar/ficha.php?id=1226" TargetMode="External"/><Relationship Id="rId246" Type="http://schemas.openxmlformats.org/officeDocument/2006/relationships/hyperlink" Target="https://www.jivi.com.ar/ficha.php?id=1428" TargetMode="External"/><Relationship Id="rId288" Type="http://schemas.openxmlformats.org/officeDocument/2006/relationships/hyperlink" Target="https://www.jivi.com.ar/ficha.php?id=1439" TargetMode="External"/><Relationship Id="rId411" Type="http://schemas.openxmlformats.org/officeDocument/2006/relationships/hyperlink" Target="https://www.jivi.com.ar/ficha.php?id=1596" TargetMode="External"/><Relationship Id="rId453" Type="http://schemas.openxmlformats.org/officeDocument/2006/relationships/hyperlink" Target="https://www.jivi.com.ar/ficha.php?id=1663" TargetMode="External"/><Relationship Id="rId509" Type="http://schemas.openxmlformats.org/officeDocument/2006/relationships/hyperlink" Target="https://www.jivi.com.ar/ficha.php?id=76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995" TargetMode="External"/><Relationship Id="rId495" Type="http://schemas.openxmlformats.org/officeDocument/2006/relationships/hyperlink" Target="https://www.jivi.com.ar/ficha.php?id=1743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250" TargetMode="External"/><Relationship Id="rId355" Type="http://schemas.openxmlformats.org/officeDocument/2006/relationships/hyperlink" Target="https://www.jivi.com.ar/ficha.php?id=1545" TargetMode="External"/><Relationship Id="rId397" Type="http://schemas.openxmlformats.org/officeDocument/2006/relationships/hyperlink" Target="https://www.jivi.com.ar/ficha.php?id=1580" TargetMode="External"/><Relationship Id="rId520" Type="http://schemas.openxmlformats.org/officeDocument/2006/relationships/hyperlink" Target="https://www.jivi.com.ar/ficha.php?id=1340" TargetMode="External"/><Relationship Id="rId562" Type="http://schemas.openxmlformats.org/officeDocument/2006/relationships/hyperlink" Target="https://www.jivi.com.ar/ficha.php?id=1733" TargetMode="External"/><Relationship Id="rId215" Type="http://schemas.openxmlformats.org/officeDocument/2006/relationships/hyperlink" Target="https://www.jivi.com.ar/ficha.php?id=1267" TargetMode="External"/><Relationship Id="rId257" Type="http://schemas.openxmlformats.org/officeDocument/2006/relationships/hyperlink" Target="https://www.jivi.com.ar/ficha.php?id=1400" TargetMode="External"/><Relationship Id="rId422" Type="http://schemas.openxmlformats.org/officeDocument/2006/relationships/hyperlink" Target="https://www.jivi.com.ar/ficha.php?id=1608" TargetMode="External"/><Relationship Id="rId464" Type="http://schemas.openxmlformats.org/officeDocument/2006/relationships/hyperlink" Target="https://www.jivi.com.ar/ficha.php?id=1438" TargetMode="External"/><Relationship Id="rId299" Type="http://schemas.openxmlformats.org/officeDocument/2006/relationships/hyperlink" Target="https://www.jivi.com.ar/ficha.php?id=1560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80" TargetMode="External"/><Relationship Id="rId366" Type="http://schemas.openxmlformats.org/officeDocument/2006/relationships/hyperlink" Target="https://www.jivi.com.ar/ficha.php?id=1555" TargetMode="External"/><Relationship Id="rId573" Type="http://schemas.openxmlformats.org/officeDocument/2006/relationships/hyperlink" Target="https://www.jivi.com.ar/ficha.php?id=1911" TargetMode="External"/><Relationship Id="rId226" Type="http://schemas.openxmlformats.org/officeDocument/2006/relationships/hyperlink" Target="https://www.jivi.com.ar/ficha.php?id=1290" TargetMode="External"/><Relationship Id="rId433" Type="http://schemas.openxmlformats.org/officeDocument/2006/relationships/hyperlink" Target="https://www.jivi.com.ar/ficha.php?id=1618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407" TargetMode="External"/><Relationship Id="rId500" Type="http://schemas.openxmlformats.org/officeDocument/2006/relationships/hyperlink" Target="https://www.jivi.com.ar/ficha.php?id=1748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65" TargetMode="External"/><Relationship Id="rId444" Type="http://schemas.openxmlformats.org/officeDocument/2006/relationships/hyperlink" Target="https://www.jivi.com.ar/ficha.php?id=1644" TargetMode="External"/><Relationship Id="rId290" Type="http://schemas.openxmlformats.org/officeDocument/2006/relationships/hyperlink" Target="https://www.jivi.com.ar/ficha.php?id=1427" TargetMode="External"/><Relationship Id="rId304" Type="http://schemas.openxmlformats.org/officeDocument/2006/relationships/hyperlink" Target="https://www.jivi.com.ar/ficha.php?id=1463" TargetMode="External"/><Relationship Id="rId388" Type="http://schemas.openxmlformats.org/officeDocument/2006/relationships/hyperlink" Target="https://www.jivi.com.ar/ficha.php?id=1572" TargetMode="External"/><Relationship Id="rId511" Type="http://schemas.openxmlformats.org/officeDocument/2006/relationships/hyperlink" Target="https://www.jivi.com.ar/ficha.php?id=1778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1023" TargetMode="External"/><Relationship Id="rId248" Type="http://schemas.openxmlformats.org/officeDocument/2006/relationships/hyperlink" Target="https://www.jivi.com.ar/ficha.php?id=1387" TargetMode="External"/><Relationship Id="rId455" Type="http://schemas.openxmlformats.org/officeDocument/2006/relationships/hyperlink" Target="https://www.jivi.com.ar/ficha.php?id=1664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835" TargetMode="External"/><Relationship Id="rId522" Type="http://schemas.openxmlformats.org/officeDocument/2006/relationships/hyperlink" Target="https://www.jivi.com.ar/ficha.php?id=1487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88" TargetMode="External"/><Relationship Id="rId399" Type="http://schemas.openxmlformats.org/officeDocument/2006/relationships/hyperlink" Target="https://www.jivi.com.ar/ficha.php?id=1583" TargetMode="External"/><Relationship Id="rId259" Type="http://schemas.openxmlformats.org/officeDocument/2006/relationships/hyperlink" Target="https://www.jivi.com.ar/ficha.php?id=1392" TargetMode="External"/><Relationship Id="rId466" Type="http://schemas.openxmlformats.org/officeDocument/2006/relationships/hyperlink" Target="https://www.jivi.com.ar/ficha.php?id=36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83" TargetMode="External"/><Relationship Id="rId326" Type="http://schemas.openxmlformats.org/officeDocument/2006/relationships/hyperlink" Target="https://www.jivi.com.ar/ficha.php?id=1495" TargetMode="External"/><Relationship Id="rId533" Type="http://schemas.openxmlformats.org/officeDocument/2006/relationships/hyperlink" Target="https://www.jivi.com.ar/ficha.php?id=1804" TargetMode="External"/><Relationship Id="rId172" Type="http://schemas.openxmlformats.org/officeDocument/2006/relationships/hyperlink" Target="https://www.jivi.com.ar/ficha.php?id=1108" TargetMode="External"/><Relationship Id="rId477" Type="http://schemas.openxmlformats.org/officeDocument/2006/relationships/hyperlink" Target="https://www.jivi.com.ar/ficha.php?id=1456" TargetMode="External"/><Relationship Id="rId337" Type="http://schemas.openxmlformats.org/officeDocument/2006/relationships/hyperlink" Target="https://www.jivi.com.ar/ficha.php?id=1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53"/>
  <sheetViews>
    <sheetView tabSelected="1" zoomScaleNormal="100" zoomScaleSheetLayoutView="100" workbookViewId="0">
      <pane ySplit="2" topLeftCell="A3" activePane="bottomLeft" state="frozen"/>
      <selection pane="bottomLeft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55" t="s">
        <v>0</v>
      </c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6"/>
      <c r="W1" s="857"/>
      <c r="X1" s="535">
        <v>1</v>
      </c>
      <c r="Y1" s="848" t="s">
        <v>1</v>
      </c>
      <c r="Z1" s="849"/>
      <c r="AA1" s="849"/>
      <c r="AB1" s="849"/>
      <c r="AC1" s="849"/>
      <c r="AD1" s="850"/>
      <c r="AE1" s="845" t="s">
        <v>2</v>
      </c>
      <c r="AF1" s="846"/>
      <c r="AG1" s="846"/>
      <c r="AH1" s="846"/>
      <c r="AI1" s="847"/>
      <c r="AJ1" s="843" t="s">
        <v>3</v>
      </c>
      <c r="AK1" s="56"/>
      <c r="AL1" s="56"/>
      <c r="AM1" s="54"/>
    </row>
    <row r="2" spans="1:39" ht="14.25" customHeight="1" x14ac:dyDescent="0.2">
      <c r="A2" s="18"/>
      <c r="B2" s="756" t="s">
        <v>927</v>
      </c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  <c r="R2" s="757"/>
      <c r="S2" s="757"/>
      <c r="T2" s="757"/>
      <c r="U2" s="757"/>
      <c r="V2" s="758"/>
      <c r="W2" s="759"/>
      <c r="X2" s="536">
        <v>1015</v>
      </c>
      <c r="Y2" s="859" t="s">
        <v>4</v>
      </c>
      <c r="Z2" s="860"/>
      <c r="AA2" s="860"/>
      <c r="AB2" s="860"/>
      <c r="AC2" s="860"/>
      <c r="AD2" s="861"/>
      <c r="AE2" s="853" t="s">
        <v>5</v>
      </c>
      <c r="AF2" s="854"/>
      <c r="AG2" s="854"/>
      <c r="AH2" s="537"/>
      <c r="AI2" s="538"/>
      <c r="AJ2" s="844"/>
      <c r="AK2" s="180"/>
      <c r="AL2" s="180"/>
      <c r="AM2" s="54"/>
    </row>
    <row r="3" spans="1:39" ht="15.75" customHeight="1" x14ac:dyDescent="0.2">
      <c r="A3" s="18"/>
      <c r="B3" s="803"/>
      <c r="C3" s="804"/>
      <c r="D3" s="805"/>
      <c r="E3" s="827" t="s">
        <v>6</v>
      </c>
      <c r="F3" s="828"/>
      <c r="G3" s="828"/>
      <c r="H3" s="828"/>
      <c r="I3" s="828"/>
      <c r="J3" s="828"/>
      <c r="K3" s="828"/>
      <c r="L3" s="828"/>
      <c r="M3" s="828"/>
      <c r="N3" s="828"/>
      <c r="O3" s="828"/>
      <c r="P3" s="828"/>
      <c r="Q3" s="828"/>
      <c r="R3" s="828"/>
      <c r="S3" s="828"/>
      <c r="T3" s="828"/>
      <c r="U3" s="828"/>
      <c r="V3" s="829"/>
      <c r="W3" s="830"/>
      <c r="X3" s="858" t="s">
        <v>393</v>
      </c>
      <c r="Y3" s="655"/>
      <c r="Z3" s="655"/>
      <c r="AA3" s="655"/>
      <c r="AB3" s="655"/>
      <c r="AC3" s="655"/>
      <c r="AD3" s="656"/>
      <c r="AE3" s="851"/>
      <c r="AF3" s="852"/>
      <c r="AG3" s="852"/>
      <c r="AH3" s="852"/>
      <c r="AI3" s="852"/>
      <c r="AJ3" s="13"/>
      <c r="AK3" s="13"/>
      <c r="AL3" s="13"/>
      <c r="AM3" s="55"/>
    </row>
    <row r="4" spans="1:39" ht="21.75" customHeight="1" x14ac:dyDescent="0.2">
      <c r="A4" s="18"/>
      <c r="B4" s="806"/>
      <c r="C4" s="807"/>
      <c r="D4" s="808"/>
      <c r="E4" s="831" t="s">
        <v>7</v>
      </c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3"/>
      <c r="X4" s="657"/>
      <c r="Y4" s="658"/>
      <c r="Z4" s="658"/>
      <c r="AA4" s="658"/>
      <c r="AB4" s="658"/>
      <c r="AC4" s="658"/>
      <c r="AD4" s="659"/>
      <c r="AE4" s="852"/>
      <c r="AF4" s="852"/>
      <c r="AG4" s="852"/>
      <c r="AH4" s="852"/>
      <c r="AI4" s="852"/>
      <c r="AJ4" s="13"/>
      <c r="AK4" s="13"/>
      <c r="AL4" s="13"/>
      <c r="AM4" s="55"/>
    </row>
    <row r="5" spans="1:39" ht="23.25" customHeight="1" x14ac:dyDescent="0.2">
      <c r="A5" s="18"/>
      <c r="B5" s="809"/>
      <c r="C5" s="810"/>
      <c r="D5" s="811"/>
      <c r="E5" s="812" t="s">
        <v>8</v>
      </c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  <c r="R5" s="813"/>
      <c r="S5" s="813"/>
      <c r="T5" s="813"/>
      <c r="U5" s="813"/>
      <c r="V5" s="813"/>
      <c r="W5" s="814"/>
      <c r="X5" s="818"/>
      <c r="Y5" s="819"/>
      <c r="Z5" s="819"/>
      <c r="AA5" s="819"/>
      <c r="AB5" s="819"/>
      <c r="AC5" s="819"/>
      <c r="AD5" s="820"/>
      <c r="AE5" s="869"/>
      <c r="AF5" s="869"/>
      <c r="AG5" s="869"/>
      <c r="AH5" s="869"/>
      <c r="AI5" s="869"/>
      <c r="AJ5" s="13"/>
      <c r="AK5" s="13"/>
      <c r="AL5" s="13"/>
      <c r="AM5" s="55"/>
    </row>
    <row r="6" spans="1:39" ht="12" customHeight="1" x14ac:dyDescent="0.2">
      <c r="A6" s="18"/>
      <c r="B6" s="815" t="s">
        <v>9</v>
      </c>
      <c r="C6" s="816"/>
      <c r="D6" s="816"/>
      <c r="E6" s="816"/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  <c r="Q6" s="816"/>
      <c r="R6" s="816"/>
      <c r="S6" s="816"/>
      <c r="T6" s="816"/>
      <c r="U6" s="816"/>
      <c r="V6" s="816"/>
      <c r="W6" s="817"/>
      <c r="X6" s="821"/>
      <c r="Y6" s="822"/>
      <c r="Z6" s="822"/>
      <c r="AA6" s="822"/>
      <c r="AB6" s="822"/>
      <c r="AC6" s="822"/>
      <c r="AD6" s="823"/>
      <c r="AE6" s="869"/>
      <c r="AF6" s="869"/>
      <c r="AG6" s="869"/>
      <c r="AH6" s="869"/>
      <c r="AI6" s="869"/>
      <c r="AJ6" s="13"/>
      <c r="AK6" s="13"/>
      <c r="AL6" s="13"/>
      <c r="AM6" s="55"/>
    </row>
    <row r="7" spans="1:39" ht="13.5" customHeight="1" x14ac:dyDescent="0.2">
      <c r="A7" s="18"/>
      <c r="B7" s="866" t="s">
        <v>10</v>
      </c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7"/>
      <c r="Q7" s="867"/>
      <c r="R7" s="867"/>
      <c r="S7" s="867"/>
      <c r="T7" s="867"/>
      <c r="U7" s="867"/>
      <c r="V7" s="867"/>
      <c r="W7" s="868"/>
      <c r="X7" s="824"/>
      <c r="Y7" s="825"/>
      <c r="Z7" s="825"/>
      <c r="AA7" s="825"/>
      <c r="AB7" s="825"/>
      <c r="AC7" s="825"/>
      <c r="AD7" s="826"/>
      <c r="AE7" s="869"/>
      <c r="AF7" s="869"/>
      <c r="AG7" s="869"/>
      <c r="AH7" s="869"/>
      <c r="AI7" s="869"/>
    </row>
    <row r="8" spans="1:39" ht="14.25" customHeight="1" x14ac:dyDescent="0.2">
      <c r="A8" s="18"/>
      <c r="B8" s="699" t="s">
        <v>11</v>
      </c>
      <c r="C8" s="840" t="s">
        <v>12</v>
      </c>
      <c r="D8" s="841"/>
      <c r="E8" s="841"/>
      <c r="F8" s="651" t="s">
        <v>13</v>
      </c>
      <c r="G8" s="651" t="s">
        <v>13</v>
      </c>
      <c r="H8" s="653" t="s">
        <v>844</v>
      </c>
      <c r="I8" s="653"/>
      <c r="J8" s="654"/>
      <c r="K8" s="654"/>
      <c r="L8" s="654"/>
      <c r="M8" s="654"/>
      <c r="N8" s="654"/>
      <c r="O8" s="654"/>
      <c r="P8" s="654"/>
      <c r="Q8" s="654"/>
      <c r="R8" s="654"/>
      <c r="S8" s="654"/>
      <c r="T8" s="654"/>
      <c r="U8" s="654"/>
      <c r="V8" s="654"/>
      <c r="W8" s="654"/>
      <c r="X8" s="637" t="s">
        <v>14</v>
      </c>
      <c r="Y8" s="638"/>
      <c r="Z8" s="638"/>
      <c r="AA8" s="639"/>
      <c r="AB8" s="643" t="s">
        <v>15</v>
      </c>
      <c r="AC8" s="782" t="s">
        <v>16</v>
      </c>
      <c r="AD8" s="783"/>
      <c r="AE8" s="783"/>
      <c r="AF8" s="783"/>
      <c r="AG8" s="783"/>
      <c r="AH8" s="783"/>
      <c r="AI8" s="784"/>
    </row>
    <row r="9" spans="1:39" ht="11.25" customHeight="1" x14ac:dyDescent="0.2">
      <c r="A9" s="18"/>
      <c r="B9" s="699"/>
      <c r="C9" s="841"/>
      <c r="D9" s="841"/>
      <c r="E9" s="841"/>
      <c r="F9" s="652"/>
      <c r="G9" s="652"/>
      <c r="H9" s="533"/>
      <c r="I9" s="531" t="s">
        <v>297</v>
      </c>
      <c r="J9" s="533"/>
      <c r="K9" s="531" t="s">
        <v>17</v>
      </c>
      <c r="L9" s="534"/>
      <c r="M9" s="534" t="s">
        <v>18</v>
      </c>
      <c r="N9" s="534"/>
      <c r="O9" s="531" t="s">
        <v>19</v>
      </c>
      <c r="P9" s="534"/>
      <c r="Q9" s="534" t="s">
        <v>299</v>
      </c>
      <c r="R9" s="534"/>
      <c r="S9" s="534" t="s">
        <v>20</v>
      </c>
      <c r="T9" s="534"/>
      <c r="U9" s="534" t="s">
        <v>21</v>
      </c>
      <c r="V9" s="534"/>
      <c r="W9" s="534" t="s">
        <v>22</v>
      </c>
      <c r="X9" s="640"/>
      <c r="Y9" s="641"/>
      <c r="Z9" s="641"/>
      <c r="AA9" s="642"/>
      <c r="AB9" s="644"/>
      <c r="AC9" s="785"/>
      <c r="AD9" s="786"/>
      <c r="AE9" s="786"/>
      <c r="AF9" s="786"/>
      <c r="AG9" s="786"/>
      <c r="AH9" s="786"/>
      <c r="AI9" s="787"/>
    </row>
    <row r="10" spans="1:39" ht="12.6" customHeight="1" x14ac:dyDescent="0.2">
      <c r="A10" s="18"/>
      <c r="B10" s="771" t="s">
        <v>730</v>
      </c>
      <c r="C10" s="772"/>
      <c r="D10" s="772"/>
      <c r="E10" s="773"/>
      <c r="F10" s="322">
        <v>557</v>
      </c>
      <c r="G10" s="329">
        <f t="shared" ref="G10" si="0">+F10*$X$1</f>
        <v>557</v>
      </c>
      <c r="H10" s="540"/>
      <c r="I10" s="560"/>
      <c r="J10" s="87">
        <f>F10+120</f>
        <v>677</v>
      </c>
      <c r="K10" s="322"/>
      <c r="L10" s="104"/>
      <c r="M10" s="322"/>
      <c r="N10" s="561">
        <f>F10+55</f>
        <v>612</v>
      </c>
      <c r="O10" s="299">
        <f t="shared" ref="O10" si="1">+N10*$X$1</f>
        <v>612</v>
      </c>
      <c r="P10" s="561">
        <f>F10+50</f>
        <v>607</v>
      </c>
      <c r="Q10" s="299">
        <f t="shared" ref="Q10" si="2">+P10*$X$1</f>
        <v>607</v>
      </c>
      <c r="R10" s="561">
        <f>F10+42</f>
        <v>599</v>
      </c>
      <c r="S10" s="299">
        <f t="shared" ref="S10" si="3">+R10*$X$1</f>
        <v>599</v>
      </c>
      <c r="T10" s="561">
        <f>F10+35</f>
        <v>592</v>
      </c>
      <c r="U10" s="299">
        <f t="shared" ref="U10" si="4">+T10*$X$1</f>
        <v>592</v>
      </c>
      <c r="V10" s="561">
        <f>F10+30</f>
        <v>587</v>
      </c>
      <c r="W10" s="299">
        <f t="shared" ref="W10" si="5">+V10*$X$1</f>
        <v>587</v>
      </c>
      <c r="X10" s="135"/>
      <c r="Y10" s="135"/>
      <c r="Z10" s="135"/>
      <c r="AA10" s="135"/>
      <c r="AB10" s="437">
        <v>13</v>
      </c>
      <c r="AE10" s="62"/>
      <c r="AF10" s="781" t="s">
        <v>884</v>
      </c>
      <c r="AG10" s="781"/>
      <c r="AH10" s="781"/>
    </row>
    <row r="11" spans="1:39" ht="12.6" customHeight="1" x14ac:dyDescent="0.2">
      <c r="A11" s="18"/>
      <c r="B11" s="760" t="s">
        <v>858</v>
      </c>
      <c r="C11" s="679"/>
      <c r="D11" s="679"/>
      <c r="E11" s="680"/>
      <c r="F11" s="300">
        <v>1063</v>
      </c>
      <c r="G11" s="328">
        <f t="shared" ref="G11" si="6">+F11*$X$1</f>
        <v>1063</v>
      </c>
      <c r="H11" s="290"/>
      <c r="I11" s="365"/>
      <c r="J11" s="90">
        <f>F11+120</f>
        <v>1183</v>
      </c>
      <c r="K11" s="300"/>
      <c r="L11" s="514"/>
      <c r="M11" s="300"/>
      <c r="N11" s="514">
        <f>F11+55</f>
        <v>1118</v>
      </c>
      <c r="O11" s="300">
        <f t="shared" ref="O11:O12" si="7">+N11*$X$1</f>
        <v>1118</v>
      </c>
      <c r="P11" s="514">
        <f>F11+50</f>
        <v>1113</v>
      </c>
      <c r="Q11" s="300">
        <f t="shared" ref="Q11:Q12" si="8">+P11*$X$1</f>
        <v>1113</v>
      </c>
      <c r="R11" s="514">
        <f>F11+42</f>
        <v>1105</v>
      </c>
      <c r="S11" s="300">
        <f t="shared" ref="S11:S12" si="9">+R11*$X$1</f>
        <v>1105</v>
      </c>
      <c r="T11" s="514">
        <f>F11+35</f>
        <v>1098</v>
      </c>
      <c r="U11" s="300">
        <f t="shared" ref="U11:U12" si="10">+T11*$X$1</f>
        <v>1098</v>
      </c>
      <c r="V11" s="514">
        <f>F11+30</f>
        <v>1093</v>
      </c>
      <c r="W11" s="300">
        <f t="shared" ref="W11:W12" si="11">+V11*$X$1</f>
        <v>1093</v>
      </c>
      <c r="X11" s="135"/>
      <c r="Y11" s="135"/>
      <c r="Z11" s="135"/>
      <c r="AA11" s="135"/>
      <c r="AB11" s="35"/>
      <c r="AE11" s="62"/>
      <c r="AF11" s="781" t="s">
        <v>23</v>
      </c>
      <c r="AG11" s="781"/>
      <c r="AH11" s="781"/>
    </row>
    <row r="12" spans="1:39" ht="12.6" customHeight="1" x14ac:dyDescent="0.2">
      <c r="A12" s="18"/>
      <c r="B12" s="669" t="s">
        <v>729</v>
      </c>
      <c r="C12" s="693"/>
      <c r="D12" s="693"/>
      <c r="E12" s="693"/>
      <c r="F12" s="299">
        <v>1163</v>
      </c>
      <c r="G12" s="329">
        <f t="shared" ref="G12:G13" si="12">+F12*$X$1</f>
        <v>1163</v>
      </c>
      <c r="H12" s="291"/>
      <c r="I12" s="364"/>
      <c r="J12" s="72"/>
      <c r="K12" s="299"/>
      <c r="L12" s="561"/>
      <c r="M12" s="299"/>
      <c r="N12" s="561">
        <f>F12+55</f>
        <v>1218</v>
      </c>
      <c r="O12" s="299">
        <f t="shared" si="7"/>
        <v>1218</v>
      </c>
      <c r="P12" s="561">
        <f>F12+50</f>
        <v>1213</v>
      </c>
      <c r="Q12" s="299">
        <f t="shared" si="8"/>
        <v>1213</v>
      </c>
      <c r="R12" s="561">
        <f>F12+42</f>
        <v>1205</v>
      </c>
      <c r="S12" s="299">
        <f t="shared" si="9"/>
        <v>1205</v>
      </c>
      <c r="T12" s="561">
        <f>F12+35</f>
        <v>1198</v>
      </c>
      <c r="U12" s="299">
        <f t="shared" si="10"/>
        <v>1198</v>
      </c>
      <c r="V12" s="561">
        <f>F12+30</f>
        <v>1193</v>
      </c>
      <c r="W12" s="299">
        <f t="shared" si="11"/>
        <v>1193</v>
      </c>
      <c r="X12" s="135"/>
      <c r="Y12" s="135"/>
      <c r="Z12" s="135"/>
      <c r="AA12" s="135"/>
      <c r="AB12" s="437">
        <v>15</v>
      </c>
      <c r="AE12" s="62"/>
      <c r="AF12" s="781" t="s">
        <v>433</v>
      </c>
      <c r="AG12" s="781"/>
      <c r="AH12" s="781"/>
    </row>
    <row r="13" spans="1:39" ht="12.6" customHeight="1" x14ac:dyDescent="0.2">
      <c r="A13" s="18"/>
      <c r="B13" s="760" t="s">
        <v>435</v>
      </c>
      <c r="C13" s="679"/>
      <c r="D13" s="679"/>
      <c r="E13" s="680"/>
      <c r="F13" s="300">
        <v>510</v>
      </c>
      <c r="G13" s="328">
        <f t="shared" si="12"/>
        <v>510</v>
      </c>
      <c r="H13" s="290"/>
      <c r="I13" s="365"/>
      <c r="J13" s="514">
        <f>F13+120</f>
        <v>630</v>
      </c>
      <c r="K13" s="300">
        <f t="shared" ref="K13:K14" si="13">+J13*$X$1</f>
        <v>630</v>
      </c>
      <c r="L13" s="514">
        <f>F13+90</f>
        <v>600</v>
      </c>
      <c r="M13" s="300">
        <f t="shared" ref="M13:M14" si="14">+L13*$X$1</f>
        <v>600</v>
      </c>
      <c r="N13" s="514">
        <f>F13+55</f>
        <v>565</v>
      </c>
      <c r="O13" s="300">
        <f t="shared" ref="O13:O14" si="15">+N13*$X$1</f>
        <v>565</v>
      </c>
      <c r="P13" s="514">
        <f>F13+49</f>
        <v>559</v>
      </c>
      <c r="Q13" s="300">
        <f t="shared" ref="Q13:Q14" si="16">+P13*$X$1</f>
        <v>559</v>
      </c>
      <c r="R13" s="514">
        <f>F13+42</f>
        <v>552</v>
      </c>
      <c r="S13" s="300">
        <f t="shared" ref="S13:S14" si="17">+R13*$X$1</f>
        <v>552</v>
      </c>
      <c r="T13" s="514">
        <f>F13+34</f>
        <v>544</v>
      </c>
      <c r="U13" s="300">
        <f t="shared" ref="U13:U14" si="18">+T13*$X$1</f>
        <v>544</v>
      </c>
      <c r="V13" s="514"/>
      <c r="W13" s="300"/>
      <c r="X13" s="135"/>
      <c r="Y13" s="135"/>
      <c r="Z13" s="135"/>
      <c r="AA13" s="135"/>
      <c r="AB13" s="437">
        <v>17</v>
      </c>
      <c r="AE13" s="62"/>
      <c r="AF13" s="781" t="s">
        <v>385</v>
      </c>
      <c r="AG13" s="781"/>
      <c r="AH13" s="781"/>
      <c r="AI13" s="62"/>
    </row>
    <row r="14" spans="1:39" ht="12.6" customHeight="1" x14ac:dyDescent="0.2">
      <c r="A14" s="18"/>
      <c r="B14" s="842" t="s">
        <v>744</v>
      </c>
      <c r="C14" s="741"/>
      <c r="D14" s="741"/>
      <c r="E14" s="742"/>
      <c r="F14" s="413">
        <f>27.94*X2</f>
        <v>28359.100000000002</v>
      </c>
      <c r="G14" s="329">
        <f>+F14*$X$1</f>
        <v>28359.100000000002</v>
      </c>
      <c r="H14" s="563">
        <f>F14+400</f>
        <v>28759.100000000002</v>
      </c>
      <c r="I14" s="299">
        <f t="shared" ref="I14" si="19">+H14*$X$1</f>
        <v>28759.100000000002</v>
      </c>
      <c r="J14" s="561">
        <f>F14+150</f>
        <v>28509.100000000002</v>
      </c>
      <c r="K14" s="299">
        <f t="shared" si="13"/>
        <v>28509.100000000002</v>
      </c>
      <c r="L14" s="561">
        <f>F14+100</f>
        <v>28459.100000000002</v>
      </c>
      <c r="M14" s="299">
        <f t="shared" si="14"/>
        <v>28459.100000000002</v>
      </c>
      <c r="N14" s="561">
        <f>F14+70</f>
        <v>28429.100000000002</v>
      </c>
      <c r="O14" s="299">
        <f t="shared" si="15"/>
        <v>28429.100000000002</v>
      </c>
      <c r="P14" s="561">
        <f>F14+60</f>
        <v>28419.100000000002</v>
      </c>
      <c r="Q14" s="299">
        <f t="shared" si="16"/>
        <v>28419.100000000002</v>
      </c>
      <c r="R14" s="561">
        <f>F14+55</f>
        <v>28414.100000000002</v>
      </c>
      <c r="S14" s="299">
        <f t="shared" si="17"/>
        <v>28414.100000000002</v>
      </c>
      <c r="T14" s="561">
        <f>F14+49</f>
        <v>28408.100000000002</v>
      </c>
      <c r="U14" s="299">
        <f t="shared" si="18"/>
        <v>28408.100000000002</v>
      </c>
      <c r="V14" s="561"/>
      <c r="W14" s="299"/>
      <c r="X14" s="697"/>
      <c r="Y14" s="743"/>
      <c r="Z14" s="743"/>
      <c r="AA14" s="698"/>
      <c r="AB14" s="437">
        <v>18</v>
      </c>
      <c r="AE14" s="73"/>
      <c r="AF14" s="781" t="s">
        <v>386</v>
      </c>
      <c r="AG14" s="781"/>
      <c r="AH14" s="781"/>
      <c r="AI14" s="622"/>
    </row>
    <row r="15" spans="1:39" ht="12.6" customHeight="1" x14ac:dyDescent="0.2">
      <c r="A15" s="98"/>
      <c r="B15" s="760" t="s">
        <v>25</v>
      </c>
      <c r="C15" s="679"/>
      <c r="D15" s="679"/>
      <c r="E15" s="680"/>
      <c r="F15" s="412">
        <f>4.1*X2</f>
        <v>4161.5</v>
      </c>
      <c r="G15" s="328">
        <f>+F15*$X$1</f>
        <v>4161.5</v>
      </c>
      <c r="H15" s="519">
        <f>F15+400</f>
        <v>4561.5</v>
      </c>
      <c r="I15" s="300">
        <f t="shared" ref="I15:I16" si="20">+H15*$X$1</f>
        <v>4561.5</v>
      </c>
      <c r="J15" s="514"/>
      <c r="K15" s="302"/>
      <c r="L15" s="514"/>
      <c r="M15" s="300"/>
      <c r="N15" s="514"/>
      <c r="O15" s="300"/>
      <c r="P15" s="103"/>
      <c r="Q15" s="863" t="s">
        <v>152</v>
      </c>
      <c r="R15" s="864"/>
      <c r="S15" s="864"/>
      <c r="T15" s="864"/>
      <c r="U15" s="864"/>
      <c r="V15" s="864"/>
      <c r="W15" s="865"/>
      <c r="X15" s="697"/>
      <c r="Y15" s="743"/>
      <c r="Z15" s="743"/>
      <c r="AA15" s="698"/>
      <c r="AB15" s="437">
        <v>24</v>
      </c>
      <c r="AE15" s="73"/>
      <c r="AF15" s="780" t="s">
        <v>24</v>
      </c>
      <c r="AG15" s="780"/>
      <c r="AH15" s="780"/>
      <c r="AI15" s="780"/>
      <c r="AJ15" s="99"/>
    </row>
    <row r="16" spans="1:39" ht="12.6" customHeight="1" x14ac:dyDescent="0.2">
      <c r="A16" s="130"/>
      <c r="B16" s="774" t="s">
        <v>574</v>
      </c>
      <c r="C16" s="775"/>
      <c r="D16" s="775"/>
      <c r="E16" s="776"/>
      <c r="F16" s="413">
        <f>4.1*X2</f>
        <v>4161.5</v>
      </c>
      <c r="G16" s="329">
        <f>+F16*$X$1</f>
        <v>4161.5</v>
      </c>
      <c r="H16" s="344">
        <f>F16+400</f>
        <v>4561.5</v>
      </c>
      <c r="I16" s="299">
        <f t="shared" si="20"/>
        <v>4561.5</v>
      </c>
      <c r="J16" s="561"/>
      <c r="K16" s="301"/>
      <c r="L16" s="115"/>
      <c r="M16" s="301"/>
      <c r="N16" s="115">
        <f>F16+40</f>
        <v>4201.5</v>
      </c>
      <c r="O16" s="299"/>
      <c r="P16" s="291"/>
      <c r="Q16" s="834" t="s">
        <v>152</v>
      </c>
      <c r="R16" s="835"/>
      <c r="S16" s="835"/>
      <c r="T16" s="835"/>
      <c r="U16" s="835"/>
      <c r="V16" s="835"/>
      <c r="W16" s="836"/>
      <c r="X16" s="250"/>
      <c r="Y16" s="199"/>
      <c r="Z16" s="199"/>
      <c r="AA16" s="198"/>
      <c r="AB16" s="437">
        <v>25</v>
      </c>
      <c r="AE16" s="73"/>
      <c r="AF16" s="780" t="s">
        <v>926</v>
      </c>
      <c r="AG16" s="780"/>
      <c r="AH16" s="780"/>
      <c r="AI16" s="780"/>
      <c r="AJ16" s="99"/>
    </row>
    <row r="17" spans="1:37" ht="12.6" customHeight="1" x14ac:dyDescent="0.2">
      <c r="A17" s="129"/>
      <c r="B17" s="760" t="s">
        <v>26</v>
      </c>
      <c r="C17" s="679"/>
      <c r="D17" s="679"/>
      <c r="E17" s="680"/>
      <c r="F17" s="300"/>
      <c r="G17" s="360"/>
      <c r="H17" s="290"/>
      <c r="I17" s="365"/>
      <c r="J17" s="514"/>
      <c r="K17" s="302"/>
      <c r="L17" s="514"/>
      <c r="M17" s="300"/>
      <c r="N17" s="514"/>
      <c r="O17" s="300"/>
      <c r="P17" s="103"/>
      <c r="Q17" s="300"/>
      <c r="R17" s="514"/>
      <c r="S17" s="300"/>
      <c r="T17" s="514"/>
      <c r="U17" s="300"/>
      <c r="V17" s="96"/>
      <c r="W17" s="300"/>
      <c r="X17" s="697"/>
      <c r="Y17" s="743"/>
      <c r="Z17" s="743"/>
      <c r="AA17" s="698"/>
      <c r="AB17" s="35"/>
      <c r="AF17" s="780" t="s">
        <v>398</v>
      </c>
      <c r="AG17" s="780"/>
      <c r="AH17" s="780"/>
      <c r="AI17" s="788"/>
      <c r="AJ17" s="788"/>
    </row>
    <row r="18" spans="1:37" ht="12.6" customHeight="1" x14ac:dyDescent="0.2">
      <c r="A18" s="18"/>
      <c r="B18" s="774" t="s">
        <v>27</v>
      </c>
      <c r="C18" s="676"/>
      <c r="D18" s="676"/>
      <c r="E18" s="677"/>
      <c r="F18" s="299">
        <v>4171</v>
      </c>
      <c r="G18" s="329">
        <f t="shared" ref="G18:G24" si="21">+F18*$X$1</f>
        <v>4171</v>
      </c>
      <c r="H18" s="563">
        <f>F18+400</f>
        <v>4571</v>
      </c>
      <c r="I18" s="299">
        <f t="shared" ref="I18:I19" si="22">+H18*$X$1</f>
        <v>4571</v>
      </c>
      <c r="J18" s="561">
        <f>F18+150</f>
        <v>4321</v>
      </c>
      <c r="K18" s="299">
        <f t="shared" ref="K18:K19" si="23">+J18*$X$1</f>
        <v>4321</v>
      </c>
      <c r="L18" s="561">
        <f>F18+100</f>
        <v>4271</v>
      </c>
      <c r="M18" s="299">
        <f t="shared" ref="M18:M19" si="24">+L18*$X$1</f>
        <v>4271</v>
      </c>
      <c r="N18" s="561">
        <f>F18+70</f>
        <v>4241</v>
      </c>
      <c r="O18" s="299">
        <f t="shared" ref="O18:O19" si="25">+N18*$X$1</f>
        <v>4241</v>
      </c>
      <c r="P18" s="561">
        <f>F18+60</f>
        <v>4231</v>
      </c>
      <c r="Q18" s="299">
        <f t="shared" ref="Q18:Q19" si="26">+P18*$X$1</f>
        <v>4231</v>
      </c>
      <c r="R18" s="561">
        <f>F18+55</f>
        <v>4226</v>
      </c>
      <c r="S18" s="299">
        <f t="shared" ref="S18:S19" si="27">+R18*$X$1</f>
        <v>4226</v>
      </c>
      <c r="T18" s="561">
        <f>F18+49</f>
        <v>4220</v>
      </c>
      <c r="U18" s="299">
        <f t="shared" ref="U18:U19" si="28">+T18*$X$1</f>
        <v>4220</v>
      </c>
      <c r="V18" s="561"/>
      <c r="W18" s="299"/>
      <c r="X18" s="697"/>
      <c r="Y18" s="743"/>
      <c r="Z18" s="743"/>
      <c r="AA18" s="698"/>
      <c r="AB18" s="437" t="s">
        <v>28</v>
      </c>
      <c r="AE18" s="73"/>
      <c r="AF18" s="780" t="s">
        <v>399</v>
      </c>
      <c r="AG18" s="780"/>
      <c r="AH18" s="780"/>
      <c r="AI18" s="780"/>
      <c r="AJ18" s="74"/>
    </row>
    <row r="19" spans="1:37" ht="12.6" customHeight="1" x14ac:dyDescent="0.2">
      <c r="A19" s="18"/>
      <c r="B19" s="764" t="s">
        <v>29</v>
      </c>
      <c r="C19" s="686"/>
      <c r="D19" s="686"/>
      <c r="E19" s="686"/>
      <c r="F19" s="300">
        <v>4171</v>
      </c>
      <c r="G19" s="328">
        <f t="shared" ref="G19" si="29">+F19*$X$1</f>
        <v>4171</v>
      </c>
      <c r="H19" s="564">
        <f>F19+400</f>
        <v>4571</v>
      </c>
      <c r="I19" s="300">
        <f t="shared" si="22"/>
        <v>4571</v>
      </c>
      <c r="J19" s="514">
        <f>F19+150</f>
        <v>4321</v>
      </c>
      <c r="K19" s="300">
        <f t="shared" si="23"/>
        <v>4321</v>
      </c>
      <c r="L19" s="514">
        <f>F19+100</f>
        <v>4271</v>
      </c>
      <c r="M19" s="300">
        <f t="shared" si="24"/>
        <v>4271</v>
      </c>
      <c r="N19" s="514">
        <f>F19+70</f>
        <v>4241</v>
      </c>
      <c r="O19" s="300">
        <f t="shared" si="25"/>
        <v>4241</v>
      </c>
      <c r="P19" s="514">
        <f>F19+60</f>
        <v>4231</v>
      </c>
      <c r="Q19" s="300">
        <f t="shared" si="26"/>
        <v>4231</v>
      </c>
      <c r="R19" s="514">
        <f>F19+55</f>
        <v>4226</v>
      </c>
      <c r="S19" s="300">
        <f t="shared" si="27"/>
        <v>4226</v>
      </c>
      <c r="T19" s="514">
        <f>F19+49</f>
        <v>4220</v>
      </c>
      <c r="U19" s="300">
        <f t="shared" si="28"/>
        <v>4220</v>
      </c>
      <c r="V19" s="514"/>
      <c r="W19" s="300"/>
      <c r="X19" s="697"/>
      <c r="Y19" s="743"/>
      <c r="Z19" s="743"/>
      <c r="AA19" s="698"/>
      <c r="AB19" s="437" t="s">
        <v>30</v>
      </c>
      <c r="AE19" s="73"/>
      <c r="AF19" s="780" t="s">
        <v>419</v>
      </c>
      <c r="AG19" s="780"/>
      <c r="AH19" s="780"/>
      <c r="AI19" s="780"/>
      <c r="AJ19" s="788"/>
    </row>
    <row r="20" spans="1:37" ht="12.6" customHeight="1" x14ac:dyDescent="0.2">
      <c r="A20" s="18"/>
      <c r="B20" s="669" t="s">
        <v>364</v>
      </c>
      <c r="C20" s="693"/>
      <c r="D20" s="693"/>
      <c r="E20" s="693"/>
      <c r="F20" s="299">
        <v>595</v>
      </c>
      <c r="G20" s="373">
        <f t="shared" si="21"/>
        <v>595</v>
      </c>
      <c r="H20" s="296"/>
      <c r="I20" s="385"/>
      <c r="J20" s="216"/>
      <c r="K20" s="301"/>
      <c r="L20" s="115"/>
      <c r="M20" s="301"/>
      <c r="N20" s="115"/>
      <c r="O20" s="299"/>
      <c r="P20" s="291"/>
      <c r="Q20" s="364"/>
      <c r="R20" s="561"/>
      <c r="S20" s="299"/>
      <c r="T20" s="561"/>
      <c r="U20" s="299"/>
      <c r="V20" s="561"/>
      <c r="W20" s="299"/>
      <c r="X20" s="135"/>
      <c r="Y20" s="135"/>
      <c r="Z20" s="135"/>
      <c r="AA20" s="135"/>
      <c r="AB20" s="437">
        <v>35</v>
      </c>
      <c r="AE20" s="73"/>
      <c r="AF20" s="780" t="s">
        <v>365</v>
      </c>
      <c r="AG20" s="788"/>
      <c r="AH20" s="788"/>
      <c r="AI20" s="788"/>
      <c r="AJ20" s="74"/>
    </row>
    <row r="21" spans="1:37" ht="12.6" customHeight="1" x14ac:dyDescent="0.2">
      <c r="A21" s="18"/>
      <c r="B21" s="764" t="s">
        <v>363</v>
      </c>
      <c r="C21" s="686"/>
      <c r="D21" s="686"/>
      <c r="E21" s="686"/>
      <c r="F21" s="300">
        <v>1930</v>
      </c>
      <c r="G21" s="360">
        <f t="shared" si="21"/>
        <v>1930</v>
      </c>
      <c r="H21" s="290"/>
      <c r="I21" s="365"/>
      <c r="J21" s="124"/>
      <c r="K21" s="300"/>
      <c r="L21" s="514"/>
      <c r="M21" s="300"/>
      <c r="N21" s="514"/>
      <c r="O21" s="300"/>
      <c r="P21" s="290"/>
      <c r="Q21" s="365"/>
      <c r="R21" s="514"/>
      <c r="S21" s="386"/>
      <c r="T21" s="103"/>
      <c r="U21" s="336"/>
      <c r="V21" s="103"/>
      <c r="W21" s="300"/>
      <c r="X21" s="135"/>
      <c r="Y21" s="135"/>
      <c r="Z21" s="135"/>
      <c r="AA21" s="135"/>
      <c r="AB21" s="437">
        <v>36</v>
      </c>
      <c r="AE21" s="73"/>
      <c r="AF21" s="780" t="s">
        <v>518</v>
      </c>
      <c r="AG21" s="780"/>
      <c r="AH21" s="780"/>
      <c r="AI21" s="780"/>
      <c r="AJ21" s="74"/>
    </row>
    <row r="22" spans="1:37" ht="12.6" customHeight="1" x14ac:dyDescent="0.2">
      <c r="A22" s="18"/>
      <c r="B22" s="669" t="s">
        <v>31</v>
      </c>
      <c r="C22" s="693"/>
      <c r="D22" s="693"/>
      <c r="E22" s="693"/>
      <c r="F22" s="299">
        <v>1930</v>
      </c>
      <c r="G22" s="323">
        <f t="shared" si="21"/>
        <v>1930</v>
      </c>
      <c r="H22" s="296"/>
      <c r="I22" s="368"/>
      <c r="J22" s="125"/>
      <c r="K22" s="299"/>
      <c r="L22" s="561"/>
      <c r="M22" s="299"/>
      <c r="N22" s="561"/>
      <c r="O22" s="299"/>
      <c r="P22" s="296"/>
      <c r="Q22" s="368"/>
      <c r="R22" s="561"/>
      <c r="S22" s="340"/>
      <c r="T22" s="561"/>
      <c r="U22" s="299"/>
      <c r="V22" s="561"/>
      <c r="W22" s="299"/>
      <c r="X22" s="135"/>
      <c r="Y22" s="135"/>
      <c r="Z22" s="135"/>
      <c r="AA22" s="135"/>
      <c r="AB22" s="437" t="s">
        <v>32</v>
      </c>
      <c r="AE22" s="73"/>
      <c r="AF22" s="780" t="s">
        <v>33</v>
      </c>
      <c r="AG22" s="780"/>
      <c r="AH22" s="780"/>
      <c r="AI22" s="780"/>
      <c r="AJ22" s="74"/>
    </row>
    <row r="23" spans="1:37" ht="12.6" customHeight="1" x14ac:dyDescent="0.2">
      <c r="A23" s="18"/>
      <c r="B23" s="764" t="s">
        <v>34</v>
      </c>
      <c r="C23" s="686"/>
      <c r="D23" s="686"/>
      <c r="E23" s="686"/>
      <c r="F23" s="300"/>
      <c r="G23" s="360"/>
      <c r="H23" s="290"/>
      <c r="I23" s="365"/>
      <c r="J23" s="124"/>
      <c r="K23" s="302"/>
      <c r="L23" s="96"/>
      <c r="M23" s="302"/>
      <c r="N23" s="96"/>
      <c r="O23" s="302"/>
      <c r="P23" s="96"/>
      <c r="Q23" s="302"/>
      <c r="R23" s="96"/>
      <c r="S23" s="406"/>
      <c r="T23" s="96"/>
      <c r="U23" s="369"/>
      <c r="V23" s="96"/>
      <c r="W23" s="302"/>
      <c r="X23" s="135"/>
      <c r="Y23" s="135"/>
      <c r="Z23" s="135"/>
      <c r="AA23" s="135"/>
      <c r="AB23" s="437" t="s">
        <v>35</v>
      </c>
      <c r="AD23" s="23"/>
      <c r="AE23" s="75"/>
      <c r="AF23" s="780" t="s">
        <v>36</v>
      </c>
      <c r="AG23" s="788"/>
      <c r="AH23" s="788"/>
      <c r="AI23" s="788"/>
      <c r="AJ23" s="74"/>
    </row>
    <row r="24" spans="1:37" ht="12.6" customHeight="1" x14ac:dyDescent="0.2">
      <c r="A24" s="18"/>
      <c r="B24" s="774" t="s">
        <v>37</v>
      </c>
      <c r="C24" s="676"/>
      <c r="D24" s="676"/>
      <c r="E24" s="677"/>
      <c r="F24" s="407">
        <f>6.35*X2</f>
        <v>6445.25</v>
      </c>
      <c r="G24" s="299">
        <f t="shared" si="21"/>
        <v>6445.25</v>
      </c>
      <c r="H24" s="563"/>
      <c r="I24" s="299"/>
      <c r="J24" s="561"/>
      <c r="K24" s="299"/>
      <c r="L24" s="561">
        <f>F24+100</f>
        <v>6545.25</v>
      </c>
      <c r="M24" s="299">
        <f t="shared" ref="M24" si="30">+L24*$X$1</f>
        <v>6545.25</v>
      </c>
      <c r="N24" s="561">
        <f>F24+70</f>
        <v>6515.25</v>
      </c>
      <c r="O24" s="299">
        <f t="shared" ref="O24" si="31">+N24*$X$1</f>
        <v>6515.25</v>
      </c>
      <c r="P24" s="561">
        <f>F24+60</f>
        <v>6505.25</v>
      </c>
      <c r="Q24" s="299">
        <f t="shared" ref="Q24" si="32">+P24*$X$1</f>
        <v>6505.25</v>
      </c>
      <c r="R24" s="561">
        <f>F24+55</f>
        <v>6500.25</v>
      </c>
      <c r="S24" s="299">
        <f t="shared" ref="S24" si="33">+R24*$X$1</f>
        <v>6500.25</v>
      </c>
      <c r="T24" s="561">
        <f>F24+49</f>
        <v>6494.25</v>
      </c>
      <c r="U24" s="299">
        <f t="shared" ref="U24" si="34">+T24*$X$1</f>
        <v>6494.25</v>
      </c>
      <c r="V24" s="561"/>
      <c r="W24" s="299"/>
      <c r="X24" s="697"/>
      <c r="Y24" s="763"/>
      <c r="Z24" s="763"/>
      <c r="AA24" s="684"/>
      <c r="AB24" s="437">
        <v>39</v>
      </c>
      <c r="AE24" s="73"/>
      <c r="AF24" s="780" t="s">
        <v>783</v>
      </c>
      <c r="AG24" s="780"/>
      <c r="AH24" s="780"/>
      <c r="AI24" s="788"/>
      <c r="AJ24" s="788"/>
    </row>
    <row r="25" spans="1:37" ht="12.6" customHeight="1" x14ac:dyDescent="0.2">
      <c r="A25" s="18"/>
      <c r="B25" s="789" t="s">
        <v>38</v>
      </c>
      <c r="C25" s="790"/>
      <c r="D25" s="790"/>
      <c r="E25" s="791"/>
      <c r="F25" s="302"/>
      <c r="G25" s="300"/>
      <c r="H25" s="290"/>
      <c r="I25" s="365"/>
      <c r="J25" s="124"/>
      <c r="K25" s="300"/>
      <c r="L25" s="514"/>
      <c r="M25" s="300"/>
      <c r="N25" s="514"/>
      <c r="O25" s="300"/>
      <c r="P25" s="292"/>
      <c r="Q25" s="300"/>
      <c r="R25" s="514"/>
      <c r="S25" s="300"/>
      <c r="T25" s="514"/>
      <c r="U25" s="300"/>
      <c r="V25" s="514"/>
      <c r="W25" s="300"/>
      <c r="X25" s="134"/>
      <c r="Y25" s="135"/>
      <c r="Z25" s="135"/>
      <c r="AA25" s="135"/>
      <c r="AB25" s="437" t="s">
        <v>39</v>
      </c>
      <c r="AE25" s="73"/>
      <c r="AF25" s="780" t="s">
        <v>40</v>
      </c>
      <c r="AG25" s="780"/>
      <c r="AH25" s="780"/>
      <c r="AI25" s="780"/>
      <c r="AJ25" s="74"/>
    </row>
    <row r="26" spans="1:37" ht="12.6" customHeight="1" x14ac:dyDescent="0.2">
      <c r="A26" s="18"/>
      <c r="B26" s="669" t="s">
        <v>41</v>
      </c>
      <c r="C26" s="693"/>
      <c r="D26" s="693"/>
      <c r="E26" s="693"/>
      <c r="F26" s="407"/>
      <c r="G26" s="299"/>
      <c r="H26" s="291"/>
      <c r="I26" s="364"/>
      <c r="J26" s="561"/>
      <c r="K26" s="299"/>
      <c r="L26" s="561">
        <f>6.7*X2</f>
        <v>6800.5</v>
      </c>
      <c r="M26" s="299">
        <f t="shared" ref="M26:M27" si="35">+L26*$X$1</f>
        <v>6800.5</v>
      </c>
      <c r="N26" s="561">
        <f>6.5*X2</f>
        <v>6597.5</v>
      </c>
      <c r="O26" s="299">
        <f t="shared" ref="O26:O27" si="36">+N26*$X$1</f>
        <v>6597.5</v>
      </c>
      <c r="P26" s="338">
        <f>6.3*X2</f>
        <v>6394.5</v>
      </c>
      <c r="Q26" s="299">
        <f t="shared" ref="Q26:Q27" si="37">+P26*$X$1</f>
        <v>6394.5</v>
      </c>
      <c r="R26" s="561">
        <f>6.1*X2</f>
        <v>6191.5</v>
      </c>
      <c r="S26" s="299">
        <f t="shared" ref="S26:S27" si="38">+R26*$X$1</f>
        <v>6191.5</v>
      </c>
      <c r="T26" s="561">
        <f>6*X2</f>
        <v>6090</v>
      </c>
      <c r="U26" s="299">
        <f t="shared" ref="U26:U27" si="39">+T26*$X$1</f>
        <v>6090</v>
      </c>
      <c r="V26" s="561"/>
      <c r="W26" s="299"/>
      <c r="X26" s="713"/>
      <c r="Y26" s="763"/>
      <c r="Z26" s="763"/>
      <c r="AA26" s="684"/>
      <c r="AB26" s="437">
        <v>40</v>
      </c>
      <c r="AE26" s="73"/>
      <c r="AF26" s="780" t="s">
        <v>42</v>
      </c>
      <c r="AG26" s="780"/>
      <c r="AH26" s="780"/>
      <c r="AI26" s="780"/>
      <c r="AJ26" s="788"/>
    </row>
    <row r="27" spans="1:37" ht="12.6" customHeight="1" x14ac:dyDescent="0.2">
      <c r="A27" s="18"/>
      <c r="B27" s="760" t="s">
        <v>374</v>
      </c>
      <c r="C27" s="679"/>
      <c r="D27" s="679"/>
      <c r="E27" s="680"/>
      <c r="F27" s="412">
        <f>8.3*X2</f>
        <v>8424.5</v>
      </c>
      <c r="G27" s="300">
        <f>+F27*$X$1</f>
        <v>8424.5</v>
      </c>
      <c r="H27" s="290"/>
      <c r="I27" s="365"/>
      <c r="J27" s="514">
        <f>F27+120</f>
        <v>8544.5</v>
      </c>
      <c r="K27" s="300">
        <f t="shared" ref="K27" si="40">+J27*$X$1</f>
        <v>8544.5</v>
      </c>
      <c r="L27" s="514">
        <f>F27+100</f>
        <v>8524.5</v>
      </c>
      <c r="M27" s="300">
        <f t="shared" si="35"/>
        <v>8524.5</v>
      </c>
      <c r="N27" s="514">
        <f>F27+70</f>
        <v>8494.5</v>
      </c>
      <c r="O27" s="300">
        <f t="shared" si="36"/>
        <v>8494.5</v>
      </c>
      <c r="P27" s="514">
        <f>F27+60</f>
        <v>8484.5</v>
      </c>
      <c r="Q27" s="300">
        <f t="shared" si="37"/>
        <v>8484.5</v>
      </c>
      <c r="R27" s="514">
        <f>F27+55</f>
        <v>8479.5</v>
      </c>
      <c r="S27" s="300">
        <f t="shared" si="38"/>
        <v>8479.5</v>
      </c>
      <c r="T27" s="514">
        <f>F27+49</f>
        <v>8473.5</v>
      </c>
      <c r="U27" s="300">
        <f t="shared" si="39"/>
        <v>8473.5</v>
      </c>
      <c r="V27" s="514"/>
      <c r="W27" s="300"/>
      <c r="X27" s="220"/>
      <c r="Y27" s="170"/>
      <c r="Z27" s="170"/>
      <c r="AA27" s="171"/>
      <c r="AB27" s="437">
        <v>44</v>
      </c>
      <c r="AE27" s="73"/>
      <c r="AF27" s="780" t="s">
        <v>439</v>
      </c>
      <c r="AG27" s="780"/>
      <c r="AH27" s="780"/>
      <c r="AI27" s="788"/>
      <c r="AJ27" s="788"/>
      <c r="AK27" s="66"/>
    </row>
    <row r="28" spans="1:37" ht="12.6" customHeight="1" x14ac:dyDescent="0.2">
      <c r="A28" s="18"/>
      <c r="B28" s="890" t="s">
        <v>704</v>
      </c>
      <c r="C28" s="891"/>
      <c r="D28" s="891"/>
      <c r="E28" s="891"/>
      <c r="F28" s="407">
        <f>0.5*X2</f>
        <v>507.5</v>
      </c>
      <c r="G28" s="299">
        <f>+F28*$X$1</f>
        <v>507.5</v>
      </c>
      <c r="H28" s="291"/>
      <c r="I28" s="364"/>
      <c r="J28" s="72"/>
      <c r="K28" s="299"/>
      <c r="L28" s="561">
        <f>F28+90</f>
        <v>597.5</v>
      </c>
      <c r="M28" s="299">
        <f t="shared" ref="M28" si="41">+L28*$X$1</f>
        <v>597.5</v>
      </c>
      <c r="N28" s="561">
        <f>F28+55</f>
        <v>562.5</v>
      </c>
      <c r="O28" s="299">
        <f t="shared" ref="O28" si="42">+N28*$X$1</f>
        <v>562.5</v>
      </c>
      <c r="P28" s="561">
        <f>F28+50</f>
        <v>557.5</v>
      </c>
      <c r="Q28" s="299">
        <f t="shared" ref="Q28" si="43">+P28*$X$1</f>
        <v>557.5</v>
      </c>
      <c r="R28" s="561">
        <f>F28+42</f>
        <v>549.5</v>
      </c>
      <c r="S28" s="299">
        <f t="shared" ref="S28" si="44">+R28*$X$1</f>
        <v>549.5</v>
      </c>
      <c r="T28" s="561">
        <f>F28+35</f>
        <v>542.5</v>
      </c>
      <c r="U28" s="299">
        <f t="shared" ref="U28" si="45">+T28*$X$1</f>
        <v>542.5</v>
      </c>
      <c r="V28" s="561">
        <f>F28+30</f>
        <v>537.5</v>
      </c>
      <c r="W28" s="299">
        <f t="shared" ref="W28" si="46">+V28*$X$1</f>
        <v>537.5</v>
      </c>
      <c r="X28" s="135"/>
      <c r="Y28" s="135"/>
      <c r="Z28" s="135"/>
      <c r="AA28" s="135"/>
      <c r="AB28" s="437">
        <v>45</v>
      </c>
      <c r="AF28" s="780" t="s">
        <v>782</v>
      </c>
      <c r="AG28" s="780"/>
      <c r="AH28" s="780"/>
      <c r="AI28" s="780"/>
      <c r="AJ28" s="780"/>
    </row>
    <row r="29" spans="1:37" ht="12.6" customHeight="1" x14ac:dyDescent="0.2">
      <c r="A29" s="18"/>
      <c r="B29" s="764" t="s">
        <v>43</v>
      </c>
      <c r="C29" s="686"/>
      <c r="D29" s="686"/>
      <c r="E29" s="686"/>
      <c r="F29" s="300">
        <v>570</v>
      </c>
      <c r="G29" s="328">
        <f t="shared" ref="G29:G37" si="47">+F29*$X$1</f>
        <v>570</v>
      </c>
      <c r="H29" s="837" t="s">
        <v>44</v>
      </c>
      <c r="I29" s="837"/>
      <c r="J29" s="838"/>
      <c r="K29" s="839"/>
      <c r="L29" s="290"/>
      <c r="M29" s="365"/>
      <c r="N29" s="91">
        <v>1710</v>
      </c>
      <c r="O29" s="328">
        <f t="shared" ref="O29:O40" si="48">+N29*$X$1</f>
        <v>1710</v>
      </c>
      <c r="P29" s="292">
        <v>1572</v>
      </c>
      <c r="Q29" s="576">
        <f t="shared" ref="Q29:S53" si="49">+P29*$X$1</f>
        <v>1572</v>
      </c>
      <c r="R29" s="103">
        <v>1460</v>
      </c>
      <c r="S29" s="321">
        <f t="shared" si="49"/>
        <v>1460</v>
      </c>
      <c r="T29" s="514">
        <v>1350</v>
      </c>
      <c r="U29" s="321">
        <f t="shared" ref="U29:U46" si="50">+T29*$X$1</f>
        <v>1350</v>
      </c>
      <c r="V29" s="514">
        <v>1311</v>
      </c>
      <c r="W29" s="300">
        <f t="shared" ref="W29:W46" si="51">+V29*$X$1</f>
        <v>1311</v>
      </c>
      <c r="X29" s="697"/>
      <c r="Y29" s="763"/>
      <c r="Z29" s="763"/>
      <c r="AA29" s="684"/>
      <c r="AB29" s="437" t="s">
        <v>45</v>
      </c>
      <c r="AE29" s="73"/>
      <c r="AF29" s="780" t="s">
        <v>612</v>
      </c>
      <c r="AG29" s="780"/>
      <c r="AH29" s="780"/>
      <c r="AI29" s="780"/>
      <c r="AJ29" s="780"/>
    </row>
    <row r="30" spans="1:37" ht="12.6" customHeight="1" x14ac:dyDescent="0.2">
      <c r="A30" s="18"/>
      <c r="B30" s="669" t="s">
        <v>46</v>
      </c>
      <c r="C30" s="693"/>
      <c r="D30" s="693"/>
      <c r="E30" s="693"/>
      <c r="F30" s="299">
        <v>570</v>
      </c>
      <c r="G30" s="329">
        <f t="shared" si="47"/>
        <v>570</v>
      </c>
      <c r="H30" s="768" t="s">
        <v>44</v>
      </c>
      <c r="I30" s="768"/>
      <c r="J30" s="769"/>
      <c r="K30" s="770"/>
      <c r="L30" s="291"/>
      <c r="M30" s="364"/>
      <c r="N30" s="87">
        <v>1710</v>
      </c>
      <c r="O30" s="329">
        <f t="shared" ref="O30:O33" si="52">+N30*$X$1</f>
        <v>1710</v>
      </c>
      <c r="P30" s="338">
        <v>1572</v>
      </c>
      <c r="Q30" s="577">
        <f t="shared" ref="Q30:Q33" si="53">+P30*$X$1</f>
        <v>1572</v>
      </c>
      <c r="R30" s="104">
        <v>1460</v>
      </c>
      <c r="S30" s="264">
        <f t="shared" ref="S30:S33" si="54">+R30*$X$1</f>
        <v>1460</v>
      </c>
      <c r="T30" s="574">
        <v>1350</v>
      </c>
      <c r="U30" s="264">
        <f t="shared" ref="U30:U33" si="55">+T30*$X$1</f>
        <v>1350</v>
      </c>
      <c r="V30" s="574">
        <v>1311</v>
      </c>
      <c r="W30" s="299">
        <f t="shared" ref="W30:W33" si="56">+V30*$X$1</f>
        <v>1311</v>
      </c>
      <c r="X30" s="697"/>
      <c r="Y30" s="763"/>
      <c r="Z30" s="763"/>
      <c r="AA30" s="684"/>
      <c r="AB30" s="437" t="s">
        <v>47</v>
      </c>
    </row>
    <row r="31" spans="1:37" ht="12.6" customHeight="1" x14ac:dyDescent="0.2">
      <c r="A31" s="18"/>
      <c r="B31" s="764" t="s">
        <v>48</v>
      </c>
      <c r="C31" s="686"/>
      <c r="D31" s="686"/>
      <c r="E31" s="686"/>
      <c r="F31" s="300">
        <v>570</v>
      </c>
      <c r="G31" s="328">
        <f t="shared" si="47"/>
        <v>570</v>
      </c>
      <c r="H31" s="765" t="s">
        <v>44</v>
      </c>
      <c r="I31" s="765"/>
      <c r="J31" s="766"/>
      <c r="K31" s="767"/>
      <c r="L31" s="290"/>
      <c r="M31" s="365"/>
      <c r="N31" s="91">
        <v>1710</v>
      </c>
      <c r="O31" s="328">
        <f t="shared" si="52"/>
        <v>1710</v>
      </c>
      <c r="P31" s="292">
        <v>1572</v>
      </c>
      <c r="Q31" s="576">
        <f t="shared" si="53"/>
        <v>1572</v>
      </c>
      <c r="R31" s="103">
        <v>1460</v>
      </c>
      <c r="S31" s="321">
        <f t="shared" si="54"/>
        <v>1460</v>
      </c>
      <c r="T31" s="514">
        <v>1350</v>
      </c>
      <c r="U31" s="321">
        <f t="shared" si="55"/>
        <v>1350</v>
      </c>
      <c r="V31" s="514">
        <v>1311</v>
      </c>
      <c r="W31" s="300">
        <f t="shared" si="56"/>
        <v>1311</v>
      </c>
      <c r="X31" s="697"/>
      <c r="Y31" s="763"/>
      <c r="Z31" s="763"/>
      <c r="AA31" s="684"/>
      <c r="AB31" s="437" t="s">
        <v>49</v>
      </c>
    </row>
    <row r="32" spans="1:37" ht="12.6" customHeight="1" x14ac:dyDescent="0.2">
      <c r="A32" s="18"/>
      <c r="B32" s="669" t="s">
        <v>50</v>
      </c>
      <c r="C32" s="693"/>
      <c r="D32" s="693"/>
      <c r="E32" s="693"/>
      <c r="F32" s="299">
        <v>570</v>
      </c>
      <c r="G32" s="329">
        <f t="shared" si="47"/>
        <v>570</v>
      </c>
      <c r="H32" s="768" t="s">
        <v>44</v>
      </c>
      <c r="I32" s="768"/>
      <c r="J32" s="769"/>
      <c r="K32" s="770"/>
      <c r="L32" s="291"/>
      <c r="M32" s="364"/>
      <c r="N32" s="87">
        <v>1710</v>
      </c>
      <c r="O32" s="329">
        <f t="shared" si="52"/>
        <v>1710</v>
      </c>
      <c r="P32" s="338">
        <v>1572</v>
      </c>
      <c r="Q32" s="577">
        <f t="shared" si="53"/>
        <v>1572</v>
      </c>
      <c r="R32" s="104">
        <v>1460</v>
      </c>
      <c r="S32" s="264">
        <f t="shared" si="54"/>
        <v>1460</v>
      </c>
      <c r="T32" s="574">
        <v>1350</v>
      </c>
      <c r="U32" s="264">
        <f t="shared" si="55"/>
        <v>1350</v>
      </c>
      <c r="V32" s="574">
        <v>1311</v>
      </c>
      <c r="W32" s="299">
        <f t="shared" si="56"/>
        <v>1311</v>
      </c>
      <c r="X32" s="697"/>
      <c r="Y32" s="763"/>
      <c r="Z32" s="763"/>
      <c r="AA32" s="684"/>
      <c r="AB32" s="437" t="s">
        <v>51</v>
      </c>
    </row>
    <row r="33" spans="1:28" ht="12.6" customHeight="1" x14ac:dyDescent="0.2">
      <c r="A33" s="18"/>
      <c r="B33" s="764" t="s">
        <v>52</v>
      </c>
      <c r="C33" s="686"/>
      <c r="D33" s="686"/>
      <c r="E33" s="686"/>
      <c r="F33" s="300">
        <v>570</v>
      </c>
      <c r="G33" s="328">
        <f t="shared" si="47"/>
        <v>570</v>
      </c>
      <c r="H33" s="765" t="s">
        <v>44</v>
      </c>
      <c r="I33" s="765"/>
      <c r="J33" s="766"/>
      <c r="K33" s="767"/>
      <c r="L33" s="290"/>
      <c r="M33" s="365"/>
      <c r="N33" s="91">
        <v>1710</v>
      </c>
      <c r="O33" s="328">
        <f t="shared" si="52"/>
        <v>1710</v>
      </c>
      <c r="P33" s="292">
        <v>1572</v>
      </c>
      <c r="Q33" s="576">
        <f t="shared" si="53"/>
        <v>1572</v>
      </c>
      <c r="R33" s="103">
        <v>1460</v>
      </c>
      <c r="S33" s="321">
        <f t="shared" si="54"/>
        <v>1460</v>
      </c>
      <c r="T33" s="514">
        <v>1350</v>
      </c>
      <c r="U33" s="321">
        <f t="shared" si="55"/>
        <v>1350</v>
      </c>
      <c r="V33" s="514">
        <v>1311</v>
      </c>
      <c r="W33" s="300">
        <f t="shared" si="56"/>
        <v>1311</v>
      </c>
      <c r="X33" s="697"/>
      <c r="Y33" s="763"/>
      <c r="Z33" s="763"/>
      <c r="AA33" s="684"/>
      <c r="AB33" s="437" t="s">
        <v>53</v>
      </c>
    </row>
    <row r="34" spans="1:28" ht="12.6" customHeight="1" x14ac:dyDescent="0.25">
      <c r="A34" s="18"/>
      <c r="B34" s="669" t="s">
        <v>54</v>
      </c>
      <c r="C34" s="693"/>
      <c r="D34" s="693"/>
      <c r="E34" s="693"/>
      <c r="F34" s="299">
        <v>570</v>
      </c>
      <c r="G34" s="329">
        <f t="shared" si="47"/>
        <v>570</v>
      </c>
      <c r="H34" s="768" t="s">
        <v>44</v>
      </c>
      <c r="I34" s="768"/>
      <c r="J34" s="769"/>
      <c r="K34" s="770"/>
      <c r="L34" s="291"/>
      <c r="M34" s="364"/>
      <c r="N34" s="87">
        <v>1480</v>
      </c>
      <c r="O34" s="329">
        <f t="shared" si="48"/>
        <v>1480</v>
      </c>
      <c r="P34" s="338">
        <v>1360</v>
      </c>
      <c r="Q34" s="577">
        <f t="shared" si="49"/>
        <v>1360</v>
      </c>
      <c r="R34" s="574">
        <v>1251</v>
      </c>
      <c r="S34" s="264">
        <f t="shared" si="49"/>
        <v>1251</v>
      </c>
      <c r="T34" s="574">
        <v>1167</v>
      </c>
      <c r="U34" s="264">
        <f t="shared" si="50"/>
        <v>1167</v>
      </c>
      <c r="V34" s="574">
        <v>1114</v>
      </c>
      <c r="W34" s="299">
        <f t="shared" si="51"/>
        <v>1114</v>
      </c>
      <c r="X34" s="697"/>
      <c r="Y34" s="730"/>
      <c r="Z34" s="730"/>
      <c r="AA34" s="731"/>
      <c r="AB34" s="437" t="s">
        <v>478</v>
      </c>
    </row>
    <row r="35" spans="1:28" ht="12.6" customHeight="1" x14ac:dyDescent="0.2">
      <c r="A35" s="18"/>
      <c r="B35" s="764" t="s">
        <v>55</v>
      </c>
      <c r="C35" s="686"/>
      <c r="D35" s="686"/>
      <c r="E35" s="686"/>
      <c r="F35" s="300">
        <v>570</v>
      </c>
      <c r="G35" s="328">
        <f t="shared" si="47"/>
        <v>570</v>
      </c>
      <c r="H35" s="765" t="s">
        <v>44</v>
      </c>
      <c r="I35" s="765"/>
      <c r="J35" s="766"/>
      <c r="K35" s="767"/>
      <c r="L35" s="290"/>
      <c r="M35" s="365"/>
      <c r="N35" s="91">
        <v>1300</v>
      </c>
      <c r="O35" s="328">
        <f t="shared" ref="O35" si="57">+N35*$X$1</f>
        <v>1300</v>
      </c>
      <c r="P35" s="292">
        <v>1195</v>
      </c>
      <c r="Q35" s="576">
        <f t="shared" ref="Q35" si="58">+P35*$X$1</f>
        <v>1195</v>
      </c>
      <c r="R35" s="103">
        <v>1097</v>
      </c>
      <c r="S35" s="321">
        <f t="shared" ref="S35" si="59">+R35*$X$1</f>
        <v>1097</v>
      </c>
      <c r="T35" s="514">
        <v>1010</v>
      </c>
      <c r="U35" s="321">
        <f t="shared" ref="U35" si="60">+T35*$X$1</f>
        <v>1010</v>
      </c>
      <c r="V35" s="514">
        <v>909</v>
      </c>
      <c r="W35" s="300">
        <f t="shared" ref="W35" si="61">+V35*$X$1</f>
        <v>909</v>
      </c>
      <c r="X35" s="697"/>
      <c r="Y35" s="730"/>
      <c r="Z35" s="730"/>
      <c r="AA35" s="731"/>
      <c r="AB35" s="437" t="s">
        <v>476</v>
      </c>
    </row>
    <row r="36" spans="1:28" ht="12.6" customHeight="1" x14ac:dyDescent="0.25">
      <c r="A36" s="18"/>
      <c r="B36" s="669" t="s">
        <v>56</v>
      </c>
      <c r="C36" s="693"/>
      <c r="D36" s="693"/>
      <c r="E36" s="693"/>
      <c r="F36" s="299">
        <v>570</v>
      </c>
      <c r="G36" s="329">
        <f t="shared" si="47"/>
        <v>570</v>
      </c>
      <c r="H36" s="768" t="s">
        <v>44</v>
      </c>
      <c r="I36" s="768"/>
      <c r="J36" s="769"/>
      <c r="K36" s="770"/>
      <c r="L36" s="291"/>
      <c r="M36" s="364"/>
      <c r="N36" s="87">
        <v>1300</v>
      </c>
      <c r="O36" s="329">
        <f t="shared" ref="O36" si="62">+N36*$X$1</f>
        <v>1300</v>
      </c>
      <c r="P36" s="338">
        <v>1195</v>
      </c>
      <c r="Q36" s="577">
        <f t="shared" ref="Q36" si="63">+P36*$X$1</f>
        <v>1195</v>
      </c>
      <c r="R36" s="104">
        <v>1097</v>
      </c>
      <c r="S36" s="264">
        <f t="shared" ref="S36" si="64">+R36*$X$1</f>
        <v>1097</v>
      </c>
      <c r="T36" s="574">
        <v>1010</v>
      </c>
      <c r="U36" s="264">
        <f t="shared" ref="U36" si="65">+T36*$X$1</f>
        <v>1010</v>
      </c>
      <c r="V36" s="574">
        <v>909</v>
      </c>
      <c r="W36" s="299">
        <f t="shared" ref="W36" si="66">+V36*$X$1</f>
        <v>909</v>
      </c>
      <c r="X36" s="697"/>
      <c r="Y36" s="730"/>
      <c r="Z36" s="730"/>
      <c r="AA36" s="731"/>
      <c r="AB36" s="437" t="s">
        <v>479</v>
      </c>
    </row>
    <row r="37" spans="1:28" ht="12.6" customHeight="1" x14ac:dyDescent="0.25">
      <c r="A37" s="18"/>
      <c r="B37" s="764" t="s">
        <v>57</v>
      </c>
      <c r="C37" s="686"/>
      <c r="D37" s="686"/>
      <c r="E37" s="686"/>
      <c r="F37" s="300">
        <v>570</v>
      </c>
      <c r="G37" s="328">
        <f t="shared" si="47"/>
        <v>570</v>
      </c>
      <c r="H37" s="765" t="s">
        <v>44</v>
      </c>
      <c r="I37" s="765"/>
      <c r="J37" s="766"/>
      <c r="K37" s="767"/>
      <c r="L37" s="290"/>
      <c r="M37" s="365"/>
      <c r="N37" s="91">
        <v>1767</v>
      </c>
      <c r="O37" s="328">
        <f t="shared" si="48"/>
        <v>1767</v>
      </c>
      <c r="P37" s="292">
        <v>1634</v>
      </c>
      <c r="Q37" s="576">
        <f t="shared" si="49"/>
        <v>1634</v>
      </c>
      <c r="R37" s="514">
        <v>1513</v>
      </c>
      <c r="S37" s="321">
        <f t="shared" si="49"/>
        <v>1513</v>
      </c>
      <c r="T37" s="514">
        <v>1415</v>
      </c>
      <c r="U37" s="321">
        <f t="shared" si="50"/>
        <v>1415</v>
      </c>
      <c r="V37" s="514">
        <v>1362</v>
      </c>
      <c r="W37" s="300">
        <f t="shared" si="51"/>
        <v>1362</v>
      </c>
      <c r="X37" s="697"/>
      <c r="Y37" s="730"/>
      <c r="Z37" s="730"/>
      <c r="AA37" s="731"/>
      <c r="AB37" s="437" t="s">
        <v>477</v>
      </c>
    </row>
    <row r="38" spans="1:28" ht="12.6" customHeight="1" x14ac:dyDescent="0.2">
      <c r="A38" s="18"/>
      <c r="B38" s="669" t="s">
        <v>480</v>
      </c>
      <c r="C38" s="693"/>
      <c r="D38" s="693"/>
      <c r="E38" s="693"/>
      <c r="F38" s="299">
        <v>570</v>
      </c>
      <c r="G38" s="329">
        <f t="shared" ref="G38" si="67">+F38*$X$1</f>
        <v>570</v>
      </c>
      <c r="H38" s="768" t="s">
        <v>44</v>
      </c>
      <c r="I38" s="768"/>
      <c r="J38" s="769"/>
      <c r="K38" s="770"/>
      <c r="L38" s="291"/>
      <c r="M38" s="364"/>
      <c r="N38" s="87">
        <v>1737</v>
      </c>
      <c r="O38" s="329">
        <f t="shared" ref="O38:O39" si="68">+N38*$X$1</f>
        <v>1737</v>
      </c>
      <c r="P38" s="338">
        <v>1606</v>
      </c>
      <c r="Q38" s="577">
        <f t="shared" si="49"/>
        <v>1606</v>
      </c>
      <c r="R38" s="574">
        <v>1488</v>
      </c>
      <c r="S38" s="264">
        <f t="shared" si="49"/>
        <v>1488</v>
      </c>
      <c r="T38" s="574">
        <v>1408</v>
      </c>
      <c r="U38" s="264">
        <f t="shared" si="50"/>
        <v>1408</v>
      </c>
      <c r="V38" s="574">
        <v>1332</v>
      </c>
      <c r="W38" s="299">
        <f t="shared" si="51"/>
        <v>1332</v>
      </c>
      <c r="X38" s="697"/>
      <c r="Y38" s="730"/>
      <c r="Z38" s="730"/>
      <c r="AA38" s="731"/>
      <c r="AB38" s="437" t="s">
        <v>482</v>
      </c>
    </row>
    <row r="39" spans="1:28" ht="12.6" customHeight="1" x14ac:dyDescent="0.2">
      <c r="A39" s="18"/>
      <c r="B39" s="764" t="s">
        <v>481</v>
      </c>
      <c r="C39" s="686"/>
      <c r="D39" s="686"/>
      <c r="E39" s="686"/>
      <c r="F39" s="300">
        <v>570</v>
      </c>
      <c r="G39" s="328">
        <f t="shared" ref="G39" si="69">+F39*$X$1</f>
        <v>570</v>
      </c>
      <c r="H39" s="765" t="s">
        <v>44</v>
      </c>
      <c r="I39" s="765"/>
      <c r="J39" s="766"/>
      <c r="K39" s="767"/>
      <c r="L39" s="290"/>
      <c r="M39" s="365"/>
      <c r="N39" s="91">
        <v>1480</v>
      </c>
      <c r="O39" s="328">
        <f t="shared" si="68"/>
        <v>1480</v>
      </c>
      <c r="P39" s="292">
        <v>1360</v>
      </c>
      <c r="Q39" s="576">
        <f t="shared" ref="Q39" si="70">+P39*$X$1</f>
        <v>1360</v>
      </c>
      <c r="R39" s="514">
        <v>1251</v>
      </c>
      <c r="S39" s="321">
        <f t="shared" ref="S39" si="71">+R39*$X$1</f>
        <v>1251</v>
      </c>
      <c r="T39" s="514">
        <v>1167</v>
      </c>
      <c r="U39" s="321">
        <f t="shared" ref="U39" si="72">+T39*$X$1</f>
        <v>1167</v>
      </c>
      <c r="V39" s="514">
        <v>1114</v>
      </c>
      <c r="W39" s="300">
        <f t="shared" ref="W39" si="73">+V39*$X$1</f>
        <v>1114</v>
      </c>
      <c r="X39" s="697"/>
      <c r="Y39" s="730"/>
      <c r="Z39" s="730"/>
      <c r="AA39" s="731"/>
      <c r="AB39" s="437" t="s">
        <v>483</v>
      </c>
    </row>
    <row r="40" spans="1:28" ht="12.6" customHeight="1" x14ac:dyDescent="0.2">
      <c r="A40" s="18"/>
      <c r="B40" s="669" t="s">
        <v>58</v>
      </c>
      <c r="C40" s="693"/>
      <c r="D40" s="693"/>
      <c r="E40" s="693"/>
      <c r="F40" s="299">
        <v>1193</v>
      </c>
      <c r="G40" s="329">
        <f t="shared" ref="G40:G48" si="74">+F40*$X$1</f>
        <v>1193</v>
      </c>
      <c r="H40" s="1068" t="s">
        <v>59</v>
      </c>
      <c r="I40" s="1068"/>
      <c r="J40" s="1069"/>
      <c r="K40" s="1070"/>
      <c r="L40" s="291"/>
      <c r="M40" s="364"/>
      <c r="N40" s="87">
        <v>2110</v>
      </c>
      <c r="O40" s="329">
        <f t="shared" si="48"/>
        <v>2110</v>
      </c>
      <c r="P40" s="338">
        <v>1957</v>
      </c>
      <c r="Q40" s="577">
        <f t="shared" si="49"/>
        <v>1957</v>
      </c>
      <c r="R40" s="574">
        <v>1808</v>
      </c>
      <c r="S40" s="264">
        <f t="shared" si="49"/>
        <v>1808</v>
      </c>
      <c r="T40" s="574">
        <v>1685</v>
      </c>
      <c r="U40" s="264">
        <f t="shared" si="50"/>
        <v>1685</v>
      </c>
      <c r="V40" s="574">
        <v>1622</v>
      </c>
      <c r="W40" s="299">
        <f t="shared" si="51"/>
        <v>1622</v>
      </c>
      <c r="X40" s="697"/>
      <c r="Y40" s="730"/>
      <c r="Z40" s="730"/>
      <c r="AA40" s="731"/>
      <c r="AB40" s="438" t="s">
        <v>60</v>
      </c>
    </row>
    <row r="41" spans="1:28" ht="12.6" customHeight="1" x14ac:dyDescent="0.2">
      <c r="A41" s="18"/>
      <c r="B41" s="764" t="s">
        <v>61</v>
      </c>
      <c r="C41" s="686"/>
      <c r="D41" s="686"/>
      <c r="E41" s="686"/>
      <c r="F41" s="300">
        <v>1193</v>
      </c>
      <c r="G41" s="328">
        <f t="shared" si="74"/>
        <v>1193</v>
      </c>
      <c r="H41" s="1005" t="s">
        <v>59</v>
      </c>
      <c r="I41" s="1005"/>
      <c r="J41" s="1006"/>
      <c r="K41" s="1007"/>
      <c r="L41" s="290"/>
      <c r="M41" s="365"/>
      <c r="N41" s="91">
        <v>2110</v>
      </c>
      <c r="O41" s="328">
        <f t="shared" ref="O41:O42" si="75">+N41*$X$1</f>
        <v>2110</v>
      </c>
      <c r="P41" s="292">
        <v>1957</v>
      </c>
      <c r="Q41" s="576">
        <f t="shared" ref="Q41:Q42" si="76">+P41*$X$1</f>
        <v>1957</v>
      </c>
      <c r="R41" s="514">
        <v>1808</v>
      </c>
      <c r="S41" s="321">
        <f t="shared" ref="S41:S42" si="77">+R41*$X$1</f>
        <v>1808</v>
      </c>
      <c r="T41" s="514">
        <v>1685</v>
      </c>
      <c r="U41" s="321">
        <f t="shared" ref="U41:U42" si="78">+T41*$X$1</f>
        <v>1685</v>
      </c>
      <c r="V41" s="514">
        <v>1622</v>
      </c>
      <c r="W41" s="300">
        <f t="shared" ref="W41:W42" si="79">+V41*$X$1</f>
        <v>1622</v>
      </c>
      <c r="X41" s="697"/>
      <c r="Y41" s="730"/>
      <c r="Z41" s="730"/>
      <c r="AA41" s="731"/>
      <c r="AB41" s="438" t="s">
        <v>62</v>
      </c>
    </row>
    <row r="42" spans="1:28" ht="12.6" customHeight="1" x14ac:dyDescent="0.2">
      <c r="A42" s="18"/>
      <c r="B42" s="669" t="s">
        <v>63</v>
      </c>
      <c r="C42" s="693"/>
      <c r="D42" s="693"/>
      <c r="E42" s="693"/>
      <c r="F42" s="299">
        <v>1193</v>
      </c>
      <c r="G42" s="329">
        <f t="shared" si="74"/>
        <v>1193</v>
      </c>
      <c r="H42" s="768" t="s">
        <v>59</v>
      </c>
      <c r="I42" s="768"/>
      <c r="J42" s="769"/>
      <c r="K42" s="770"/>
      <c r="L42" s="291"/>
      <c r="M42" s="364"/>
      <c r="N42" s="87">
        <v>2110</v>
      </c>
      <c r="O42" s="329">
        <f t="shared" si="75"/>
        <v>2110</v>
      </c>
      <c r="P42" s="338">
        <v>1957</v>
      </c>
      <c r="Q42" s="577">
        <f t="shared" si="76"/>
        <v>1957</v>
      </c>
      <c r="R42" s="574">
        <v>1808</v>
      </c>
      <c r="S42" s="264">
        <f t="shared" si="77"/>
        <v>1808</v>
      </c>
      <c r="T42" s="574">
        <v>1685</v>
      </c>
      <c r="U42" s="264">
        <f t="shared" si="78"/>
        <v>1685</v>
      </c>
      <c r="V42" s="574">
        <v>1622</v>
      </c>
      <c r="W42" s="299">
        <f t="shared" si="79"/>
        <v>1622</v>
      </c>
      <c r="X42" s="697"/>
      <c r="Y42" s="730"/>
      <c r="Z42" s="730"/>
      <c r="AA42" s="731"/>
      <c r="AB42" s="438" t="s">
        <v>64</v>
      </c>
    </row>
    <row r="43" spans="1:28" ht="12.6" customHeight="1" x14ac:dyDescent="0.2">
      <c r="A43" s="18"/>
      <c r="B43" s="764" t="s">
        <v>571</v>
      </c>
      <c r="C43" s="686"/>
      <c r="D43" s="686"/>
      <c r="E43" s="686"/>
      <c r="F43" s="300">
        <v>1287</v>
      </c>
      <c r="G43" s="328">
        <f t="shared" ref="G43" si="80">+F43*$X$1</f>
        <v>1287</v>
      </c>
      <c r="H43" s="837" t="s">
        <v>59</v>
      </c>
      <c r="I43" s="837"/>
      <c r="J43" s="838"/>
      <c r="K43" s="839"/>
      <c r="L43" s="290"/>
      <c r="M43" s="365"/>
      <c r="N43" s="91">
        <v>2232</v>
      </c>
      <c r="O43" s="328">
        <f t="shared" ref="O43" si="81">+N43*$X$1</f>
        <v>2232</v>
      </c>
      <c r="P43" s="292">
        <v>2083</v>
      </c>
      <c r="Q43" s="576">
        <f t="shared" ref="Q43" si="82">+P43*$X$1</f>
        <v>2083</v>
      </c>
      <c r="R43" s="514">
        <v>1909</v>
      </c>
      <c r="S43" s="321">
        <f t="shared" ref="S43" si="83">+R43*$X$1</f>
        <v>1909</v>
      </c>
      <c r="T43" s="514">
        <v>1794</v>
      </c>
      <c r="U43" s="321">
        <f t="shared" ref="U43" si="84">+T43*$X$1</f>
        <v>1794</v>
      </c>
      <c r="V43" s="514">
        <v>1716</v>
      </c>
      <c r="W43" s="300">
        <f t="shared" ref="W43" si="85">+V43*$X$1</f>
        <v>1716</v>
      </c>
      <c r="X43" s="697"/>
      <c r="Y43" s="730"/>
      <c r="Z43" s="730"/>
      <c r="AA43" s="731"/>
      <c r="AB43" s="439" t="s">
        <v>581</v>
      </c>
    </row>
    <row r="44" spans="1:28" ht="12.6" customHeight="1" x14ac:dyDescent="0.2">
      <c r="A44" s="18"/>
      <c r="B44" s="669" t="s">
        <v>572</v>
      </c>
      <c r="C44" s="693"/>
      <c r="D44" s="693"/>
      <c r="E44" s="693"/>
      <c r="F44" s="299">
        <v>1278</v>
      </c>
      <c r="G44" s="329">
        <f t="shared" ref="G44" si="86">+F44*$X$1</f>
        <v>1278</v>
      </c>
      <c r="H44" s="1068" t="s">
        <v>59</v>
      </c>
      <c r="I44" s="1068"/>
      <c r="J44" s="1069"/>
      <c r="K44" s="1070"/>
      <c r="L44" s="291"/>
      <c r="M44" s="364"/>
      <c r="N44" s="87">
        <v>2232</v>
      </c>
      <c r="O44" s="329">
        <f t="shared" ref="O44:O45" si="87">+N44*$X$1</f>
        <v>2232</v>
      </c>
      <c r="P44" s="338">
        <v>2083</v>
      </c>
      <c r="Q44" s="577">
        <f t="shared" ref="Q44:Q45" si="88">+P44*$X$1</f>
        <v>2083</v>
      </c>
      <c r="R44" s="574">
        <v>1909</v>
      </c>
      <c r="S44" s="264">
        <f t="shared" ref="S44:S45" si="89">+R44*$X$1</f>
        <v>1909</v>
      </c>
      <c r="T44" s="574">
        <v>1794</v>
      </c>
      <c r="U44" s="264">
        <f t="shared" ref="U44:U45" si="90">+T44*$X$1</f>
        <v>1794</v>
      </c>
      <c r="V44" s="574">
        <v>1716</v>
      </c>
      <c r="W44" s="299">
        <f t="shared" ref="W44:W45" si="91">+V44*$X$1</f>
        <v>1716</v>
      </c>
      <c r="X44" s="697"/>
      <c r="Y44" s="730"/>
      <c r="Z44" s="730"/>
      <c r="AA44" s="731"/>
      <c r="AB44" s="439" t="s">
        <v>582</v>
      </c>
    </row>
    <row r="45" spans="1:28" ht="12.6" customHeight="1" x14ac:dyDescent="0.2">
      <c r="A45" s="18"/>
      <c r="B45" s="764" t="s">
        <v>573</v>
      </c>
      <c r="C45" s="686"/>
      <c r="D45" s="686"/>
      <c r="E45" s="686"/>
      <c r="F45" s="300">
        <v>1278</v>
      </c>
      <c r="G45" s="328">
        <f t="shared" ref="G45" si="92">+F45*$X$1</f>
        <v>1278</v>
      </c>
      <c r="H45" s="837" t="s">
        <v>59</v>
      </c>
      <c r="I45" s="837"/>
      <c r="J45" s="838"/>
      <c r="K45" s="839"/>
      <c r="L45" s="290"/>
      <c r="M45" s="365"/>
      <c r="N45" s="91">
        <v>2232</v>
      </c>
      <c r="O45" s="328">
        <f t="shared" si="87"/>
        <v>2232</v>
      </c>
      <c r="P45" s="292">
        <v>2083</v>
      </c>
      <c r="Q45" s="576">
        <f t="shared" si="88"/>
        <v>2083</v>
      </c>
      <c r="R45" s="514">
        <v>1909</v>
      </c>
      <c r="S45" s="321">
        <f t="shared" si="89"/>
        <v>1909</v>
      </c>
      <c r="T45" s="514">
        <v>1794</v>
      </c>
      <c r="U45" s="321">
        <f t="shared" si="90"/>
        <v>1794</v>
      </c>
      <c r="V45" s="514">
        <v>1716</v>
      </c>
      <c r="W45" s="300">
        <f t="shared" si="91"/>
        <v>1716</v>
      </c>
      <c r="X45" s="697"/>
      <c r="Y45" s="730"/>
      <c r="Z45" s="730"/>
      <c r="AA45" s="731"/>
      <c r="AB45" s="439" t="s">
        <v>583</v>
      </c>
    </row>
    <row r="46" spans="1:28" ht="12.6" customHeight="1" x14ac:dyDescent="0.2">
      <c r="A46" s="18"/>
      <c r="B46" s="669" t="s">
        <v>65</v>
      </c>
      <c r="C46" s="693"/>
      <c r="D46" s="693"/>
      <c r="E46" s="693"/>
      <c r="F46" s="299">
        <v>1601</v>
      </c>
      <c r="G46" s="329">
        <f t="shared" si="74"/>
        <v>1601</v>
      </c>
      <c r="H46" s="768" t="s">
        <v>59</v>
      </c>
      <c r="I46" s="768"/>
      <c r="J46" s="769"/>
      <c r="K46" s="770"/>
      <c r="L46" s="291"/>
      <c r="M46" s="364"/>
      <c r="N46" s="72">
        <v>2938</v>
      </c>
      <c r="O46" s="323">
        <f t="shared" ref="O46" si="93">+N46*$X$1</f>
        <v>2938</v>
      </c>
      <c r="P46" s="338">
        <v>2718</v>
      </c>
      <c r="Q46" s="340">
        <f t="shared" si="49"/>
        <v>2718</v>
      </c>
      <c r="R46" s="574">
        <v>2517</v>
      </c>
      <c r="S46" s="299">
        <f t="shared" si="49"/>
        <v>2517</v>
      </c>
      <c r="T46" s="574">
        <v>2341</v>
      </c>
      <c r="U46" s="299">
        <f t="shared" si="50"/>
        <v>2341</v>
      </c>
      <c r="V46" s="574">
        <v>2267</v>
      </c>
      <c r="W46" s="299">
        <f t="shared" si="51"/>
        <v>2267</v>
      </c>
      <c r="X46" s="697"/>
      <c r="Y46" s="730"/>
      <c r="Z46" s="730"/>
      <c r="AA46" s="731"/>
      <c r="AB46" s="439" t="s">
        <v>66</v>
      </c>
    </row>
    <row r="47" spans="1:28" ht="12.6" customHeight="1" x14ac:dyDescent="0.2">
      <c r="A47" s="18"/>
      <c r="B47" s="764" t="s">
        <v>67</v>
      </c>
      <c r="C47" s="686"/>
      <c r="D47" s="686"/>
      <c r="E47" s="686"/>
      <c r="F47" s="300">
        <v>1601</v>
      </c>
      <c r="G47" s="328">
        <f t="shared" si="74"/>
        <v>1601</v>
      </c>
      <c r="H47" s="837" t="s">
        <v>59</v>
      </c>
      <c r="I47" s="837"/>
      <c r="J47" s="838"/>
      <c r="K47" s="839"/>
      <c r="L47" s="290"/>
      <c r="M47" s="365"/>
      <c r="N47" s="90">
        <v>2938</v>
      </c>
      <c r="O47" s="360">
        <f t="shared" ref="O47:O48" si="94">+N47*$X$1</f>
        <v>2938</v>
      </c>
      <c r="P47" s="292">
        <v>2718</v>
      </c>
      <c r="Q47" s="339">
        <f t="shared" ref="Q47:Q48" si="95">+P47*$X$1</f>
        <v>2718</v>
      </c>
      <c r="R47" s="514">
        <v>2517</v>
      </c>
      <c r="S47" s="300">
        <f t="shared" ref="S47:S48" si="96">+R47*$X$1</f>
        <v>2517</v>
      </c>
      <c r="T47" s="514">
        <v>2341</v>
      </c>
      <c r="U47" s="300">
        <f t="shared" ref="U47:U48" si="97">+T47*$X$1</f>
        <v>2341</v>
      </c>
      <c r="V47" s="514">
        <v>2267</v>
      </c>
      <c r="W47" s="300">
        <f t="shared" ref="W47:W48" si="98">+V47*$X$1</f>
        <v>2267</v>
      </c>
      <c r="X47" s="697"/>
      <c r="Y47" s="730"/>
      <c r="Z47" s="730"/>
      <c r="AA47" s="731"/>
      <c r="AB47" s="439" t="s">
        <v>68</v>
      </c>
    </row>
    <row r="48" spans="1:28" ht="12.6" customHeight="1" x14ac:dyDescent="0.2">
      <c r="A48" s="18"/>
      <c r="B48" s="669" t="s">
        <v>69</v>
      </c>
      <c r="C48" s="693"/>
      <c r="D48" s="693"/>
      <c r="E48" s="693"/>
      <c r="F48" s="299">
        <v>1601</v>
      </c>
      <c r="G48" s="359">
        <f t="shared" si="74"/>
        <v>1601</v>
      </c>
      <c r="H48" s="768" t="s">
        <v>59</v>
      </c>
      <c r="I48" s="768"/>
      <c r="J48" s="769"/>
      <c r="K48" s="882"/>
      <c r="L48" s="291"/>
      <c r="M48" s="364"/>
      <c r="N48" s="72">
        <v>2938</v>
      </c>
      <c r="O48" s="323">
        <f t="shared" si="94"/>
        <v>2938</v>
      </c>
      <c r="P48" s="338">
        <v>2718</v>
      </c>
      <c r="Q48" s="340">
        <f t="shared" si="95"/>
        <v>2718</v>
      </c>
      <c r="R48" s="574">
        <v>2517</v>
      </c>
      <c r="S48" s="299">
        <f t="shared" si="96"/>
        <v>2517</v>
      </c>
      <c r="T48" s="574">
        <v>2341</v>
      </c>
      <c r="U48" s="299">
        <f t="shared" si="97"/>
        <v>2341</v>
      </c>
      <c r="V48" s="574">
        <v>2267</v>
      </c>
      <c r="W48" s="299">
        <f t="shared" si="98"/>
        <v>2267</v>
      </c>
      <c r="X48" s="697"/>
      <c r="Y48" s="730"/>
      <c r="Z48" s="730"/>
      <c r="AA48" s="731"/>
      <c r="AB48" s="439" t="s">
        <v>70</v>
      </c>
    </row>
    <row r="49" spans="1:35" ht="12.6" customHeight="1" x14ac:dyDescent="0.2">
      <c r="A49" s="18"/>
      <c r="B49" s="764" t="s">
        <v>71</v>
      </c>
      <c r="C49" s="686"/>
      <c r="D49" s="686"/>
      <c r="E49" s="777"/>
      <c r="F49" s="862" t="s">
        <v>436</v>
      </c>
      <c r="G49" s="769"/>
      <c r="H49" s="769"/>
      <c r="I49" s="769"/>
      <c r="J49" s="269"/>
      <c r="K49" s="415"/>
      <c r="L49" s="416"/>
      <c r="M49" s="300"/>
      <c r="N49" s="418"/>
      <c r="O49" s="328"/>
      <c r="P49" s="290"/>
      <c r="Q49" s="339"/>
      <c r="R49" s="103"/>
      <c r="S49" s="321"/>
      <c r="T49" s="103"/>
      <c r="U49" s="321"/>
      <c r="V49" s="103"/>
      <c r="W49" s="300"/>
      <c r="X49" s="135"/>
      <c r="Y49" s="135"/>
      <c r="Z49" s="135"/>
      <c r="AA49" s="135"/>
      <c r="AB49" s="437" t="s">
        <v>72</v>
      </c>
    </row>
    <row r="50" spans="1:35" ht="12.6" customHeight="1" x14ac:dyDescent="0.2">
      <c r="A50" s="18"/>
      <c r="B50" s="669" t="s">
        <v>73</v>
      </c>
      <c r="C50" s="693"/>
      <c r="D50" s="693"/>
      <c r="E50" s="746"/>
      <c r="F50" s="769"/>
      <c r="G50" s="769"/>
      <c r="H50" s="769"/>
      <c r="I50" s="769"/>
      <c r="J50" s="17"/>
      <c r="K50" s="296"/>
      <c r="L50" s="271"/>
      <c r="M50" s="299"/>
      <c r="N50" s="219"/>
      <c r="O50" s="329"/>
      <c r="P50" s="296"/>
      <c r="Q50" s="340"/>
      <c r="R50" s="333"/>
      <c r="S50" s="264"/>
      <c r="T50" s="333"/>
      <c r="U50" s="264"/>
      <c r="V50" s="333"/>
      <c r="W50" s="299"/>
      <c r="X50" s="135"/>
      <c r="Y50" s="135"/>
      <c r="Z50" s="135"/>
      <c r="AA50" s="135"/>
      <c r="AB50" s="437" t="s">
        <v>74</v>
      </c>
    </row>
    <row r="51" spans="1:35" ht="12.6" customHeight="1" x14ac:dyDescent="0.2">
      <c r="A51" s="18"/>
      <c r="B51" s="764" t="s">
        <v>455</v>
      </c>
      <c r="C51" s="686"/>
      <c r="D51" s="686"/>
      <c r="E51" s="777"/>
      <c r="F51" s="769"/>
      <c r="G51" s="769"/>
      <c r="H51" s="769"/>
      <c r="I51" s="769"/>
      <c r="J51" s="269"/>
      <c r="K51" s="290"/>
      <c r="L51" s="316"/>
      <c r="M51" s="300"/>
      <c r="N51" s="317"/>
      <c r="O51" s="374"/>
      <c r="P51" s="290"/>
      <c r="Q51" s="339"/>
      <c r="R51" s="96"/>
      <c r="S51" s="369"/>
      <c r="T51" s="96"/>
      <c r="U51" s="369"/>
      <c r="V51" s="96"/>
      <c r="W51" s="300"/>
      <c r="X51" s="135"/>
      <c r="Y51" s="135"/>
      <c r="Z51" s="135"/>
      <c r="AA51" s="135"/>
      <c r="AB51" s="36">
        <v>48</v>
      </c>
      <c r="AC51" s="440" t="s">
        <v>75</v>
      </c>
      <c r="AD51" s="440" t="s">
        <v>76</v>
      </c>
      <c r="AE51" s="440" t="s">
        <v>77</v>
      </c>
    </row>
    <row r="52" spans="1:35" ht="12.6" customHeight="1" x14ac:dyDescent="0.2">
      <c r="A52" s="18"/>
      <c r="B52" s="886" t="s">
        <v>78</v>
      </c>
      <c r="C52" s="887"/>
      <c r="D52" s="887"/>
      <c r="E52" s="887"/>
      <c r="F52" s="769"/>
      <c r="G52" s="769"/>
      <c r="H52" s="769"/>
      <c r="I52" s="769"/>
      <c r="J52" s="17"/>
      <c r="K52" s="17"/>
      <c r="L52" s="271"/>
      <c r="M52" s="267"/>
      <c r="N52" s="219"/>
      <c r="O52" s="242"/>
      <c r="P52" s="120"/>
      <c r="Q52" s="273"/>
      <c r="R52" s="242"/>
      <c r="S52" s="242"/>
      <c r="T52" s="242"/>
      <c r="U52" s="242"/>
      <c r="V52" s="93"/>
      <c r="W52" s="93"/>
      <c r="X52" s="172"/>
      <c r="Y52" s="172"/>
      <c r="Z52" s="172"/>
      <c r="AA52" s="172"/>
      <c r="AB52" s="200">
        <v>54</v>
      </c>
    </row>
    <row r="53" spans="1:35" ht="12.6" customHeight="1" x14ac:dyDescent="0.2">
      <c r="A53" s="18"/>
      <c r="B53" s="764" t="s">
        <v>79</v>
      </c>
      <c r="C53" s="686"/>
      <c r="D53" s="686"/>
      <c r="E53" s="686"/>
      <c r="F53" s="300">
        <v>1044</v>
      </c>
      <c r="G53" s="321">
        <f t="shared" ref="G53:G56" si="99">+F53*$X$1</f>
        <v>1044</v>
      </c>
      <c r="H53" s="127"/>
      <c r="I53" s="300"/>
      <c r="J53" s="514">
        <f>F53+225</f>
        <v>1269</v>
      </c>
      <c r="K53" s="300">
        <f t="shared" ref="K53" si="100">+J53*$X$1</f>
        <v>1269</v>
      </c>
      <c r="L53" s="514">
        <f>F53+135</f>
        <v>1179</v>
      </c>
      <c r="M53" s="300">
        <f t="shared" ref="M53" si="101">+L53*$X$1</f>
        <v>1179</v>
      </c>
      <c r="N53" s="103">
        <f>F53+83</f>
        <v>1127</v>
      </c>
      <c r="O53" s="321">
        <f t="shared" ref="O53" si="102">+N53*$X$1</f>
        <v>1127</v>
      </c>
      <c r="P53" s="103">
        <f>F53+75</f>
        <v>1119</v>
      </c>
      <c r="Q53" s="300">
        <f t="shared" si="49"/>
        <v>1119</v>
      </c>
      <c r="R53" s="103">
        <f>F53+63</f>
        <v>1107</v>
      </c>
      <c r="S53" s="321">
        <f t="shared" ref="S53" si="103">+R53*$X$1</f>
        <v>1107</v>
      </c>
      <c r="T53" s="103">
        <f>F53+53</f>
        <v>1097</v>
      </c>
      <c r="U53" s="321">
        <f t="shared" ref="U53" si="104">+T53*$X$1</f>
        <v>1097</v>
      </c>
      <c r="V53" s="103">
        <f>F53+45</f>
        <v>1089</v>
      </c>
      <c r="W53" s="300">
        <f t="shared" ref="W53" si="105">+V53*$X$1</f>
        <v>1089</v>
      </c>
      <c r="X53" s="134"/>
      <c r="Y53" s="135"/>
      <c r="Z53" s="135"/>
      <c r="AA53" s="135"/>
      <c r="AB53" s="437">
        <v>60</v>
      </c>
    </row>
    <row r="54" spans="1:35" ht="12.6" customHeight="1" x14ac:dyDescent="0.2">
      <c r="A54" s="18"/>
      <c r="B54" s="669" t="s">
        <v>551</v>
      </c>
      <c r="C54" s="693"/>
      <c r="D54" s="693"/>
      <c r="E54" s="693"/>
      <c r="F54" s="299">
        <v>1104</v>
      </c>
      <c r="G54" s="264">
        <f t="shared" si="99"/>
        <v>1104</v>
      </c>
      <c r="H54" s="126"/>
      <c r="I54" s="299"/>
      <c r="J54" s="561">
        <f>F54+225</f>
        <v>1329</v>
      </c>
      <c r="K54" s="299">
        <f t="shared" ref="K54:K56" si="106">+J54*$X$1</f>
        <v>1329</v>
      </c>
      <c r="L54" s="561">
        <f>F54+135</f>
        <v>1239</v>
      </c>
      <c r="M54" s="299">
        <f t="shared" ref="M54:M56" si="107">+L54*$X$1</f>
        <v>1239</v>
      </c>
      <c r="N54" s="104">
        <f>F54+83</f>
        <v>1187</v>
      </c>
      <c r="O54" s="264">
        <f t="shared" ref="O54:O56" si="108">+N54*$X$1</f>
        <v>1187</v>
      </c>
      <c r="P54" s="104">
        <f>F54+75</f>
        <v>1179</v>
      </c>
      <c r="Q54" s="299">
        <f t="shared" ref="Q54:Q56" si="109">+P54*$X$1</f>
        <v>1179</v>
      </c>
      <c r="R54" s="104">
        <f>F54+63</f>
        <v>1167</v>
      </c>
      <c r="S54" s="264">
        <f t="shared" ref="S54:S56" si="110">+R54*$X$1</f>
        <v>1167</v>
      </c>
      <c r="T54" s="104">
        <f>F54+53</f>
        <v>1157</v>
      </c>
      <c r="U54" s="264">
        <f t="shared" ref="U54:U56" si="111">+T54*$X$1</f>
        <v>1157</v>
      </c>
      <c r="V54" s="104">
        <f>F54+45</f>
        <v>1149</v>
      </c>
      <c r="W54" s="299">
        <f t="shared" ref="W54:W56" si="112">+V54*$X$1</f>
        <v>1149</v>
      </c>
      <c r="X54" s="134"/>
      <c r="Y54" s="135"/>
      <c r="Z54" s="135"/>
      <c r="AA54" s="135"/>
      <c r="AB54" s="437">
        <v>61</v>
      </c>
    </row>
    <row r="55" spans="1:35" ht="12.6" customHeight="1" x14ac:dyDescent="0.2">
      <c r="A55" s="18"/>
      <c r="B55" s="800" t="s">
        <v>80</v>
      </c>
      <c r="C55" s="801"/>
      <c r="D55" s="801"/>
      <c r="E55" s="801"/>
      <c r="F55" s="302">
        <v>1102</v>
      </c>
      <c r="G55" s="369">
        <f t="shared" si="99"/>
        <v>1102</v>
      </c>
      <c r="H55" s="467"/>
      <c r="I55" s="300"/>
      <c r="J55" s="514">
        <f>F55+225</f>
        <v>1327</v>
      </c>
      <c r="K55" s="300">
        <f t="shared" si="106"/>
        <v>1327</v>
      </c>
      <c r="L55" s="514">
        <f>F55+135</f>
        <v>1237</v>
      </c>
      <c r="M55" s="300">
        <f t="shared" si="107"/>
        <v>1237</v>
      </c>
      <c r="N55" s="103">
        <f>F55+83</f>
        <v>1185</v>
      </c>
      <c r="O55" s="321">
        <f t="shared" si="108"/>
        <v>1185</v>
      </c>
      <c r="P55" s="103">
        <f>F55+75</f>
        <v>1177</v>
      </c>
      <c r="Q55" s="300">
        <f t="shared" si="109"/>
        <v>1177</v>
      </c>
      <c r="R55" s="103">
        <f>F55+63</f>
        <v>1165</v>
      </c>
      <c r="S55" s="321">
        <f t="shared" si="110"/>
        <v>1165</v>
      </c>
      <c r="T55" s="103">
        <f>F55+53</f>
        <v>1155</v>
      </c>
      <c r="U55" s="321">
        <f t="shared" si="111"/>
        <v>1155</v>
      </c>
      <c r="V55" s="103">
        <f>F55+45</f>
        <v>1147</v>
      </c>
      <c r="W55" s="300">
        <f t="shared" si="112"/>
        <v>1147</v>
      </c>
      <c r="X55" s="134"/>
      <c r="Y55" s="135"/>
      <c r="Z55" s="135"/>
      <c r="AA55" s="135"/>
      <c r="AB55" s="437">
        <v>62</v>
      </c>
    </row>
    <row r="56" spans="1:35" ht="12.6" customHeight="1" x14ac:dyDescent="0.2">
      <c r="A56" s="18"/>
      <c r="B56" s="669" t="s">
        <v>81</v>
      </c>
      <c r="C56" s="664"/>
      <c r="D56" s="664"/>
      <c r="E56" s="664"/>
      <c r="F56" s="299">
        <v>1162</v>
      </c>
      <c r="G56" s="299">
        <f t="shared" si="99"/>
        <v>1162</v>
      </c>
      <c r="H56" s="126"/>
      <c r="I56" s="299"/>
      <c r="J56" s="561">
        <f>F56+225</f>
        <v>1387</v>
      </c>
      <c r="K56" s="299">
        <f t="shared" si="106"/>
        <v>1387</v>
      </c>
      <c r="L56" s="561">
        <f>F56+135</f>
        <v>1297</v>
      </c>
      <c r="M56" s="299">
        <f t="shared" si="107"/>
        <v>1297</v>
      </c>
      <c r="N56" s="104">
        <f>F56+83</f>
        <v>1245</v>
      </c>
      <c r="O56" s="264">
        <f t="shared" si="108"/>
        <v>1245</v>
      </c>
      <c r="P56" s="104">
        <f>F56+75</f>
        <v>1237</v>
      </c>
      <c r="Q56" s="299">
        <f t="shared" si="109"/>
        <v>1237</v>
      </c>
      <c r="R56" s="104">
        <f>F56+63</f>
        <v>1225</v>
      </c>
      <c r="S56" s="264">
        <f t="shared" si="110"/>
        <v>1225</v>
      </c>
      <c r="T56" s="104">
        <f>F56+53</f>
        <v>1215</v>
      </c>
      <c r="U56" s="264">
        <f t="shared" si="111"/>
        <v>1215</v>
      </c>
      <c r="V56" s="104">
        <f>F56+45</f>
        <v>1207</v>
      </c>
      <c r="W56" s="299">
        <f t="shared" si="112"/>
        <v>1207</v>
      </c>
      <c r="X56" s="134"/>
      <c r="Y56" s="135"/>
      <c r="Z56" s="135"/>
      <c r="AA56" s="135"/>
      <c r="AB56" s="437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64" t="s">
        <v>547</v>
      </c>
      <c r="C57" s="686"/>
      <c r="D57" s="686"/>
      <c r="E57" s="686"/>
      <c r="F57" s="300">
        <v>1234</v>
      </c>
      <c r="G57" s="300">
        <f t="shared" ref="G57" si="113">+F57*$X$1</f>
        <v>1234</v>
      </c>
      <c r="H57" s="127"/>
      <c r="I57" s="300"/>
      <c r="J57" s="514">
        <f>F57+290</f>
        <v>1524</v>
      </c>
      <c r="K57" s="300">
        <f t="shared" ref="K57" si="114">+J57*$X$1</f>
        <v>1524</v>
      </c>
      <c r="L57" s="514">
        <f>F57+180</f>
        <v>1414</v>
      </c>
      <c r="M57" s="300">
        <f t="shared" ref="M57:M58" si="115">+L57*$X$1</f>
        <v>1414</v>
      </c>
      <c r="N57" s="103">
        <f>F57+140</f>
        <v>1374</v>
      </c>
      <c r="O57" s="321">
        <f t="shared" ref="O57:O58" si="116">+N57*$X$1</f>
        <v>1374</v>
      </c>
      <c r="P57" s="103">
        <f>F57+125</f>
        <v>1359</v>
      </c>
      <c r="Q57" s="300">
        <f t="shared" ref="Q57:Q58" si="117">+P57*$X$1</f>
        <v>1359</v>
      </c>
      <c r="R57" s="103">
        <f>F57+110</f>
        <v>1344</v>
      </c>
      <c r="S57" s="321">
        <f t="shared" ref="S57:S58" si="118">+R57*$X$1</f>
        <v>1344</v>
      </c>
      <c r="T57" s="103">
        <f>F57+100</f>
        <v>1334</v>
      </c>
      <c r="U57" s="321">
        <f t="shared" ref="U57:U58" si="119">+T57*$X$1</f>
        <v>1334</v>
      </c>
      <c r="V57" s="103">
        <f>F57+90</f>
        <v>1324</v>
      </c>
      <c r="W57" s="300">
        <f t="shared" ref="W57:W58" si="120">+V57*$X$1</f>
        <v>1324</v>
      </c>
      <c r="X57" s="134"/>
      <c r="Y57" s="135"/>
      <c r="Z57" s="135"/>
      <c r="AA57" s="135"/>
      <c r="AB57" s="437">
        <v>64</v>
      </c>
    </row>
    <row r="58" spans="1:35" ht="12.6" customHeight="1" x14ac:dyDescent="0.2">
      <c r="A58" s="18"/>
      <c r="B58" s="888" t="s">
        <v>914</v>
      </c>
      <c r="C58" s="881"/>
      <c r="D58" s="881"/>
      <c r="E58" s="881"/>
      <c r="F58" s="358">
        <v>310</v>
      </c>
      <c r="G58" s="358">
        <f t="shared" ref="G58:G68" si="121">+F58*$X$1</f>
        <v>310</v>
      </c>
      <c r="H58" s="297"/>
      <c r="I58" s="363"/>
      <c r="J58" s="480"/>
      <c r="K58" s="358"/>
      <c r="L58" s="562">
        <f>F58+110</f>
        <v>420</v>
      </c>
      <c r="M58" s="357">
        <f t="shared" si="115"/>
        <v>420</v>
      </c>
      <c r="N58" s="562">
        <f>F58+60</f>
        <v>370</v>
      </c>
      <c r="O58" s="357">
        <f t="shared" si="116"/>
        <v>370</v>
      </c>
      <c r="P58" s="562">
        <f>F58+50</f>
        <v>360</v>
      </c>
      <c r="Q58" s="357">
        <f t="shared" si="117"/>
        <v>360</v>
      </c>
      <c r="R58" s="562">
        <f>F58+45</f>
        <v>355</v>
      </c>
      <c r="S58" s="357">
        <f t="shared" si="118"/>
        <v>355</v>
      </c>
      <c r="T58" s="562">
        <f>F58+40</f>
        <v>350</v>
      </c>
      <c r="U58" s="357">
        <f t="shared" si="119"/>
        <v>350</v>
      </c>
      <c r="V58" s="562">
        <f>F58+34</f>
        <v>344</v>
      </c>
      <c r="W58" s="357">
        <f t="shared" si="120"/>
        <v>344</v>
      </c>
      <c r="X58" s="135"/>
      <c r="Y58" s="135"/>
      <c r="Z58" s="135"/>
      <c r="AA58" s="135"/>
      <c r="AB58" s="437">
        <v>85</v>
      </c>
    </row>
    <row r="59" spans="1:35" ht="12.6" customHeight="1" x14ac:dyDescent="0.2">
      <c r="A59" s="18"/>
      <c r="B59" s="879" t="s">
        <v>623</v>
      </c>
      <c r="C59" s="694"/>
      <c r="D59" s="694"/>
      <c r="E59" s="694"/>
      <c r="F59" s="336">
        <v>1004</v>
      </c>
      <c r="G59" s="575">
        <f t="shared" si="121"/>
        <v>1004</v>
      </c>
      <c r="H59" s="290"/>
      <c r="I59" s="365"/>
      <c r="J59" s="482"/>
      <c r="K59" s="336"/>
      <c r="L59" s="514">
        <f>F59+110</f>
        <v>1114</v>
      </c>
      <c r="M59" s="300">
        <f t="shared" ref="M59" si="122">+L59*$X$1</f>
        <v>1114</v>
      </c>
      <c r="N59" s="514">
        <f>F59+60</f>
        <v>1064</v>
      </c>
      <c r="O59" s="300">
        <f t="shared" ref="O59" si="123">+N59*$X$1</f>
        <v>1064</v>
      </c>
      <c r="P59" s="514">
        <f>F59+50</f>
        <v>1054</v>
      </c>
      <c r="Q59" s="300">
        <f t="shared" ref="Q59" si="124">+P59*$X$1</f>
        <v>1054</v>
      </c>
      <c r="R59" s="514">
        <f>F59+45</f>
        <v>1049</v>
      </c>
      <c r="S59" s="300">
        <f t="shared" ref="S59" si="125">+R59*$X$1</f>
        <v>1049</v>
      </c>
      <c r="T59" s="514">
        <f>F59+40</f>
        <v>1044</v>
      </c>
      <c r="U59" s="300">
        <f t="shared" ref="U59" si="126">+T59*$X$1</f>
        <v>1044</v>
      </c>
      <c r="V59" s="514">
        <f>F59+34</f>
        <v>1038</v>
      </c>
      <c r="W59" s="300">
        <f t="shared" ref="W59" si="127">+V59*$X$1</f>
        <v>1038</v>
      </c>
      <c r="X59" s="135"/>
      <c r="Y59" s="135"/>
      <c r="Z59" s="135"/>
      <c r="AA59" s="135"/>
      <c r="AB59" s="437" t="s">
        <v>817</v>
      </c>
    </row>
    <row r="60" spans="1:35" ht="12.6" customHeight="1" x14ac:dyDescent="0.2">
      <c r="A60" s="18"/>
      <c r="B60" s="890" t="s">
        <v>622</v>
      </c>
      <c r="C60" s="891"/>
      <c r="D60" s="891"/>
      <c r="E60" s="891"/>
      <c r="F60" s="322">
        <v>716</v>
      </c>
      <c r="G60" s="359">
        <f t="shared" ref="G60" si="128">+F60*$X$1</f>
        <v>716</v>
      </c>
      <c r="H60" s="291"/>
      <c r="I60" s="364"/>
      <c r="J60" s="481"/>
      <c r="K60" s="322"/>
      <c r="L60" s="561">
        <f>F60+110</f>
        <v>826</v>
      </c>
      <c r="M60" s="299">
        <f t="shared" ref="M60" si="129">+L60*$X$1</f>
        <v>826</v>
      </c>
      <c r="N60" s="561">
        <f>F60+60</f>
        <v>776</v>
      </c>
      <c r="O60" s="299">
        <f t="shared" ref="O60" si="130">+N60*$X$1</f>
        <v>776</v>
      </c>
      <c r="P60" s="561">
        <f>F60+50</f>
        <v>766</v>
      </c>
      <c r="Q60" s="299">
        <f t="shared" ref="Q60" si="131">+P60*$X$1</f>
        <v>766</v>
      </c>
      <c r="R60" s="561">
        <f>F60+45</f>
        <v>761</v>
      </c>
      <c r="S60" s="299">
        <f t="shared" ref="S60" si="132">+R60*$X$1</f>
        <v>761</v>
      </c>
      <c r="T60" s="561">
        <f>F60+40</f>
        <v>756</v>
      </c>
      <c r="U60" s="299">
        <f t="shared" ref="U60" si="133">+T60*$X$1</f>
        <v>756</v>
      </c>
      <c r="V60" s="561">
        <f>F60+34</f>
        <v>750</v>
      </c>
      <c r="W60" s="299">
        <f t="shared" ref="W60" si="134">+V60*$X$1</f>
        <v>750</v>
      </c>
      <c r="X60" s="135"/>
      <c r="Y60" s="135"/>
      <c r="Z60" s="135"/>
      <c r="AA60" s="135"/>
      <c r="AB60" s="437" t="s">
        <v>818</v>
      </c>
    </row>
    <row r="61" spans="1:35" ht="12.6" customHeight="1" x14ac:dyDescent="0.2">
      <c r="A61" s="18"/>
      <c r="B61" s="792" t="s">
        <v>801</v>
      </c>
      <c r="C61" s="707"/>
      <c r="D61" s="707"/>
      <c r="E61" s="707"/>
      <c r="F61" s="336">
        <v>695</v>
      </c>
      <c r="G61" s="575">
        <f t="shared" ref="G61:G62" si="135">+F61*$X$1</f>
        <v>695</v>
      </c>
      <c r="H61" s="290"/>
      <c r="I61" s="365"/>
      <c r="J61" s="482"/>
      <c r="K61" s="336"/>
      <c r="L61" s="514">
        <f>F61+110</f>
        <v>805</v>
      </c>
      <c r="M61" s="300">
        <f t="shared" ref="M61" si="136">+L61*$X$1</f>
        <v>805</v>
      </c>
      <c r="N61" s="514">
        <f>F61+60</f>
        <v>755</v>
      </c>
      <c r="O61" s="300">
        <f t="shared" ref="O61" si="137">+N61*$X$1</f>
        <v>755</v>
      </c>
      <c r="P61" s="514">
        <f>F61+50</f>
        <v>745</v>
      </c>
      <c r="Q61" s="300">
        <f t="shared" ref="Q61" si="138">+P61*$X$1</f>
        <v>745</v>
      </c>
      <c r="R61" s="514">
        <f>F61+45</f>
        <v>740</v>
      </c>
      <c r="S61" s="300">
        <f t="shared" ref="S61" si="139">+R61*$X$1</f>
        <v>740</v>
      </c>
      <c r="T61" s="514">
        <f>F61+40</f>
        <v>735</v>
      </c>
      <c r="U61" s="300">
        <f t="shared" ref="U61" si="140">+T61*$X$1</f>
        <v>735</v>
      </c>
      <c r="V61" s="514">
        <f>F61+34</f>
        <v>729</v>
      </c>
      <c r="W61" s="300">
        <f t="shared" ref="W61" si="141">+V61*$X$1</f>
        <v>729</v>
      </c>
      <c r="X61" s="135"/>
      <c r="Y61" s="135"/>
      <c r="Z61" s="135"/>
      <c r="AA61" s="135"/>
      <c r="AB61" s="437" t="s">
        <v>816</v>
      </c>
    </row>
    <row r="62" spans="1:35" ht="12.6" customHeight="1" x14ac:dyDescent="0.2">
      <c r="A62" s="18"/>
      <c r="B62" s="890" t="s">
        <v>814</v>
      </c>
      <c r="C62" s="891"/>
      <c r="D62" s="891"/>
      <c r="E62" s="891"/>
      <c r="F62" s="407">
        <f>2.55*X2</f>
        <v>2588.25</v>
      </c>
      <c r="G62" s="299">
        <f t="shared" si="135"/>
        <v>2588.25</v>
      </c>
      <c r="H62" s="72"/>
      <c r="I62" s="299"/>
      <c r="J62" s="72">
        <f>F62+150</f>
        <v>2738.25</v>
      </c>
      <c r="K62" s="299">
        <f t="shared" ref="K62" si="142">+J62*$X$1</f>
        <v>2738.25</v>
      </c>
      <c r="L62" s="561">
        <f>F62+90</f>
        <v>2678.25</v>
      </c>
      <c r="M62" s="299">
        <f t="shared" ref="M62" si="143">+L62*$X$1</f>
        <v>2678.25</v>
      </c>
      <c r="N62" s="561">
        <f>F62+55</f>
        <v>2643.25</v>
      </c>
      <c r="O62" s="299">
        <f t="shared" ref="O62" si="144">+N62*$X$1</f>
        <v>2643.25</v>
      </c>
      <c r="P62" s="561">
        <f>F62+50</f>
        <v>2638.25</v>
      </c>
      <c r="Q62" s="299">
        <f t="shared" ref="Q62" si="145">+P62*$X$1</f>
        <v>2638.25</v>
      </c>
      <c r="R62" s="561">
        <f>F62+42</f>
        <v>2630.25</v>
      </c>
      <c r="S62" s="299">
        <f t="shared" ref="S62" si="146">+R62*$X$1</f>
        <v>2630.25</v>
      </c>
      <c r="T62" s="561">
        <f>F62+35</f>
        <v>2623.25</v>
      </c>
      <c r="U62" s="299">
        <f t="shared" ref="U62" si="147">+T62*$X$1</f>
        <v>2623.25</v>
      </c>
      <c r="V62" s="561">
        <f>F62+30</f>
        <v>2618.25</v>
      </c>
      <c r="W62" s="299">
        <f t="shared" ref="W62" si="148">+V62*$X$1</f>
        <v>2618.25</v>
      </c>
      <c r="X62" s="135"/>
      <c r="Y62" s="135"/>
      <c r="Z62" s="135"/>
      <c r="AA62" s="135"/>
      <c r="AB62" s="437" t="s">
        <v>815</v>
      </c>
    </row>
    <row r="63" spans="1:35" ht="12.6" customHeight="1" x14ac:dyDescent="0.2">
      <c r="A63" s="18"/>
      <c r="B63" s="760" t="s">
        <v>429</v>
      </c>
      <c r="C63" s="899"/>
      <c r="D63" s="899"/>
      <c r="E63" s="900"/>
      <c r="F63" s="336">
        <v>970</v>
      </c>
      <c r="G63" s="575">
        <f t="shared" si="121"/>
        <v>970</v>
      </c>
      <c r="H63" s="290"/>
      <c r="I63" s="365"/>
      <c r="J63" s="90">
        <f>F63+150</f>
        <v>1120</v>
      </c>
      <c r="K63" s="300">
        <f t="shared" ref="K63" si="149">+J63*$X$1</f>
        <v>1120</v>
      </c>
      <c r="L63" s="514">
        <f>F63+110</f>
        <v>1080</v>
      </c>
      <c r="M63" s="300">
        <f t="shared" ref="M63" si="150">+L63*$X$1</f>
        <v>1080</v>
      </c>
      <c r="N63" s="514">
        <f>F63+80</f>
        <v>1050</v>
      </c>
      <c r="O63" s="300">
        <f t="shared" ref="O63:O65" si="151">+N63*$X$1</f>
        <v>1050</v>
      </c>
      <c r="P63" s="514">
        <f>F63+60</f>
        <v>1030</v>
      </c>
      <c r="Q63" s="300">
        <f t="shared" ref="Q63:Q65" si="152">+P63*$X$1</f>
        <v>1030</v>
      </c>
      <c r="R63" s="514">
        <f>F63+50</f>
        <v>1020</v>
      </c>
      <c r="S63" s="300">
        <f t="shared" ref="S63:S65" si="153">+R63*$X$1</f>
        <v>1020</v>
      </c>
      <c r="T63" s="514">
        <f>F63+43</f>
        <v>1013</v>
      </c>
      <c r="U63" s="300">
        <f t="shared" ref="U63:U65" si="154">+T63*$X$1</f>
        <v>1013</v>
      </c>
      <c r="V63" s="514">
        <f>F63+39</f>
        <v>1009</v>
      </c>
      <c r="W63" s="300">
        <f t="shared" ref="W63:W65" si="155">+V63*$X$1</f>
        <v>1009</v>
      </c>
      <c r="X63" s="135"/>
      <c r="Y63" s="135"/>
      <c r="Z63" s="135"/>
      <c r="AA63" s="135"/>
      <c r="AB63" s="437">
        <v>89</v>
      </c>
    </row>
    <row r="64" spans="1:35" ht="12.6" customHeight="1" x14ac:dyDescent="0.2">
      <c r="A64" s="18"/>
      <c r="B64" s="669" t="s">
        <v>525</v>
      </c>
      <c r="C64" s="693"/>
      <c r="D64" s="693"/>
      <c r="E64" s="693"/>
      <c r="F64" s="299">
        <v>484</v>
      </c>
      <c r="G64" s="359">
        <f t="shared" si="121"/>
        <v>484</v>
      </c>
      <c r="H64" s="291"/>
      <c r="I64" s="364"/>
      <c r="J64" s="72"/>
      <c r="K64" s="264"/>
      <c r="L64" s="561"/>
      <c r="M64" s="264"/>
      <c r="N64" s="561">
        <f>F64+55</f>
        <v>539</v>
      </c>
      <c r="O64" s="299">
        <f t="shared" si="151"/>
        <v>539</v>
      </c>
      <c r="P64" s="561">
        <f>F64+50</f>
        <v>534</v>
      </c>
      <c r="Q64" s="299">
        <f t="shared" si="152"/>
        <v>534</v>
      </c>
      <c r="R64" s="561">
        <f>F64+42</f>
        <v>526</v>
      </c>
      <c r="S64" s="299">
        <f t="shared" si="153"/>
        <v>526</v>
      </c>
      <c r="T64" s="561">
        <f>F64+35</f>
        <v>519</v>
      </c>
      <c r="U64" s="299">
        <f t="shared" si="154"/>
        <v>519</v>
      </c>
      <c r="V64" s="561">
        <f>F64+30</f>
        <v>514</v>
      </c>
      <c r="W64" s="299">
        <f t="shared" si="155"/>
        <v>514</v>
      </c>
      <c r="X64" s="151"/>
      <c r="Y64" s="151"/>
      <c r="Z64" s="151" t="s">
        <v>82</v>
      </c>
      <c r="AA64" s="135"/>
      <c r="AB64" s="437">
        <v>91</v>
      </c>
    </row>
    <row r="65" spans="1:38" ht="12.6" customHeight="1" x14ac:dyDescent="0.2">
      <c r="A65" s="18"/>
      <c r="B65" s="797" t="s">
        <v>83</v>
      </c>
      <c r="C65" s="798"/>
      <c r="D65" s="798"/>
      <c r="E65" s="799"/>
      <c r="F65" s="300">
        <v>245</v>
      </c>
      <c r="G65" s="328">
        <f t="shared" si="121"/>
        <v>245</v>
      </c>
      <c r="H65" s="290"/>
      <c r="I65" s="365"/>
      <c r="J65" s="90"/>
      <c r="K65" s="321"/>
      <c r="L65" s="514"/>
      <c r="M65" s="321"/>
      <c r="N65" s="514">
        <f>F65+55</f>
        <v>300</v>
      </c>
      <c r="O65" s="300">
        <f t="shared" si="151"/>
        <v>300</v>
      </c>
      <c r="P65" s="514">
        <f>F65+50</f>
        <v>295</v>
      </c>
      <c r="Q65" s="300">
        <f t="shared" si="152"/>
        <v>295</v>
      </c>
      <c r="R65" s="514">
        <f>F65+42</f>
        <v>287</v>
      </c>
      <c r="S65" s="300">
        <f t="shared" si="153"/>
        <v>287</v>
      </c>
      <c r="T65" s="514">
        <f>F65+35</f>
        <v>280</v>
      </c>
      <c r="U65" s="300">
        <f t="shared" si="154"/>
        <v>280</v>
      </c>
      <c r="V65" s="514">
        <f>F65+30</f>
        <v>275</v>
      </c>
      <c r="W65" s="300">
        <f t="shared" si="155"/>
        <v>275</v>
      </c>
      <c r="X65" s="151"/>
      <c r="Y65" s="151"/>
      <c r="Z65" s="151"/>
      <c r="AA65" s="135"/>
      <c r="AB65" s="437" t="s">
        <v>84</v>
      </c>
    </row>
    <row r="66" spans="1:38" ht="12.6" customHeight="1" x14ac:dyDescent="0.2">
      <c r="A66" s="18"/>
      <c r="B66" s="886" t="s">
        <v>360</v>
      </c>
      <c r="C66" s="887"/>
      <c r="D66" s="887"/>
      <c r="E66" s="906"/>
      <c r="F66" s="299"/>
      <c r="G66" s="329"/>
      <c r="H66" s="291"/>
      <c r="I66" s="291"/>
      <c r="J66" s="72"/>
      <c r="K66" s="97"/>
      <c r="L66" s="561"/>
      <c r="M66" s="264"/>
      <c r="N66" s="104"/>
      <c r="O66" s="264"/>
      <c r="P66" s="104"/>
      <c r="Q66" s="299"/>
      <c r="R66" s="104"/>
      <c r="S66" s="264"/>
      <c r="T66" s="104"/>
      <c r="U66" s="264"/>
      <c r="V66" s="104"/>
      <c r="W66" s="299"/>
      <c r="X66" s="151"/>
      <c r="Y66" s="151"/>
      <c r="Z66" s="151"/>
      <c r="AA66" s="135"/>
      <c r="AB66" s="35"/>
    </row>
    <row r="67" spans="1:38" ht="12.6" customHeight="1" x14ac:dyDescent="0.2">
      <c r="A67" s="18"/>
      <c r="B67" s="797" t="s">
        <v>361</v>
      </c>
      <c r="C67" s="798"/>
      <c r="D67" s="798"/>
      <c r="E67" s="799"/>
      <c r="F67" s="300"/>
      <c r="G67" s="328"/>
      <c r="H67" s="290"/>
      <c r="I67" s="290"/>
      <c r="J67" s="90"/>
      <c r="K67" s="95"/>
      <c r="L67" s="514"/>
      <c r="M67" s="321"/>
      <c r="N67" s="103"/>
      <c r="O67" s="321"/>
      <c r="P67" s="103"/>
      <c r="Q67" s="300"/>
      <c r="R67" s="103"/>
      <c r="S67" s="321"/>
      <c r="T67" s="103"/>
      <c r="U67" s="321"/>
      <c r="V67" s="103"/>
      <c r="W67" s="300"/>
      <c r="X67" s="151"/>
      <c r="Y67" s="151"/>
      <c r="Z67" s="151"/>
      <c r="AA67" s="135"/>
      <c r="AB67" s="35"/>
    </row>
    <row r="68" spans="1:38" ht="12.6" customHeight="1" x14ac:dyDescent="0.2">
      <c r="A68" s="18"/>
      <c r="B68" s="669" t="s">
        <v>85</v>
      </c>
      <c r="C68" s="693"/>
      <c r="D68" s="693"/>
      <c r="E68" s="693"/>
      <c r="F68" s="299">
        <v>5318</v>
      </c>
      <c r="G68" s="329">
        <f t="shared" si="121"/>
        <v>5318</v>
      </c>
      <c r="H68" s="72">
        <f>F68+400</f>
        <v>5718</v>
      </c>
      <c r="I68" s="299">
        <f>+H68*$X$1</f>
        <v>5718</v>
      </c>
      <c r="J68" s="72">
        <f>F68+150</f>
        <v>5468</v>
      </c>
      <c r="K68" s="299">
        <f t="shared" ref="K68" si="156">+J68*$X$1</f>
        <v>5468</v>
      </c>
      <c r="L68" s="561">
        <f>F68+90</f>
        <v>5408</v>
      </c>
      <c r="M68" s="299">
        <f t="shared" ref="M68" si="157">+L68*$X$1</f>
        <v>5408</v>
      </c>
      <c r="N68" s="561">
        <f>F68+55</f>
        <v>5373</v>
      </c>
      <c r="O68" s="299">
        <f t="shared" ref="O68" si="158">+N68*$X$1</f>
        <v>5373</v>
      </c>
      <c r="P68" s="561">
        <f>F68+50</f>
        <v>5368</v>
      </c>
      <c r="Q68" s="299">
        <f t="shared" ref="Q68" si="159">+P68*$X$1</f>
        <v>5368</v>
      </c>
      <c r="R68" s="561">
        <f>F68+42</f>
        <v>5360</v>
      </c>
      <c r="S68" s="299">
        <f t="shared" ref="S68" si="160">+R68*$X$1</f>
        <v>5360</v>
      </c>
      <c r="T68" s="561">
        <f>F68+35</f>
        <v>5353</v>
      </c>
      <c r="U68" s="299">
        <f t="shared" ref="U68" si="161">+T68*$X$1</f>
        <v>5353</v>
      </c>
      <c r="V68" s="561">
        <f>F68+30</f>
        <v>5348</v>
      </c>
      <c r="W68" s="299">
        <f t="shared" ref="W68" si="162">+V68*$X$1</f>
        <v>5348</v>
      </c>
      <c r="X68" s="138"/>
      <c r="Y68" s="135"/>
      <c r="Z68" s="135"/>
      <c r="AA68" s="135"/>
      <c r="AB68" s="437">
        <v>92</v>
      </c>
    </row>
    <row r="69" spans="1:38" ht="12.6" customHeight="1" x14ac:dyDescent="0.25">
      <c r="A69" s="58"/>
      <c r="B69" s="764" t="s">
        <v>493</v>
      </c>
      <c r="C69" s="901"/>
      <c r="D69" s="901"/>
      <c r="E69" s="901"/>
      <c r="F69" s="300"/>
      <c r="G69" s="321"/>
      <c r="H69" s="256"/>
      <c r="I69" s="892" t="s">
        <v>501</v>
      </c>
      <c r="J69" s="893"/>
      <c r="K69" s="893"/>
      <c r="L69" s="894"/>
      <c r="M69" s="895"/>
      <c r="N69" s="514">
        <v>850</v>
      </c>
      <c r="O69" s="328">
        <f>+N69*$X$1</f>
        <v>850</v>
      </c>
      <c r="P69" s="292">
        <v>847</v>
      </c>
      <c r="Q69" s="360">
        <f>+P69*$X$1</f>
        <v>847</v>
      </c>
      <c r="R69" s="514">
        <v>795</v>
      </c>
      <c r="S69" s="321">
        <f>+R69*$X$1</f>
        <v>795</v>
      </c>
      <c r="T69" s="514">
        <v>755</v>
      </c>
      <c r="U69" s="300">
        <f>+T69*$X$1</f>
        <v>755</v>
      </c>
      <c r="V69" s="514">
        <v>692</v>
      </c>
      <c r="W69" s="300">
        <f>+V69*$X$1</f>
        <v>692</v>
      </c>
      <c r="X69" s="802"/>
      <c r="Y69" s="802"/>
      <c r="Z69" s="802"/>
      <c r="AA69" s="802"/>
      <c r="AB69" s="200" t="s">
        <v>494</v>
      </c>
    </row>
    <row r="70" spans="1:38" ht="12.6" customHeight="1" x14ac:dyDescent="0.25">
      <c r="A70" s="58"/>
      <c r="B70" s="669" t="s">
        <v>350</v>
      </c>
      <c r="C70" s="664"/>
      <c r="D70" s="664"/>
      <c r="E70" s="664"/>
      <c r="F70" s="299"/>
      <c r="G70" s="264"/>
      <c r="H70" s="109"/>
      <c r="I70" s="916" t="s">
        <v>501</v>
      </c>
      <c r="J70" s="917"/>
      <c r="K70" s="917"/>
      <c r="L70" s="918"/>
      <c r="M70" s="919"/>
      <c r="N70" s="620">
        <v>912</v>
      </c>
      <c r="O70" s="329">
        <f>+N70*$X$1</f>
        <v>912</v>
      </c>
      <c r="P70" s="311">
        <v>909</v>
      </c>
      <c r="Q70" s="323">
        <f>+P70*$X$1</f>
        <v>909</v>
      </c>
      <c r="R70" s="620">
        <v>853</v>
      </c>
      <c r="S70" s="264">
        <f>+R70*$X$1</f>
        <v>853</v>
      </c>
      <c r="T70" s="620">
        <v>827</v>
      </c>
      <c r="U70" s="299">
        <f>+T70*$X$1</f>
        <v>827</v>
      </c>
      <c r="V70" s="620">
        <v>750</v>
      </c>
      <c r="W70" s="299">
        <f>+V70*$X$1</f>
        <v>750</v>
      </c>
      <c r="X70" s="802"/>
      <c r="Y70" s="802"/>
      <c r="Z70" s="802"/>
      <c r="AA70" s="802"/>
      <c r="AB70" s="200" t="s">
        <v>86</v>
      </c>
    </row>
    <row r="71" spans="1:38" ht="12.6" customHeight="1" x14ac:dyDescent="0.25">
      <c r="A71" s="58"/>
      <c r="B71" s="764" t="s">
        <v>495</v>
      </c>
      <c r="C71" s="901"/>
      <c r="D71" s="901"/>
      <c r="E71" s="901"/>
      <c r="F71" s="300"/>
      <c r="G71" s="321"/>
      <c r="H71" s="256"/>
      <c r="I71" s="892" t="s">
        <v>501</v>
      </c>
      <c r="J71" s="893"/>
      <c r="K71" s="893"/>
      <c r="L71" s="894"/>
      <c r="M71" s="895"/>
      <c r="N71" s="514">
        <v>1270</v>
      </c>
      <c r="O71" s="328">
        <f>+N71*$X$1</f>
        <v>1270</v>
      </c>
      <c r="P71" s="310">
        <v>1265</v>
      </c>
      <c r="Q71" s="360">
        <f>+P71*$X$1</f>
        <v>1265</v>
      </c>
      <c r="R71" s="514">
        <v>1207</v>
      </c>
      <c r="S71" s="321">
        <f>+R71*$X$1</f>
        <v>1207</v>
      </c>
      <c r="T71" s="514">
        <v>1180</v>
      </c>
      <c r="U71" s="300">
        <f>+T71*$X$1</f>
        <v>1180</v>
      </c>
      <c r="V71" s="514">
        <v>1103</v>
      </c>
      <c r="W71" s="300">
        <f>+V71*$X$1</f>
        <v>1103</v>
      </c>
      <c r="X71" s="802"/>
      <c r="Y71" s="802"/>
      <c r="Z71" s="802"/>
      <c r="AA71" s="802"/>
      <c r="AB71" s="200" t="s">
        <v>496</v>
      </c>
    </row>
    <row r="72" spans="1:38" ht="12.6" customHeight="1" x14ac:dyDescent="0.25">
      <c r="A72" s="18"/>
      <c r="B72" s="669" t="s">
        <v>351</v>
      </c>
      <c r="C72" s="664"/>
      <c r="D72" s="664"/>
      <c r="E72" s="664"/>
      <c r="F72" s="299"/>
      <c r="G72" s="264"/>
      <c r="H72" s="109"/>
      <c r="I72" s="793"/>
      <c r="J72" s="794"/>
      <c r="K72" s="794"/>
      <c r="L72" s="291"/>
      <c r="M72" s="364"/>
      <c r="N72" s="620"/>
      <c r="O72" s="329"/>
      <c r="P72" s="620"/>
      <c r="Q72" s="299"/>
      <c r="R72" s="620"/>
      <c r="S72" s="264"/>
      <c r="T72" s="620"/>
      <c r="U72" s="299"/>
      <c r="V72" s="115"/>
      <c r="W72" s="299"/>
      <c r="X72" s="802"/>
      <c r="Y72" s="802"/>
      <c r="Z72" s="802"/>
      <c r="AA72" s="802"/>
      <c r="AB72" s="200" t="s">
        <v>87</v>
      </c>
      <c r="AH72" s="4"/>
      <c r="AI72" s="4"/>
      <c r="AJ72" s="4"/>
    </row>
    <row r="73" spans="1:38" s="6" customFormat="1" ht="12.6" customHeight="1" x14ac:dyDescent="0.25">
      <c r="A73" s="58"/>
      <c r="B73" s="889" t="s">
        <v>417</v>
      </c>
      <c r="C73" s="679"/>
      <c r="D73" s="679"/>
      <c r="E73" s="680"/>
      <c r="F73" s="300"/>
      <c r="G73" s="321"/>
      <c r="H73" s="514"/>
      <c r="I73" s="328"/>
      <c r="J73" s="306"/>
      <c r="K73" s="384"/>
      <c r="L73" s="518">
        <v>2410</v>
      </c>
      <c r="M73" s="300">
        <f>+L73*$X$1</f>
        <v>2410</v>
      </c>
      <c r="N73" s="514">
        <v>2140</v>
      </c>
      <c r="O73" s="328">
        <f>+N73*$X$1</f>
        <v>2140</v>
      </c>
      <c r="P73" s="420">
        <v>1961</v>
      </c>
      <c r="Q73" s="360">
        <f>+P73*$X$1</f>
        <v>1961</v>
      </c>
      <c r="R73" s="514">
        <v>1958</v>
      </c>
      <c r="S73" s="321">
        <f>+R73*$X$1</f>
        <v>1958</v>
      </c>
      <c r="T73" s="514">
        <v>1890</v>
      </c>
      <c r="U73" s="300">
        <f>+T73*$X$1</f>
        <v>1890</v>
      </c>
      <c r="V73" s="618"/>
      <c r="W73" s="382"/>
      <c r="X73" s="254"/>
      <c r="Y73" s="255"/>
      <c r="Z73" s="255"/>
      <c r="AA73" s="255"/>
      <c r="AB73" s="200" t="s">
        <v>88</v>
      </c>
      <c r="AC73" s="8"/>
      <c r="AD73" s="8"/>
      <c r="AE73" s="8"/>
      <c r="AF73" s="8"/>
      <c r="AG73" s="8"/>
      <c r="AH73" s="57"/>
      <c r="AI73" s="24"/>
      <c r="AJ73" s="57"/>
      <c r="AK73" s="8"/>
      <c r="AL73" s="8"/>
    </row>
    <row r="74" spans="1:38" s="6" customFormat="1" ht="12.6" customHeight="1" x14ac:dyDescent="0.25">
      <c r="A74" s="58"/>
      <c r="B74" s="883" t="s">
        <v>418</v>
      </c>
      <c r="C74" s="884"/>
      <c r="D74" s="884"/>
      <c r="E74" s="885"/>
      <c r="F74" s="299"/>
      <c r="G74" s="515"/>
      <c r="H74" s="333"/>
      <c r="I74" s="516"/>
      <c r="J74" s="334"/>
      <c r="K74" s="383"/>
      <c r="L74" s="517">
        <v>3250</v>
      </c>
      <c r="M74" s="299">
        <f>+L74*$X$1</f>
        <v>3250</v>
      </c>
      <c r="N74" s="620">
        <v>2996</v>
      </c>
      <c r="O74" s="516">
        <f>+N74*$X$1</f>
        <v>2996</v>
      </c>
      <c r="P74" s="419">
        <v>2913</v>
      </c>
      <c r="Q74" s="323">
        <f>+P74*$X$1</f>
        <v>2913</v>
      </c>
      <c r="R74" s="620">
        <v>2909</v>
      </c>
      <c r="S74" s="515">
        <f>+R74*$X$1</f>
        <v>2909</v>
      </c>
      <c r="T74" s="620">
        <v>2713</v>
      </c>
      <c r="U74" s="299">
        <f>+T74*$X$1</f>
        <v>2713</v>
      </c>
      <c r="V74" s="619"/>
      <c r="W74" s="381"/>
      <c r="X74" s="795"/>
      <c r="Y74" s="796"/>
      <c r="Z74" s="796"/>
      <c r="AA74" s="796"/>
      <c r="AB74" s="200" t="s">
        <v>89</v>
      </c>
      <c r="AC74" s="8"/>
      <c r="AD74" s="8"/>
      <c r="AE74" s="8"/>
      <c r="AF74" s="8"/>
      <c r="AG74" s="8"/>
      <c r="AH74" s="57"/>
      <c r="AI74" s="57"/>
      <c r="AJ74" s="57"/>
      <c r="AK74" s="8"/>
      <c r="AL74" s="8"/>
    </row>
    <row r="75" spans="1:38" ht="12.6" customHeight="1" x14ac:dyDescent="0.2">
      <c r="A75" s="98"/>
      <c r="B75" s="111"/>
      <c r="C75" s="68"/>
      <c r="D75" s="68"/>
      <c r="E75" s="68"/>
      <c r="F75" s="191"/>
      <c r="G75" s="191"/>
      <c r="H75" s="191"/>
      <c r="I75" s="191"/>
      <c r="J75" s="191"/>
      <c r="K75" s="191"/>
      <c r="L75" s="112"/>
      <c r="M75" s="112"/>
      <c r="N75" s="113"/>
      <c r="O75" s="113"/>
      <c r="P75" s="113"/>
      <c r="Q75" s="114"/>
      <c r="R75" s="89"/>
      <c r="S75" s="64"/>
      <c r="T75" s="64"/>
      <c r="U75" s="64"/>
      <c r="V75" s="64"/>
      <c r="W75" s="64"/>
      <c r="X75" s="77"/>
      <c r="AB75" s="110"/>
    </row>
    <row r="76" spans="1:38" ht="12.6" customHeight="1" x14ac:dyDescent="0.2">
      <c r="A76" s="98"/>
      <c r="B76" s="111"/>
      <c r="C76" s="332"/>
      <c r="D76" s="332"/>
      <c r="E76" s="332"/>
      <c r="F76" s="243"/>
      <c r="G76" s="243"/>
      <c r="H76" s="243"/>
      <c r="I76" s="243"/>
      <c r="J76" s="243"/>
      <c r="K76" s="243"/>
      <c r="L76" s="112"/>
      <c r="M76" s="112"/>
      <c r="N76" s="113"/>
      <c r="O76" s="113"/>
      <c r="P76" s="113"/>
      <c r="Q76" s="114"/>
      <c r="R76" s="89"/>
      <c r="S76" s="64"/>
      <c r="T76" s="64"/>
      <c r="U76" s="64"/>
      <c r="V76" s="64"/>
      <c r="W76" s="64"/>
      <c r="X76" s="77"/>
      <c r="AB76" s="110"/>
    </row>
    <row r="77" spans="1:38" ht="12.6" customHeight="1" x14ac:dyDescent="0.2">
      <c r="A77" s="98"/>
      <c r="B77" s="111"/>
      <c r="C77" s="244"/>
      <c r="D77" s="244"/>
      <c r="E77" s="244"/>
      <c r="F77" s="243"/>
      <c r="G77" s="243"/>
      <c r="H77" s="243"/>
      <c r="I77" s="243"/>
      <c r="J77" s="243"/>
      <c r="K77" s="243"/>
      <c r="L77" s="112"/>
      <c r="M77" s="112"/>
      <c r="N77" s="113"/>
      <c r="O77" s="113"/>
      <c r="P77" s="113"/>
      <c r="Q77" s="114"/>
      <c r="R77" s="89"/>
      <c r="S77" s="64"/>
      <c r="T77" s="64"/>
      <c r="U77" s="64"/>
      <c r="V77" s="64"/>
      <c r="W77" s="64"/>
      <c r="X77" s="77"/>
      <c r="AB77" s="110"/>
    </row>
    <row r="78" spans="1:38" ht="15.75" customHeight="1" x14ac:dyDescent="0.2">
      <c r="A78" s="18"/>
      <c r="B78" s="699" t="s">
        <v>11</v>
      </c>
      <c r="C78" s="840" t="s">
        <v>12</v>
      </c>
      <c r="D78" s="841"/>
      <c r="E78" s="841"/>
      <c r="F78" s="651" t="s">
        <v>13</v>
      </c>
      <c r="G78" s="651" t="s">
        <v>13</v>
      </c>
      <c r="H78" s="653" t="s">
        <v>844</v>
      </c>
      <c r="I78" s="653"/>
      <c r="J78" s="654"/>
      <c r="K78" s="654"/>
      <c r="L78" s="654"/>
      <c r="M78" s="654"/>
      <c r="N78" s="654"/>
      <c r="O78" s="654"/>
      <c r="P78" s="654"/>
      <c r="Q78" s="654"/>
      <c r="R78" s="654"/>
      <c r="S78" s="654"/>
      <c r="T78" s="654"/>
      <c r="U78" s="654"/>
      <c r="V78" s="654"/>
      <c r="W78" s="654"/>
      <c r="X78" s="637" t="s">
        <v>14</v>
      </c>
      <c r="Y78" s="638"/>
      <c r="Z78" s="638"/>
      <c r="AA78" s="639"/>
      <c r="AB78" s="643" t="s">
        <v>15</v>
      </c>
      <c r="AF78" s="625" t="s">
        <v>3</v>
      </c>
      <c r="AG78" s="626"/>
      <c r="AH78" s="626"/>
    </row>
    <row r="79" spans="1:38" ht="12" customHeight="1" x14ac:dyDescent="0.2">
      <c r="A79" s="18"/>
      <c r="B79" s="699"/>
      <c r="C79" s="841"/>
      <c r="D79" s="841"/>
      <c r="E79" s="841"/>
      <c r="F79" s="652"/>
      <c r="G79" s="652"/>
      <c r="H79" s="533"/>
      <c r="I79" s="531" t="s">
        <v>297</v>
      </c>
      <c r="J79" s="533"/>
      <c r="K79" s="531" t="s">
        <v>17</v>
      </c>
      <c r="L79" s="534"/>
      <c r="M79" s="534" t="s">
        <v>18</v>
      </c>
      <c r="N79" s="534"/>
      <c r="O79" s="531" t="s">
        <v>19</v>
      </c>
      <c r="P79" s="534"/>
      <c r="Q79" s="534" t="s">
        <v>299</v>
      </c>
      <c r="R79" s="534"/>
      <c r="S79" s="534" t="s">
        <v>20</v>
      </c>
      <c r="T79" s="534"/>
      <c r="U79" s="534" t="s">
        <v>21</v>
      </c>
      <c r="V79" s="534"/>
      <c r="W79" s="534" t="s">
        <v>22</v>
      </c>
      <c r="X79" s="640"/>
      <c r="Y79" s="641"/>
      <c r="Z79" s="641"/>
      <c r="AA79" s="642"/>
      <c r="AB79" s="644"/>
    </row>
    <row r="80" spans="1:38" ht="12.6" customHeight="1" x14ac:dyDescent="0.2">
      <c r="A80" s="18"/>
      <c r="B80" s="914" t="s">
        <v>90</v>
      </c>
      <c r="C80" s="891"/>
      <c r="D80" s="891"/>
      <c r="E80" s="915"/>
      <c r="F80" s="874" t="s">
        <v>701</v>
      </c>
      <c r="G80" s="875"/>
      <c r="H80" s="875"/>
      <c r="I80" s="875"/>
      <c r="J80" s="555"/>
      <c r="K80" s="540"/>
      <c r="L80" s="556"/>
      <c r="M80" s="322"/>
      <c r="N80" s="104"/>
      <c r="O80" s="359"/>
      <c r="P80" s="557"/>
      <c r="Q80" s="359"/>
      <c r="R80" s="104"/>
      <c r="S80" s="322"/>
      <c r="T80" s="104"/>
      <c r="U80" s="322"/>
      <c r="V80" s="104"/>
      <c r="W80" s="322"/>
      <c r="X80" s="135"/>
      <c r="Y80" s="135"/>
      <c r="Z80" s="135"/>
      <c r="AA80" s="135"/>
      <c r="AB80" s="444" t="s">
        <v>91</v>
      </c>
      <c r="AC80" s="440" t="s">
        <v>92</v>
      </c>
      <c r="AD80" s="440" t="s">
        <v>93</v>
      </c>
      <c r="AE80" s="440" t="s">
        <v>94</v>
      </c>
      <c r="AF80" s="440" t="s">
        <v>95</v>
      </c>
      <c r="AG80" s="440" t="s">
        <v>96</v>
      </c>
    </row>
    <row r="81" spans="1:34" ht="12.6" customHeight="1" x14ac:dyDescent="0.2">
      <c r="A81" s="18"/>
      <c r="B81" s="685" t="s">
        <v>97</v>
      </c>
      <c r="C81" s="686"/>
      <c r="D81" s="686"/>
      <c r="E81" s="777"/>
      <c r="F81" s="876"/>
      <c r="G81" s="875"/>
      <c r="H81" s="875"/>
      <c r="I81" s="875"/>
      <c r="J81" s="269"/>
      <c r="K81" s="290"/>
      <c r="L81" s="318"/>
      <c r="M81" s="300"/>
      <c r="N81" s="103"/>
      <c r="O81" s="328"/>
      <c r="P81" s="292"/>
      <c r="Q81" s="360"/>
      <c r="R81" s="103"/>
      <c r="S81" s="321"/>
      <c r="T81" s="103"/>
      <c r="U81" s="300"/>
      <c r="V81" s="514"/>
      <c r="W81" s="300"/>
      <c r="X81" s="139"/>
      <c r="Y81" s="139"/>
      <c r="Z81" s="139"/>
      <c r="AA81" s="139"/>
      <c r="AB81" s="444" t="s">
        <v>98</v>
      </c>
      <c r="AC81" s="440" t="s">
        <v>99</v>
      </c>
      <c r="AD81" s="440" t="s">
        <v>100</v>
      </c>
      <c r="AE81" s="440" t="s">
        <v>101</v>
      </c>
      <c r="AF81" s="440" t="s">
        <v>102</v>
      </c>
      <c r="AG81" s="440" t="s">
        <v>103</v>
      </c>
      <c r="AH81" s="440" t="s">
        <v>104</v>
      </c>
    </row>
    <row r="82" spans="1:34" ht="12.6" customHeight="1" x14ac:dyDescent="0.25">
      <c r="A82" s="18"/>
      <c r="B82" s="663" t="s">
        <v>105</v>
      </c>
      <c r="C82" s="693"/>
      <c r="D82" s="693"/>
      <c r="E82" s="746"/>
      <c r="F82" s="876"/>
      <c r="G82" s="875"/>
      <c r="H82" s="875"/>
      <c r="I82" s="875"/>
      <c r="J82" s="272"/>
      <c r="K82" s="291"/>
      <c r="L82" s="558"/>
      <c r="M82" s="299"/>
      <c r="N82" s="553"/>
      <c r="O82" s="329"/>
      <c r="P82" s="338"/>
      <c r="Q82" s="323"/>
      <c r="R82" s="553"/>
      <c r="S82" s="264"/>
      <c r="T82" s="553"/>
      <c r="U82" s="299"/>
      <c r="V82" s="553"/>
      <c r="W82" s="299"/>
      <c r="X82" s="744"/>
      <c r="Y82" s="745"/>
      <c r="Z82" s="745"/>
      <c r="AA82" s="193"/>
      <c r="AB82" s="444" t="s">
        <v>106</v>
      </c>
      <c r="AC82" s="440" t="s">
        <v>107</v>
      </c>
      <c r="AD82" s="440" t="s">
        <v>108</v>
      </c>
      <c r="AE82" s="440" t="s">
        <v>109</v>
      </c>
      <c r="AF82" s="440" t="s">
        <v>110</v>
      </c>
      <c r="AG82" s="445" t="s">
        <v>111</v>
      </c>
      <c r="AH82" s="440" t="s">
        <v>112</v>
      </c>
    </row>
    <row r="83" spans="1:34" ht="12.6" customHeight="1" x14ac:dyDescent="0.25">
      <c r="A83" s="18"/>
      <c r="B83" s="685" t="s">
        <v>113</v>
      </c>
      <c r="C83" s="686"/>
      <c r="D83" s="686"/>
      <c r="E83" s="777"/>
      <c r="F83" s="876"/>
      <c r="G83" s="875"/>
      <c r="H83" s="875"/>
      <c r="I83" s="875"/>
      <c r="J83" s="269"/>
      <c r="K83" s="290"/>
      <c r="L83" s="318"/>
      <c r="M83" s="300"/>
      <c r="N83" s="514"/>
      <c r="O83" s="328"/>
      <c r="P83" s="292"/>
      <c r="Q83" s="360"/>
      <c r="R83" s="514"/>
      <c r="S83" s="321"/>
      <c r="T83" s="514"/>
      <c r="U83" s="300"/>
      <c r="V83" s="514"/>
      <c r="W83" s="300"/>
      <c r="X83" s="744"/>
      <c r="Y83" s="745"/>
      <c r="Z83" s="745"/>
      <c r="AA83" s="193"/>
      <c r="AB83" s="444" t="s">
        <v>114</v>
      </c>
      <c r="AC83" s="446" t="s">
        <v>115</v>
      </c>
      <c r="AD83" s="446" t="s">
        <v>116</v>
      </c>
      <c r="AE83" s="446" t="s">
        <v>117</v>
      </c>
      <c r="AF83" s="446" t="s">
        <v>118</v>
      </c>
      <c r="AG83" s="30"/>
    </row>
    <row r="84" spans="1:34" ht="12.6" customHeight="1" x14ac:dyDescent="0.2">
      <c r="A84" s="18"/>
      <c r="B84" s="663" t="s">
        <v>119</v>
      </c>
      <c r="C84" s="693"/>
      <c r="D84" s="693"/>
      <c r="E84" s="746"/>
      <c r="F84" s="876"/>
      <c r="G84" s="875"/>
      <c r="H84" s="875"/>
      <c r="I84" s="875"/>
      <c r="J84" s="272"/>
      <c r="K84" s="291"/>
      <c r="L84" s="558"/>
      <c r="M84" s="299"/>
      <c r="N84" s="553"/>
      <c r="O84" s="329"/>
      <c r="P84" s="338"/>
      <c r="Q84" s="323"/>
      <c r="R84" s="553"/>
      <c r="S84" s="264"/>
      <c r="T84" s="553"/>
      <c r="U84" s="299"/>
      <c r="V84" s="553"/>
      <c r="W84" s="299"/>
      <c r="X84" s="156"/>
      <c r="Y84" s="156"/>
      <c r="Z84" s="156"/>
      <c r="AA84" s="156"/>
      <c r="AB84" s="31" t="s">
        <v>120</v>
      </c>
      <c r="AC84" s="440" t="s">
        <v>121</v>
      </c>
      <c r="AD84" s="440" t="s">
        <v>122</v>
      </c>
      <c r="AE84" s="440" t="s">
        <v>123</v>
      </c>
      <c r="AF84" s="440" t="s">
        <v>124</v>
      </c>
      <c r="AG84" s="440" t="s">
        <v>125</v>
      </c>
    </row>
    <row r="85" spans="1:34" ht="12.6" customHeight="1" x14ac:dyDescent="0.2">
      <c r="A85" s="18"/>
      <c r="B85" s="685" t="s">
        <v>126</v>
      </c>
      <c r="C85" s="686"/>
      <c r="D85" s="686"/>
      <c r="E85" s="777"/>
      <c r="F85" s="876"/>
      <c r="G85" s="875"/>
      <c r="H85" s="875"/>
      <c r="I85" s="875"/>
      <c r="J85" s="269"/>
      <c r="K85" s="290"/>
      <c r="L85" s="318"/>
      <c r="M85" s="300"/>
      <c r="N85" s="514"/>
      <c r="O85" s="328"/>
      <c r="P85" s="292"/>
      <c r="Q85" s="360"/>
      <c r="R85" s="514"/>
      <c r="S85" s="321"/>
      <c r="T85" s="514"/>
      <c r="U85" s="300"/>
      <c r="V85" s="514"/>
      <c r="W85" s="300"/>
      <c r="X85" s="156"/>
      <c r="Y85" s="156"/>
      <c r="Z85" s="156"/>
      <c r="AA85" s="156"/>
      <c r="AB85" s="31" t="s">
        <v>127</v>
      </c>
      <c r="AC85" s="446" t="s">
        <v>128</v>
      </c>
      <c r="AD85" s="446" t="s">
        <v>129</v>
      </c>
      <c r="AE85" s="446" t="s">
        <v>130</v>
      </c>
    </row>
    <row r="86" spans="1:34" ht="12.6" customHeight="1" x14ac:dyDescent="0.25">
      <c r="A86" s="18"/>
      <c r="B86" s="663" t="s">
        <v>131</v>
      </c>
      <c r="C86" s="693"/>
      <c r="D86" s="693"/>
      <c r="E86" s="746"/>
      <c r="F86" s="876"/>
      <c r="G86" s="875"/>
      <c r="H86" s="875"/>
      <c r="I86" s="875"/>
      <c r="J86" s="272"/>
      <c r="K86" s="291"/>
      <c r="L86" s="558"/>
      <c r="M86" s="299"/>
      <c r="N86" s="553"/>
      <c r="O86" s="329"/>
      <c r="P86" s="338"/>
      <c r="Q86" s="323"/>
      <c r="R86" s="553"/>
      <c r="S86" s="264"/>
      <c r="T86" s="553"/>
      <c r="U86" s="299"/>
      <c r="V86" s="553"/>
      <c r="W86" s="299"/>
      <c r="X86" s="744"/>
      <c r="Y86" s="745"/>
      <c r="Z86" s="745"/>
      <c r="AA86" s="193"/>
      <c r="AB86" s="31" t="s">
        <v>132</v>
      </c>
      <c r="AC86" s="440" t="s">
        <v>133</v>
      </c>
      <c r="AD86" s="440" t="s">
        <v>134</v>
      </c>
      <c r="AE86" s="440" t="s">
        <v>135</v>
      </c>
      <c r="AF86" s="440" t="s">
        <v>136</v>
      </c>
      <c r="AG86" s="440" t="s">
        <v>137</v>
      </c>
      <c r="AH86" s="440" t="s">
        <v>138</v>
      </c>
    </row>
    <row r="87" spans="1:34" ht="12.6" customHeight="1" x14ac:dyDescent="0.25">
      <c r="A87" s="18"/>
      <c r="B87" s="685" t="s">
        <v>139</v>
      </c>
      <c r="C87" s="686"/>
      <c r="D87" s="686"/>
      <c r="E87" s="777"/>
      <c r="F87" s="876"/>
      <c r="G87" s="875"/>
      <c r="H87" s="875"/>
      <c r="I87" s="875"/>
      <c r="J87" s="269"/>
      <c r="K87" s="290"/>
      <c r="L87" s="318"/>
      <c r="M87" s="300"/>
      <c r="N87" s="514"/>
      <c r="O87" s="328"/>
      <c r="P87" s="292"/>
      <c r="Q87" s="360"/>
      <c r="R87" s="514"/>
      <c r="S87" s="321"/>
      <c r="T87" s="514"/>
      <c r="U87" s="300"/>
      <c r="V87" s="514"/>
      <c r="W87" s="300"/>
      <c r="X87" s="744"/>
      <c r="Y87" s="745"/>
      <c r="Z87" s="745"/>
      <c r="AA87" s="193"/>
      <c r="AB87" s="442" t="s">
        <v>140</v>
      </c>
      <c r="AC87" s="65"/>
      <c r="AD87" s="65"/>
      <c r="AE87" s="65"/>
      <c r="AF87" s="65"/>
      <c r="AG87" s="65"/>
    </row>
    <row r="88" spans="1:34" ht="12.6" customHeight="1" x14ac:dyDescent="0.2">
      <c r="A88" s="18"/>
      <c r="B88" s="663" t="s">
        <v>141</v>
      </c>
      <c r="C88" s="693"/>
      <c r="D88" s="693"/>
      <c r="E88" s="746"/>
      <c r="F88" s="876"/>
      <c r="G88" s="875"/>
      <c r="H88" s="875"/>
      <c r="I88" s="875"/>
      <c r="J88" s="272"/>
      <c r="K88" s="291"/>
      <c r="L88" s="558"/>
      <c r="M88" s="299"/>
      <c r="N88" s="553"/>
      <c r="O88" s="329"/>
      <c r="P88" s="338"/>
      <c r="Q88" s="323"/>
      <c r="R88" s="553"/>
      <c r="S88" s="264"/>
      <c r="T88" s="553"/>
      <c r="U88" s="299"/>
      <c r="V88" s="553"/>
      <c r="W88" s="299"/>
      <c r="X88" s="155"/>
      <c r="Y88" s="155"/>
      <c r="Z88" s="155"/>
      <c r="AA88" s="155"/>
      <c r="AB88" s="440" t="s">
        <v>142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685" t="s">
        <v>143</v>
      </c>
      <c r="C89" s="686"/>
      <c r="D89" s="686"/>
      <c r="E89" s="777"/>
      <c r="F89" s="876"/>
      <c r="G89" s="875"/>
      <c r="H89" s="875"/>
      <c r="I89" s="875"/>
      <c r="J89" s="269"/>
      <c r="K89" s="290"/>
      <c r="L89" s="318"/>
      <c r="M89" s="300"/>
      <c r="N89" s="514"/>
      <c r="O89" s="328"/>
      <c r="P89" s="292"/>
      <c r="Q89" s="328"/>
      <c r="R89" s="514"/>
      <c r="S89" s="328"/>
      <c r="T89" s="514"/>
      <c r="U89" s="300"/>
      <c r="V89" s="514"/>
      <c r="W89" s="300"/>
      <c r="X89" s="155"/>
      <c r="Y89" s="155"/>
      <c r="Z89" s="155"/>
      <c r="AA89" s="155"/>
      <c r="AB89" s="440" t="s">
        <v>144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63" t="s">
        <v>145</v>
      </c>
      <c r="C90" s="693"/>
      <c r="D90" s="693"/>
      <c r="E90" s="746"/>
      <c r="F90" s="877"/>
      <c r="G90" s="878"/>
      <c r="H90" s="878"/>
      <c r="I90" s="878"/>
      <c r="J90" s="272"/>
      <c r="K90" s="291"/>
      <c r="L90" s="558"/>
      <c r="M90" s="299"/>
      <c r="N90" s="553"/>
      <c r="O90" s="373"/>
      <c r="P90" s="338"/>
      <c r="Q90" s="323"/>
      <c r="R90" s="115"/>
      <c r="S90" s="492"/>
      <c r="T90" s="553"/>
      <c r="U90" s="299"/>
      <c r="V90" s="553"/>
      <c r="W90" s="299"/>
      <c r="X90" s="135"/>
      <c r="Y90" s="135"/>
      <c r="Z90" s="135"/>
      <c r="AA90" s="135"/>
      <c r="AB90" s="443" t="s">
        <v>146</v>
      </c>
      <c r="AC90" s="440" t="s">
        <v>147</v>
      </c>
      <c r="AD90" s="440" t="s">
        <v>148</v>
      </c>
      <c r="AE90" s="440" t="s">
        <v>149</v>
      </c>
      <c r="AF90" s="440" t="s">
        <v>150</v>
      </c>
      <c r="AG90" s="440" t="s">
        <v>151</v>
      </c>
    </row>
    <row r="91" spans="1:34" ht="12.6" customHeight="1" x14ac:dyDescent="0.2">
      <c r="A91" s="18"/>
      <c r="B91" s="685" t="s">
        <v>489</v>
      </c>
      <c r="C91" s="686"/>
      <c r="D91" s="686"/>
      <c r="E91" s="686"/>
      <c r="F91" s="300"/>
      <c r="G91" s="360"/>
      <c r="H91" s="269"/>
      <c r="I91" s="305"/>
      <c r="J91" s="514"/>
      <c r="K91" s="300"/>
      <c r="L91" s="417"/>
      <c r="M91" s="300"/>
      <c r="N91" s="417"/>
      <c r="O91" s="300"/>
      <c r="P91" s="417"/>
      <c r="Q91" s="300"/>
      <c r="R91" s="417"/>
      <c r="S91" s="300"/>
      <c r="T91" s="417"/>
      <c r="U91" s="300"/>
      <c r="V91" s="90"/>
      <c r="W91" s="366"/>
      <c r="X91" s="166"/>
      <c r="Y91" s="139"/>
      <c r="Z91" s="139"/>
      <c r="AA91" s="142"/>
      <c r="AB91" s="441">
        <v>117</v>
      </c>
    </row>
    <row r="92" spans="1:34" ht="12.6" customHeight="1" x14ac:dyDescent="0.2">
      <c r="A92" s="18"/>
      <c r="B92" s="673" t="s">
        <v>507</v>
      </c>
      <c r="C92" s="676"/>
      <c r="D92" s="676"/>
      <c r="E92" s="677"/>
      <c r="F92" s="299"/>
      <c r="G92" s="323"/>
      <c r="H92" s="272"/>
      <c r="I92" s="291"/>
      <c r="J92" s="333"/>
      <c r="K92" s="299"/>
      <c r="L92" s="333"/>
      <c r="M92" s="299"/>
      <c r="N92" s="333"/>
      <c r="O92" s="299"/>
      <c r="P92" s="333"/>
      <c r="Q92" s="299"/>
      <c r="R92" s="333"/>
      <c r="S92" s="299"/>
      <c r="T92" s="333"/>
      <c r="U92" s="299"/>
      <c r="V92" s="72"/>
      <c r="W92" s="367"/>
      <c r="X92" s="166"/>
      <c r="Y92" s="139"/>
      <c r="Z92" s="139"/>
      <c r="AA92" s="142"/>
      <c r="AB92" s="441"/>
    </row>
    <row r="93" spans="1:34" ht="12.6" customHeight="1" x14ac:dyDescent="0.2">
      <c r="A93" s="18"/>
      <c r="B93" s="685" t="s">
        <v>490</v>
      </c>
      <c r="C93" s="686"/>
      <c r="D93" s="686"/>
      <c r="E93" s="686"/>
      <c r="F93" s="300"/>
      <c r="G93" s="360"/>
      <c r="H93" s="269"/>
      <c r="I93" s="290"/>
      <c r="J93" s="396"/>
      <c r="K93" s="300"/>
      <c r="L93" s="404"/>
      <c r="M93" s="300"/>
      <c r="N93" s="404"/>
      <c r="O93" s="300"/>
      <c r="P93" s="404"/>
      <c r="Q93" s="300"/>
      <c r="R93" s="404"/>
      <c r="S93" s="300"/>
      <c r="T93" s="404"/>
      <c r="U93" s="300"/>
      <c r="V93" s="90"/>
      <c r="W93" s="366"/>
      <c r="X93" s="166"/>
      <c r="Y93" s="139"/>
      <c r="Z93" s="139"/>
      <c r="AA93" s="142"/>
      <c r="AB93" s="441">
        <v>129</v>
      </c>
    </row>
    <row r="94" spans="1:34" ht="12.6" customHeight="1" x14ac:dyDescent="0.2">
      <c r="A94" s="107"/>
      <c r="B94" s="880" t="s">
        <v>408</v>
      </c>
      <c r="C94" s="881"/>
      <c r="D94" s="881"/>
      <c r="E94" s="881"/>
      <c r="F94" s="358">
        <v>480</v>
      </c>
      <c r="G94" s="379">
        <f t="shared" ref="G94:G99" si="163">+F94*$X$1</f>
        <v>480</v>
      </c>
      <c r="H94" s="270"/>
      <c r="I94" s="297"/>
      <c r="J94" s="248">
        <f>F94+150</f>
        <v>630</v>
      </c>
      <c r="K94" s="405">
        <f>+J94*$X$1</f>
        <v>630</v>
      </c>
      <c r="L94" s="116">
        <f>F94+90</f>
        <v>570</v>
      </c>
      <c r="M94" s="405">
        <f t="shared" ref="M94:M96" si="164">+L94*$X$1</f>
        <v>570</v>
      </c>
      <c r="N94" s="106">
        <f>F94+7.2</f>
        <v>487.2</v>
      </c>
      <c r="O94" s="750" t="s">
        <v>152</v>
      </c>
      <c r="P94" s="751"/>
      <c r="Q94" s="751"/>
      <c r="R94" s="751"/>
      <c r="S94" s="751"/>
      <c r="T94" s="751"/>
      <c r="U94" s="751"/>
      <c r="V94" s="751"/>
      <c r="W94" s="751"/>
      <c r="X94" s="167"/>
      <c r="Y94" s="139"/>
      <c r="Z94" s="139"/>
      <c r="AA94" s="142"/>
      <c r="AB94" s="447">
        <v>247</v>
      </c>
    </row>
    <row r="95" spans="1:34" ht="12.6" customHeight="1" x14ac:dyDescent="0.2">
      <c r="A95" s="98"/>
      <c r="B95" s="670" t="s">
        <v>521</v>
      </c>
      <c r="C95" s="679"/>
      <c r="D95" s="679"/>
      <c r="E95" s="680"/>
      <c r="F95" s="408">
        <f>2.631*X2</f>
        <v>2670.4649999999997</v>
      </c>
      <c r="G95" s="328">
        <f>+F95*$X$1</f>
        <v>2670.4649999999997</v>
      </c>
      <c r="H95" s="290"/>
      <c r="I95" s="290"/>
      <c r="J95" s="90">
        <f>F95+150</f>
        <v>2820.4649999999997</v>
      </c>
      <c r="K95" s="300">
        <f t="shared" ref="K95:K96" si="165">+J95*$X$1</f>
        <v>2820.4649999999997</v>
      </c>
      <c r="L95" s="514">
        <f>F95+90</f>
        <v>2760.4649999999997</v>
      </c>
      <c r="M95" s="300">
        <f t="shared" si="164"/>
        <v>2760.4649999999997</v>
      </c>
      <c r="N95" s="514">
        <f>F95+55</f>
        <v>2725.4649999999997</v>
      </c>
      <c r="O95" s="300">
        <f t="shared" ref="O95:O96" si="166">+N95*$X$1</f>
        <v>2725.4649999999997</v>
      </c>
      <c r="P95" s="514">
        <f>F95+50</f>
        <v>2720.4649999999997</v>
      </c>
      <c r="Q95" s="300">
        <f t="shared" ref="Q95:Q96" si="167">+P95*$X$1</f>
        <v>2720.4649999999997</v>
      </c>
      <c r="R95" s="514">
        <f>F95+42</f>
        <v>2712.4649999999997</v>
      </c>
      <c r="S95" s="300">
        <f t="shared" ref="S95:S96" si="168">+R95*$X$1</f>
        <v>2712.4649999999997</v>
      </c>
      <c r="T95" s="514">
        <f>F95+35</f>
        <v>2705.4649999999997</v>
      </c>
      <c r="U95" s="300">
        <f t="shared" ref="U95:U96" si="169">+T95*$X$1</f>
        <v>2705.4649999999997</v>
      </c>
      <c r="V95" s="514">
        <f>F95+30</f>
        <v>2700.4649999999997</v>
      </c>
      <c r="W95" s="300">
        <f t="shared" ref="W95:W96" si="170">+V95*$X$1</f>
        <v>2700.4649999999997</v>
      </c>
      <c r="X95" s="167"/>
      <c r="Y95" s="139"/>
      <c r="Z95" s="139"/>
      <c r="AA95" s="142"/>
      <c r="AB95" s="447">
        <v>249</v>
      </c>
    </row>
    <row r="96" spans="1:34" ht="12.6" customHeight="1" x14ac:dyDescent="0.2">
      <c r="A96" s="107"/>
      <c r="B96" s="896" t="s">
        <v>407</v>
      </c>
      <c r="C96" s="897"/>
      <c r="D96" s="897"/>
      <c r="E96" s="897"/>
      <c r="F96" s="357">
        <v>60</v>
      </c>
      <c r="G96" s="380">
        <f t="shared" si="163"/>
        <v>60</v>
      </c>
      <c r="H96" s="304"/>
      <c r="I96" s="304"/>
      <c r="J96" s="105">
        <f>F96+200</f>
        <v>260</v>
      </c>
      <c r="K96" s="357">
        <f t="shared" si="165"/>
        <v>260</v>
      </c>
      <c r="L96" s="562">
        <f>F96+140</f>
        <v>200</v>
      </c>
      <c r="M96" s="357">
        <f t="shared" si="164"/>
        <v>200</v>
      </c>
      <c r="N96" s="562">
        <f>F96+90</f>
        <v>150</v>
      </c>
      <c r="O96" s="357">
        <f t="shared" si="166"/>
        <v>150</v>
      </c>
      <c r="P96" s="562">
        <f>F96+80</f>
        <v>140</v>
      </c>
      <c r="Q96" s="357">
        <f t="shared" si="167"/>
        <v>140</v>
      </c>
      <c r="R96" s="562">
        <f>F96+70</f>
        <v>130</v>
      </c>
      <c r="S96" s="357">
        <f t="shared" si="168"/>
        <v>130</v>
      </c>
      <c r="T96" s="562">
        <f>F96+65</f>
        <v>125</v>
      </c>
      <c r="U96" s="357">
        <f t="shared" si="169"/>
        <v>125</v>
      </c>
      <c r="V96" s="562">
        <f>F96+60</f>
        <v>120</v>
      </c>
      <c r="W96" s="357">
        <f t="shared" si="170"/>
        <v>120</v>
      </c>
      <c r="X96" s="168"/>
      <c r="Y96" s="139"/>
      <c r="Z96" s="139"/>
      <c r="AA96" s="142"/>
      <c r="AB96" s="448">
        <v>251</v>
      </c>
    </row>
    <row r="97" spans="1:30" ht="12.6" customHeight="1" x14ac:dyDescent="0.2">
      <c r="A97" s="18"/>
      <c r="B97" s="685" t="s">
        <v>375</v>
      </c>
      <c r="C97" s="686"/>
      <c r="D97" s="686"/>
      <c r="E97" s="686"/>
      <c r="F97" s="300">
        <v>690</v>
      </c>
      <c r="G97" s="300">
        <f t="shared" si="163"/>
        <v>690</v>
      </c>
      <c r="H97" s="290"/>
      <c r="I97" s="290"/>
      <c r="J97" s="119">
        <f t="shared" ref="J97:J104" si="171">F97+150</f>
        <v>840</v>
      </c>
      <c r="K97" s="300">
        <f t="shared" ref="K97:K98" si="172">+J97*$X$1</f>
        <v>840</v>
      </c>
      <c r="L97" s="514"/>
      <c r="M97" s="514"/>
      <c r="N97" s="514">
        <f>F97+23</f>
        <v>713</v>
      </c>
      <c r="O97" s="514"/>
      <c r="P97" s="290"/>
      <c r="Q97" s="290"/>
      <c r="R97" s="514">
        <f>F97+15</f>
        <v>705</v>
      </c>
      <c r="S97" s="514"/>
      <c r="T97" s="514">
        <f>F97+12</f>
        <v>702</v>
      </c>
      <c r="U97" s="514"/>
      <c r="V97" s="514">
        <f>F97+10</f>
        <v>700</v>
      </c>
      <c r="W97" s="514"/>
      <c r="X97" s="168"/>
      <c r="Y97" s="139"/>
      <c r="Z97" s="139"/>
      <c r="AA97" s="142"/>
      <c r="AB97" s="448" t="s">
        <v>153</v>
      </c>
    </row>
    <row r="98" spans="1:30" ht="12.6" customHeight="1" x14ac:dyDescent="0.2">
      <c r="A98" s="18"/>
      <c r="B98" s="673" t="s">
        <v>511</v>
      </c>
      <c r="C98" s="674"/>
      <c r="D98" s="674"/>
      <c r="E98" s="675"/>
      <c r="F98" s="407">
        <f>12.097*X2</f>
        <v>12278.455</v>
      </c>
      <c r="G98" s="299">
        <f t="shared" si="163"/>
        <v>12278.455</v>
      </c>
      <c r="H98" s="72">
        <f t="shared" ref="H98:H103" si="173">F98+400</f>
        <v>12678.455</v>
      </c>
      <c r="I98" s="299">
        <f t="shared" ref="I98:I103" si="174">+H98*$X$1</f>
        <v>12678.455</v>
      </c>
      <c r="J98" s="72">
        <f t="shared" si="171"/>
        <v>12428.455</v>
      </c>
      <c r="K98" s="299">
        <f t="shared" si="172"/>
        <v>12428.455</v>
      </c>
      <c r="L98" s="561">
        <f t="shared" ref="L98:L104" si="175">F98+90</f>
        <v>12368.455</v>
      </c>
      <c r="M98" s="299">
        <f t="shared" ref="M98" si="176">+L98*$X$1</f>
        <v>12368.455</v>
      </c>
      <c r="N98" s="561">
        <f t="shared" ref="N98:N104" si="177">F98+55</f>
        <v>12333.455</v>
      </c>
      <c r="O98" s="299">
        <f t="shared" ref="O98" si="178">+N98*$X$1</f>
        <v>12333.455</v>
      </c>
      <c r="P98" s="561">
        <f t="shared" ref="P98:P104" si="179">F98+50</f>
        <v>12328.455</v>
      </c>
      <c r="Q98" s="299">
        <f t="shared" ref="Q98" si="180">+P98*$X$1</f>
        <v>12328.455</v>
      </c>
      <c r="R98" s="561">
        <f t="shared" ref="R98:R104" si="181">F98+42</f>
        <v>12320.455</v>
      </c>
      <c r="S98" s="299">
        <f t="shared" ref="S98" si="182">+R98*$X$1</f>
        <v>12320.455</v>
      </c>
      <c r="T98" s="561">
        <f t="shared" ref="T98:T104" si="183">F98+35</f>
        <v>12313.455</v>
      </c>
      <c r="U98" s="299">
        <f t="shared" ref="U98" si="184">+T98*$X$1</f>
        <v>12313.455</v>
      </c>
      <c r="V98" s="561">
        <f t="shared" ref="V98:V104" si="185">F98+30</f>
        <v>12308.455</v>
      </c>
      <c r="W98" s="299">
        <f t="shared" ref="W98" si="186">+V98*$X$1</f>
        <v>12308.455</v>
      </c>
      <c r="X98" s="169"/>
      <c r="Y98" s="139"/>
      <c r="Z98" s="139"/>
      <c r="AA98" s="142"/>
      <c r="AB98" s="448">
        <v>268</v>
      </c>
    </row>
    <row r="99" spans="1:30" ht="12.6" customHeight="1" x14ac:dyDescent="0.2">
      <c r="A99" s="18"/>
      <c r="B99" s="685" t="s">
        <v>689</v>
      </c>
      <c r="C99" s="686"/>
      <c r="D99" s="686"/>
      <c r="E99" s="686"/>
      <c r="F99" s="408">
        <f>4.502*X2</f>
        <v>4569.53</v>
      </c>
      <c r="G99" s="300">
        <f t="shared" si="163"/>
        <v>4569.53</v>
      </c>
      <c r="H99" s="90">
        <f t="shared" si="173"/>
        <v>4969.53</v>
      </c>
      <c r="I99" s="300">
        <f t="shared" si="174"/>
        <v>4969.53</v>
      </c>
      <c r="J99" s="90">
        <f t="shared" si="171"/>
        <v>4719.53</v>
      </c>
      <c r="K99" s="300">
        <f t="shared" ref="K99:K104" si="187">+J99*$X$1</f>
        <v>4719.53</v>
      </c>
      <c r="L99" s="514">
        <f t="shared" si="175"/>
        <v>4659.53</v>
      </c>
      <c r="M99" s="300">
        <f t="shared" ref="M99:M104" si="188">+L99*$X$1</f>
        <v>4659.53</v>
      </c>
      <c r="N99" s="514">
        <f t="shared" si="177"/>
        <v>4624.53</v>
      </c>
      <c r="O99" s="300">
        <f t="shared" ref="O99:O104" si="189">+N99*$X$1</f>
        <v>4624.53</v>
      </c>
      <c r="P99" s="514">
        <f t="shared" si="179"/>
        <v>4619.53</v>
      </c>
      <c r="Q99" s="300">
        <f t="shared" ref="Q99:Q104" si="190">+P99*$X$1</f>
        <v>4619.53</v>
      </c>
      <c r="R99" s="514">
        <f t="shared" si="181"/>
        <v>4611.53</v>
      </c>
      <c r="S99" s="300">
        <f t="shared" ref="S99:S104" si="191">+R99*$X$1</f>
        <v>4611.53</v>
      </c>
      <c r="T99" s="514">
        <f t="shared" si="183"/>
        <v>4604.53</v>
      </c>
      <c r="U99" s="300">
        <f t="shared" ref="U99:U104" si="192">+T99*$X$1</f>
        <v>4604.53</v>
      </c>
      <c r="V99" s="514">
        <f t="shared" si="185"/>
        <v>4599.53</v>
      </c>
      <c r="W99" s="300">
        <f t="shared" ref="W99:W104" si="193">+V99*$X$1</f>
        <v>4599.53</v>
      </c>
      <c r="X99" s="169"/>
      <c r="Y99" s="143"/>
      <c r="Z99" s="139"/>
      <c r="AA99" s="142"/>
      <c r="AB99" s="448">
        <v>270</v>
      </c>
      <c r="AC99" s="30"/>
    </row>
    <row r="100" spans="1:30" ht="12.6" customHeight="1" x14ac:dyDescent="0.2">
      <c r="A100" s="18"/>
      <c r="B100" s="663" t="s">
        <v>154</v>
      </c>
      <c r="C100" s="693"/>
      <c r="D100" s="693"/>
      <c r="E100" s="693"/>
      <c r="F100" s="407">
        <f>13.2*X2</f>
        <v>13398</v>
      </c>
      <c r="G100" s="299">
        <f t="shared" ref="G100:G102" si="194">+F100*$X$1</f>
        <v>13398</v>
      </c>
      <c r="H100" s="72">
        <f t="shared" si="173"/>
        <v>13798</v>
      </c>
      <c r="I100" s="299">
        <f t="shared" si="174"/>
        <v>13798</v>
      </c>
      <c r="J100" s="72">
        <f t="shared" si="171"/>
        <v>13548</v>
      </c>
      <c r="K100" s="299">
        <f t="shared" si="187"/>
        <v>13548</v>
      </c>
      <c r="L100" s="561">
        <f t="shared" si="175"/>
        <v>13488</v>
      </c>
      <c r="M100" s="299">
        <f t="shared" si="188"/>
        <v>13488</v>
      </c>
      <c r="N100" s="561">
        <f t="shared" si="177"/>
        <v>13453</v>
      </c>
      <c r="O100" s="299">
        <f t="shared" si="189"/>
        <v>13453</v>
      </c>
      <c r="P100" s="561">
        <f t="shared" si="179"/>
        <v>13448</v>
      </c>
      <c r="Q100" s="299">
        <f t="shared" si="190"/>
        <v>13448</v>
      </c>
      <c r="R100" s="561">
        <f t="shared" si="181"/>
        <v>13440</v>
      </c>
      <c r="S100" s="299">
        <f t="shared" si="191"/>
        <v>13440</v>
      </c>
      <c r="T100" s="561">
        <f t="shared" si="183"/>
        <v>13433</v>
      </c>
      <c r="U100" s="299">
        <f t="shared" si="192"/>
        <v>13433</v>
      </c>
      <c r="V100" s="561">
        <f t="shared" si="185"/>
        <v>13428</v>
      </c>
      <c r="W100" s="299">
        <f t="shared" si="193"/>
        <v>13428</v>
      </c>
      <c r="X100" s="168"/>
      <c r="Y100" s="139"/>
      <c r="Z100" s="139"/>
      <c r="AA100" s="142"/>
      <c r="AB100" s="448">
        <v>273</v>
      </c>
      <c r="AC100" s="30"/>
    </row>
    <row r="101" spans="1:30" ht="12.6" customHeight="1" x14ac:dyDescent="0.2">
      <c r="A101" s="18"/>
      <c r="B101" s="685" t="s">
        <v>155</v>
      </c>
      <c r="C101" s="686"/>
      <c r="D101" s="686"/>
      <c r="E101" s="686"/>
      <c r="F101" s="408">
        <f>10*X2</f>
        <v>10150</v>
      </c>
      <c r="G101" s="300">
        <f t="shared" si="194"/>
        <v>10150</v>
      </c>
      <c r="H101" s="90">
        <f t="shared" si="173"/>
        <v>10550</v>
      </c>
      <c r="I101" s="300">
        <f t="shared" si="174"/>
        <v>10550</v>
      </c>
      <c r="J101" s="90">
        <f t="shared" si="171"/>
        <v>10300</v>
      </c>
      <c r="K101" s="300">
        <f t="shared" si="187"/>
        <v>10300</v>
      </c>
      <c r="L101" s="514">
        <f t="shared" si="175"/>
        <v>10240</v>
      </c>
      <c r="M101" s="300">
        <f t="shared" si="188"/>
        <v>10240</v>
      </c>
      <c r="N101" s="514">
        <f t="shared" si="177"/>
        <v>10205</v>
      </c>
      <c r="O101" s="300">
        <f t="shared" si="189"/>
        <v>10205</v>
      </c>
      <c r="P101" s="514">
        <f t="shared" si="179"/>
        <v>10200</v>
      </c>
      <c r="Q101" s="300">
        <f t="shared" si="190"/>
        <v>10200</v>
      </c>
      <c r="R101" s="514">
        <f t="shared" si="181"/>
        <v>10192</v>
      </c>
      <c r="S101" s="300">
        <f t="shared" si="191"/>
        <v>10192</v>
      </c>
      <c r="T101" s="514">
        <f t="shared" si="183"/>
        <v>10185</v>
      </c>
      <c r="U101" s="300">
        <f t="shared" si="192"/>
        <v>10185</v>
      </c>
      <c r="V101" s="514">
        <f t="shared" si="185"/>
        <v>10180</v>
      </c>
      <c r="W101" s="300">
        <f t="shared" si="193"/>
        <v>10180</v>
      </c>
      <c r="X101" s="169"/>
      <c r="Y101" s="143"/>
      <c r="Z101" s="139"/>
      <c r="AA101" s="142"/>
      <c r="AB101" s="448" t="s">
        <v>156</v>
      </c>
      <c r="AC101" s="30"/>
    </row>
    <row r="102" spans="1:30" ht="12.6" customHeight="1" x14ac:dyDescent="0.2">
      <c r="A102" s="18"/>
      <c r="B102" s="663" t="s">
        <v>157</v>
      </c>
      <c r="C102" s="693"/>
      <c r="D102" s="693"/>
      <c r="E102" s="693"/>
      <c r="F102" s="407">
        <f>8.73*X2</f>
        <v>8860.9500000000007</v>
      </c>
      <c r="G102" s="299">
        <f t="shared" si="194"/>
        <v>8860.9500000000007</v>
      </c>
      <c r="H102" s="72">
        <f t="shared" si="173"/>
        <v>9260.9500000000007</v>
      </c>
      <c r="I102" s="299">
        <f t="shared" si="174"/>
        <v>9260.9500000000007</v>
      </c>
      <c r="J102" s="72">
        <f t="shared" si="171"/>
        <v>9010.9500000000007</v>
      </c>
      <c r="K102" s="299">
        <f t="shared" si="187"/>
        <v>9010.9500000000007</v>
      </c>
      <c r="L102" s="561">
        <f t="shared" si="175"/>
        <v>8950.9500000000007</v>
      </c>
      <c r="M102" s="299">
        <f t="shared" si="188"/>
        <v>8950.9500000000007</v>
      </c>
      <c r="N102" s="561">
        <f t="shared" si="177"/>
        <v>8915.9500000000007</v>
      </c>
      <c r="O102" s="299">
        <f t="shared" si="189"/>
        <v>8915.9500000000007</v>
      </c>
      <c r="P102" s="561">
        <f t="shared" si="179"/>
        <v>8910.9500000000007</v>
      </c>
      <c r="Q102" s="299">
        <f t="shared" si="190"/>
        <v>8910.9500000000007</v>
      </c>
      <c r="R102" s="561">
        <f t="shared" si="181"/>
        <v>8902.9500000000007</v>
      </c>
      <c r="S102" s="299">
        <f t="shared" si="191"/>
        <v>8902.9500000000007</v>
      </c>
      <c r="T102" s="561">
        <f t="shared" si="183"/>
        <v>8895.9500000000007</v>
      </c>
      <c r="U102" s="299">
        <f t="shared" si="192"/>
        <v>8895.9500000000007</v>
      </c>
      <c r="V102" s="561">
        <f t="shared" si="185"/>
        <v>8890.9500000000007</v>
      </c>
      <c r="W102" s="299">
        <f t="shared" si="193"/>
        <v>8890.9500000000007</v>
      </c>
      <c r="X102" s="169"/>
      <c r="Y102" s="143"/>
      <c r="Z102" s="139"/>
      <c r="AA102" s="142"/>
      <c r="AB102" s="448">
        <v>278</v>
      </c>
      <c r="AC102" s="30"/>
    </row>
    <row r="103" spans="1:30" ht="12.6" customHeight="1" x14ac:dyDescent="0.2">
      <c r="A103" s="18"/>
      <c r="B103" s="752" t="s">
        <v>158</v>
      </c>
      <c r="C103" s="753"/>
      <c r="D103" s="753"/>
      <c r="E103" s="753"/>
      <c r="F103" s="408">
        <f>2.02*X2</f>
        <v>2050.3000000000002</v>
      </c>
      <c r="G103" s="300">
        <f>+F103*$X$1</f>
        <v>2050.3000000000002</v>
      </c>
      <c r="H103" s="90">
        <f t="shared" si="173"/>
        <v>2450.3000000000002</v>
      </c>
      <c r="I103" s="300">
        <f t="shared" si="174"/>
        <v>2450.3000000000002</v>
      </c>
      <c r="J103" s="90">
        <f t="shared" si="171"/>
        <v>2200.3000000000002</v>
      </c>
      <c r="K103" s="300">
        <f t="shared" si="187"/>
        <v>2200.3000000000002</v>
      </c>
      <c r="L103" s="514">
        <f t="shared" si="175"/>
        <v>2140.3000000000002</v>
      </c>
      <c r="M103" s="300">
        <f t="shared" si="188"/>
        <v>2140.3000000000002</v>
      </c>
      <c r="N103" s="514">
        <f t="shared" si="177"/>
        <v>2105.3000000000002</v>
      </c>
      <c r="O103" s="300">
        <f t="shared" si="189"/>
        <v>2105.3000000000002</v>
      </c>
      <c r="P103" s="514">
        <f t="shared" si="179"/>
        <v>2100.3000000000002</v>
      </c>
      <c r="Q103" s="300">
        <f t="shared" si="190"/>
        <v>2100.3000000000002</v>
      </c>
      <c r="R103" s="514">
        <f t="shared" si="181"/>
        <v>2092.3000000000002</v>
      </c>
      <c r="S103" s="300">
        <f t="shared" si="191"/>
        <v>2092.3000000000002</v>
      </c>
      <c r="T103" s="514">
        <f t="shared" si="183"/>
        <v>2085.3000000000002</v>
      </c>
      <c r="U103" s="300">
        <f t="shared" si="192"/>
        <v>2085.3000000000002</v>
      </c>
      <c r="V103" s="514">
        <f t="shared" si="185"/>
        <v>2080.3000000000002</v>
      </c>
      <c r="W103" s="300">
        <f t="shared" si="193"/>
        <v>2080.3000000000002</v>
      </c>
      <c r="X103" s="166"/>
      <c r="Y103" s="143"/>
      <c r="Z103" s="139"/>
      <c r="AA103" s="142"/>
      <c r="AB103" s="448">
        <v>288</v>
      </c>
      <c r="AC103" s="30"/>
    </row>
    <row r="104" spans="1:30" ht="12.6" customHeight="1" x14ac:dyDescent="0.2">
      <c r="A104" s="18"/>
      <c r="B104" s="663" t="s">
        <v>159</v>
      </c>
      <c r="C104" s="693"/>
      <c r="D104" s="693"/>
      <c r="E104" s="693"/>
      <c r="F104" s="299">
        <v>398</v>
      </c>
      <c r="G104" s="299">
        <f>+F104*$X$1</f>
        <v>398</v>
      </c>
      <c r="H104" s="72"/>
      <c r="I104" s="299"/>
      <c r="J104" s="72">
        <f t="shared" si="171"/>
        <v>548</v>
      </c>
      <c r="K104" s="299">
        <f t="shared" si="187"/>
        <v>548</v>
      </c>
      <c r="L104" s="561">
        <f t="shared" si="175"/>
        <v>488</v>
      </c>
      <c r="M104" s="299">
        <f t="shared" si="188"/>
        <v>488</v>
      </c>
      <c r="N104" s="561">
        <f t="shared" si="177"/>
        <v>453</v>
      </c>
      <c r="O104" s="299">
        <f t="shared" si="189"/>
        <v>453</v>
      </c>
      <c r="P104" s="561">
        <f t="shared" si="179"/>
        <v>448</v>
      </c>
      <c r="Q104" s="299">
        <f t="shared" si="190"/>
        <v>448</v>
      </c>
      <c r="R104" s="561">
        <f t="shared" si="181"/>
        <v>440</v>
      </c>
      <c r="S104" s="299">
        <f t="shared" si="191"/>
        <v>440</v>
      </c>
      <c r="T104" s="561">
        <f t="shared" si="183"/>
        <v>433</v>
      </c>
      <c r="U104" s="299">
        <f t="shared" si="192"/>
        <v>433</v>
      </c>
      <c r="V104" s="561">
        <f t="shared" si="185"/>
        <v>428</v>
      </c>
      <c r="W104" s="299">
        <f t="shared" si="193"/>
        <v>428</v>
      </c>
      <c r="X104" s="166"/>
      <c r="Y104" s="143"/>
      <c r="Z104" s="139"/>
      <c r="AA104" s="142"/>
      <c r="AB104" s="448">
        <v>289</v>
      </c>
      <c r="AC104" s="30"/>
    </row>
    <row r="105" spans="1:30" ht="12.6" customHeight="1" x14ac:dyDescent="0.2">
      <c r="A105" s="18"/>
      <c r="B105" s="685" t="s">
        <v>160</v>
      </c>
      <c r="C105" s="686"/>
      <c r="D105" s="686"/>
      <c r="E105" s="686"/>
      <c r="F105" s="300"/>
      <c r="G105" s="871" t="s">
        <v>608</v>
      </c>
      <c r="H105" s="872"/>
      <c r="I105" s="872"/>
      <c r="J105" s="872"/>
      <c r="K105" s="872"/>
      <c r="L105" s="872"/>
      <c r="M105" s="872"/>
      <c r="N105" s="872"/>
      <c r="O105" s="873"/>
      <c r="P105" s="292">
        <v>383</v>
      </c>
      <c r="Q105" s="300">
        <f t="shared" ref="Q105:Q109" si="195">+P105*$X$1</f>
        <v>383</v>
      </c>
      <c r="R105" s="117">
        <v>380</v>
      </c>
      <c r="S105" s="321">
        <f t="shared" ref="S105:S108" si="196">+R105*$X$1</f>
        <v>380</v>
      </c>
      <c r="T105" s="103">
        <v>370</v>
      </c>
      <c r="U105" s="321">
        <f t="shared" ref="U105:U108" si="197">+T105*$X$1</f>
        <v>370</v>
      </c>
      <c r="V105" s="103">
        <v>361</v>
      </c>
      <c r="W105" s="321">
        <f t="shared" ref="W105:W108" si="198">+V105*$X$1</f>
        <v>361</v>
      </c>
      <c r="X105" s="747"/>
      <c r="Y105" s="748"/>
      <c r="Z105" s="748"/>
      <c r="AA105" s="749"/>
      <c r="AB105" s="448">
        <v>290</v>
      </c>
    </row>
    <row r="106" spans="1:30" ht="12.6" customHeight="1" x14ac:dyDescent="0.2">
      <c r="A106" s="18"/>
      <c r="B106" s="663" t="s">
        <v>423</v>
      </c>
      <c r="C106" s="693"/>
      <c r="D106" s="693"/>
      <c r="E106" s="693"/>
      <c r="F106" s="299"/>
      <c r="G106" s="871" t="s">
        <v>609</v>
      </c>
      <c r="H106" s="872"/>
      <c r="I106" s="872"/>
      <c r="J106" s="872"/>
      <c r="K106" s="872"/>
      <c r="L106" s="872"/>
      <c r="M106" s="872"/>
      <c r="N106" s="872"/>
      <c r="O106" s="873"/>
      <c r="P106" s="293">
        <v>504</v>
      </c>
      <c r="Q106" s="299">
        <f t="shared" si="195"/>
        <v>504</v>
      </c>
      <c r="R106" s="433">
        <v>501</v>
      </c>
      <c r="S106" s="264">
        <f t="shared" si="196"/>
        <v>501</v>
      </c>
      <c r="T106" s="523">
        <v>488</v>
      </c>
      <c r="U106" s="264">
        <f t="shared" si="197"/>
        <v>488</v>
      </c>
      <c r="V106" s="523">
        <v>479</v>
      </c>
      <c r="W106" s="264">
        <f t="shared" si="198"/>
        <v>479</v>
      </c>
      <c r="X106" s="747"/>
      <c r="Y106" s="748"/>
      <c r="Z106" s="748"/>
      <c r="AA106" s="749"/>
      <c r="AB106" s="448" t="s">
        <v>161</v>
      </c>
    </row>
    <row r="107" spans="1:30" ht="12.6" customHeight="1" x14ac:dyDescent="0.2">
      <c r="A107" s="18"/>
      <c r="B107" s="685" t="s">
        <v>424</v>
      </c>
      <c r="C107" s="686"/>
      <c r="D107" s="686"/>
      <c r="E107" s="686"/>
      <c r="F107" s="300"/>
      <c r="G107" s="871" t="s">
        <v>610</v>
      </c>
      <c r="H107" s="872"/>
      <c r="I107" s="872"/>
      <c r="J107" s="872"/>
      <c r="K107" s="872"/>
      <c r="L107" s="872"/>
      <c r="M107" s="873"/>
      <c r="N107" s="292">
        <v>565</v>
      </c>
      <c r="O107" s="300">
        <f t="shared" ref="O107:O108" si="199">+N107*$X$1</f>
        <v>565</v>
      </c>
      <c r="P107" s="292">
        <v>474</v>
      </c>
      <c r="Q107" s="300">
        <f t="shared" si="195"/>
        <v>474</v>
      </c>
      <c r="R107" s="520">
        <v>471</v>
      </c>
      <c r="S107" s="321">
        <f t="shared" si="196"/>
        <v>471</v>
      </c>
      <c r="T107" s="514">
        <v>462</v>
      </c>
      <c r="U107" s="321">
        <f t="shared" si="197"/>
        <v>462</v>
      </c>
      <c r="V107" s="514">
        <v>453</v>
      </c>
      <c r="W107" s="321">
        <f t="shared" si="198"/>
        <v>453</v>
      </c>
      <c r="X107" s="747"/>
      <c r="Y107" s="748"/>
      <c r="Z107" s="748"/>
      <c r="AA107" s="749"/>
      <c r="AB107" s="448">
        <v>291</v>
      </c>
    </row>
    <row r="108" spans="1:30" ht="12.6" customHeight="1" x14ac:dyDescent="0.2">
      <c r="A108" s="18"/>
      <c r="B108" s="663" t="s">
        <v>425</v>
      </c>
      <c r="C108" s="693"/>
      <c r="D108" s="693"/>
      <c r="E108" s="693"/>
      <c r="F108" s="299"/>
      <c r="G108" s="871" t="s">
        <v>611</v>
      </c>
      <c r="H108" s="872"/>
      <c r="I108" s="872"/>
      <c r="J108" s="872"/>
      <c r="K108" s="872"/>
      <c r="L108" s="872"/>
      <c r="M108" s="873"/>
      <c r="N108" s="293">
        <v>781</v>
      </c>
      <c r="O108" s="299">
        <f t="shared" si="199"/>
        <v>781</v>
      </c>
      <c r="P108" s="293">
        <v>654</v>
      </c>
      <c r="Q108" s="299">
        <f t="shared" si="195"/>
        <v>654</v>
      </c>
      <c r="R108" s="433">
        <v>651</v>
      </c>
      <c r="S108" s="264">
        <f t="shared" si="196"/>
        <v>651</v>
      </c>
      <c r="T108" s="523">
        <v>641</v>
      </c>
      <c r="U108" s="264">
        <f t="shared" si="197"/>
        <v>641</v>
      </c>
      <c r="V108" s="523">
        <v>631</v>
      </c>
      <c r="W108" s="264">
        <f t="shared" si="198"/>
        <v>631</v>
      </c>
      <c r="X108" s="747"/>
      <c r="Y108" s="748"/>
      <c r="Z108" s="748"/>
      <c r="AA108" s="749"/>
      <c r="AB108" s="448" t="s">
        <v>162</v>
      </c>
    </row>
    <row r="109" spans="1:30" ht="12.6" customHeight="1" x14ac:dyDescent="0.2">
      <c r="A109" s="18"/>
      <c r="B109" s="685" t="s">
        <v>163</v>
      </c>
      <c r="C109" s="685"/>
      <c r="D109" s="685"/>
      <c r="E109" s="685"/>
      <c r="F109" s="360">
        <v>253</v>
      </c>
      <c r="G109" s="300">
        <f t="shared" ref="G109:G110" si="200">+F109*$X$1</f>
        <v>253</v>
      </c>
      <c r="H109" s="902" t="s">
        <v>422</v>
      </c>
      <c r="I109" s="903"/>
      <c r="J109" s="903"/>
      <c r="K109" s="903"/>
      <c r="L109" s="735"/>
      <c r="M109" s="736"/>
      <c r="N109" s="117">
        <f>F109+55</f>
        <v>308</v>
      </c>
      <c r="O109" s="336">
        <f>+N109*$X$1</f>
        <v>308</v>
      </c>
      <c r="P109" s="117">
        <f>F109+50</f>
        <v>303</v>
      </c>
      <c r="Q109" s="300">
        <f t="shared" si="195"/>
        <v>303</v>
      </c>
      <c r="R109" s="566"/>
      <c r="S109" s="321"/>
      <c r="T109" s="514"/>
      <c r="U109" s="321"/>
      <c r="V109" s="514"/>
      <c r="W109" s="321"/>
      <c r="X109" s="747"/>
      <c r="Y109" s="748"/>
      <c r="Z109" s="748"/>
      <c r="AA109" s="749"/>
      <c r="AB109" s="200">
        <v>296</v>
      </c>
      <c r="AD109" s="65"/>
    </row>
    <row r="110" spans="1:30" ht="12.6" customHeight="1" x14ac:dyDescent="0.2">
      <c r="A110" s="18"/>
      <c r="B110" s="663" t="s">
        <v>164</v>
      </c>
      <c r="C110" s="663"/>
      <c r="D110" s="663"/>
      <c r="E110" s="663"/>
      <c r="F110" s="323">
        <v>341</v>
      </c>
      <c r="G110" s="299">
        <f t="shared" si="200"/>
        <v>341</v>
      </c>
      <c r="H110" s="904"/>
      <c r="I110" s="905"/>
      <c r="J110" s="905"/>
      <c r="K110" s="905"/>
      <c r="L110" s="739"/>
      <c r="M110" s="740"/>
      <c r="N110" s="303">
        <f>F110+55</f>
        <v>396</v>
      </c>
      <c r="O110" s="322">
        <f>+N110*$X$1</f>
        <v>396</v>
      </c>
      <c r="P110" s="303">
        <f>F110+50</f>
        <v>391</v>
      </c>
      <c r="Q110" s="299">
        <f t="shared" ref="Q110" si="201">+P110*$X$1</f>
        <v>391</v>
      </c>
      <c r="R110" s="219"/>
      <c r="S110" s="264"/>
      <c r="T110" s="561"/>
      <c r="U110" s="264"/>
      <c r="V110" s="561"/>
      <c r="W110" s="264"/>
      <c r="X110" s="747"/>
      <c r="Y110" s="748"/>
      <c r="Z110" s="748"/>
      <c r="AA110" s="749"/>
      <c r="AB110" s="200">
        <v>297</v>
      </c>
    </row>
    <row r="111" spans="1:30" ht="12.6" customHeight="1" x14ac:dyDescent="0.2">
      <c r="A111" s="18"/>
      <c r="B111" s="687" t="s">
        <v>366</v>
      </c>
      <c r="C111" s="694"/>
      <c r="D111" s="694"/>
      <c r="E111" s="694"/>
      <c r="F111" s="336"/>
      <c r="G111" s="336"/>
      <c r="H111" s="94"/>
      <c r="I111" s="907" t="s">
        <v>367</v>
      </c>
      <c r="J111" s="908"/>
      <c r="K111" s="908"/>
      <c r="L111" s="908"/>
      <c r="M111" s="908"/>
      <c r="N111" s="908"/>
      <c r="O111" s="908"/>
      <c r="P111" s="908"/>
      <c r="Q111" s="908"/>
      <c r="R111" s="908"/>
      <c r="S111" s="908"/>
      <c r="T111" s="908"/>
      <c r="U111" s="908"/>
      <c r="V111" s="908"/>
      <c r="W111" s="909"/>
      <c r="X111" s="711"/>
      <c r="Y111" s="697"/>
      <c r="Z111" s="697"/>
      <c r="AA111" s="698"/>
      <c r="AB111" s="448"/>
    </row>
    <row r="112" spans="1:30" ht="12.6" customHeight="1" x14ac:dyDescent="0.2">
      <c r="A112" s="18"/>
      <c r="B112" s="914" t="s">
        <v>368</v>
      </c>
      <c r="C112" s="891"/>
      <c r="D112" s="891"/>
      <c r="E112" s="891"/>
      <c r="F112" s="322"/>
      <c r="G112" s="373"/>
      <c r="H112" s="122"/>
      <c r="I112" s="910"/>
      <c r="J112" s="911"/>
      <c r="K112" s="911"/>
      <c r="L112" s="912"/>
      <c r="M112" s="912"/>
      <c r="N112" s="912"/>
      <c r="O112" s="911"/>
      <c r="P112" s="911"/>
      <c r="Q112" s="911"/>
      <c r="R112" s="911"/>
      <c r="S112" s="911"/>
      <c r="T112" s="912"/>
      <c r="U112" s="912"/>
      <c r="V112" s="912"/>
      <c r="W112" s="913"/>
      <c r="X112" s="711"/>
      <c r="Y112" s="697"/>
      <c r="Z112" s="697"/>
      <c r="AA112" s="698"/>
      <c r="AB112" s="448"/>
    </row>
    <row r="113" spans="1:28" ht="12.6" customHeight="1" x14ac:dyDescent="0.2">
      <c r="A113" s="18"/>
      <c r="B113" s="685" t="s">
        <v>806</v>
      </c>
      <c r="C113" s="686"/>
      <c r="D113" s="686"/>
      <c r="E113" s="686"/>
      <c r="F113" s="377"/>
      <c r="G113" s="871" t="s">
        <v>421</v>
      </c>
      <c r="H113" s="872"/>
      <c r="I113" s="872"/>
      <c r="J113" s="872"/>
      <c r="K113" s="873"/>
      <c r="L113" s="522">
        <v>1565</v>
      </c>
      <c r="M113" s="300">
        <f t="shared" ref="M113:O126" si="202">+L113*$X$1</f>
        <v>1565</v>
      </c>
      <c r="N113" s="128">
        <v>1333</v>
      </c>
      <c r="O113" s="300">
        <f t="shared" si="202"/>
        <v>1333</v>
      </c>
      <c r="P113" s="421">
        <v>1110</v>
      </c>
      <c r="Q113" s="300">
        <f t="shared" ref="Q113:Q125" si="203">+P113*$X$1</f>
        <v>1110</v>
      </c>
      <c r="R113" s="514">
        <v>1105</v>
      </c>
      <c r="S113" s="300">
        <f t="shared" ref="S113:S126" si="204">+R113*$X$1</f>
        <v>1105</v>
      </c>
      <c r="T113" s="514">
        <v>1093</v>
      </c>
      <c r="U113" s="336">
        <f t="shared" ref="U113:U124" si="205">+T113*$X$1</f>
        <v>1093</v>
      </c>
      <c r="V113" s="514">
        <v>827</v>
      </c>
      <c r="W113" s="336">
        <f t="shared" ref="W113:W124" si="206">+V113*$X$1</f>
        <v>827</v>
      </c>
      <c r="X113" s="747"/>
      <c r="Y113" s="748"/>
      <c r="Z113" s="748"/>
      <c r="AA113" s="749"/>
      <c r="AB113" s="448">
        <v>301</v>
      </c>
    </row>
    <row r="114" spans="1:28" ht="12.6" customHeight="1" x14ac:dyDescent="0.2">
      <c r="A114" s="18"/>
      <c r="B114" s="663" t="s">
        <v>807</v>
      </c>
      <c r="C114" s="693"/>
      <c r="D114" s="693"/>
      <c r="E114" s="693"/>
      <c r="F114" s="378"/>
      <c r="G114" s="871" t="s">
        <v>421</v>
      </c>
      <c r="H114" s="872"/>
      <c r="I114" s="872"/>
      <c r="J114" s="872"/>
      <c r="K114" s="873"/>
      <c r="L114" s="319">
        <v>1722</v>
      </c>
      <c r="M114" s="526">
        <f t="shared" si="202"/>
        <v>1722</v>
      </c>
      <c r="N114" s="433">
        <v>1468</v>
      </c>
      <c r="O114" s="526">
        <f t="shared" si="202"/>
        <v>1468</v>
      </c>
      <c r="P114" s="320">
        <v>1221</v>
      </c>
      <c r="Q114" s="299">
        <f t="shared" si="203"/>
        <v>1221</v>
      </c>
      <c r="R114" s="122">
        <v>1217</v>
      </c>
      <c r="S114" s="526">
        <f t="shared" si="204"/>
        <v>1217</v>
      </c>
      <c r="T114" s="523">
        <v>1205</v>
      </c>
      <c r="U114" s="322">
        <f t="shared" si="205"/>
        <v>1205</v>
      </c>
      <c r="V114" s="523">
        <v>949</v>
      </c>
      <c r="W114" s="322">
        <f t="shared" si="206"/>
        <v>949</v>
      </c>
      <c r="X114" s="747"/>
      <c r="Y114" s="748"/>
      <c r="Z114" s="748"/>
      <c r="AA114" s="749"/>
      <c r="AB114" s="448" t="s">
        <v>165</v>
      </c>
    </row>
    <row r="115" spans="1:28" ht="12.6" customHeight="1" x14ac:dyDescent="0.2">
      <c r="A115" s="18"/>
      <c r="B115" s="685" t="s">
        <v>808</v>
      </c>
      <c r="C115" s="686"/>
      <c r="D115" s="686"/>
      <c r="E115" s="686"/>
      <c r="F115" s="377"/>
      <c r="G115" s="871" t="s">
        <v>421</v>
      </c>
      <c r="H115" s="872"/>
      <c r="I115" s="872"/>
      <c r="J115" s="872"/>
      <c r="K115" s="873"/>
      <c r="L115" s="522">
        <v>4142</v>
      </c>
      <c r="M115" s="300">
        <f t="shared" ref="M115" si="207">+L115*$X$1</f>
        <v>4142</v>
      </c>
      <c r="N115" s="128">
        <v>3532</v>
      </c>
      <c r="O115" s="300">
        <f t="shared" ref="O115" si="208">+N115*$X$1</f>
        <v>3532</v>
      </c>
      <c r="P115" s="421">
        <v>3227</v>
      </c>
      <c r="Q115" s="300">
        <f t="shared" ref="Q115" si="209">+P115*$X$1</f>
        <v>3227</v>
      </c>
      <c r="R115" s="514">
        <v>3221</v>
      </c>
      <c r="S115" s="300">
        <f t="shared" ref="S115" si="210">+R115*$X$1</f>
        <v>3221</v>
      </c>
      <c r="T115" s="514">
        <v>3197</v>
      </c>
      <c r="U115" s="336">
        <f t="shared" ref="U115" si="211">+T115*$X$1</f>
        <v>3197</v>
      </c>
      <c r="V115" s="514">
        <v>2811</v>
      </c>
      <c r="W115" s="336">
        <f t="shared" ref="W115" si="212">+V115*$X$1</f>
        <v>2811</v>
      </c>
      <c r="X115" s="747"/>
      <c r="Y115" s="748"/>
      <c r="Z115" s="748"/>
      <c r="AA115" s="749"/>
      <c r="AB115" s="448" t="s">
        <v>166</v>
      </c>
    </row>
    <row r="116" spans="1:28" ht="12.6" customHeight="1" x14ac:dyDescent="0.2">
      <c r="A116" s="18"/>
      <c r="B116" s="663" t="s">
        <v>832</v>
      </c>
      <c r="C116" s="712"/>
      <c r="D116" s="712"/>
      <c r="E116" s="712"/>
      <c r="F116" s="378"/>
      <c r="G116" s="871" t="s">
        <v>421</v>
      </c>
      <c r="H116" s="872"/>
      <c r="I116" s="872"/>
      <c r="J116" s="872"/>
      <c r="K116" s="873"/>
      <c r="L116" s="522">
        <v>2895</v>
      </c>
      <c r="M116" s="299">
        <f t="shared" ref="M116" si="213">+L116*$X$1</f>
        <v>2895</v>
      </c>
      <c r="N116" s="72">
        <v>2467</v>
      </c>
      <c r="O116" s="299">
        <f t="shared" ref="O116" si="214">+N116*$X$1</f>
        <v>2467</v>
      </c>
      <c r="P116" s="338">
        <v>2270</v>
      </c>
      <c r="Q116" s="299">
        <f t="shared" ref="Q116" si="215">+P116*$X$1</f>
        <v>2270</v>
      </c>
      <c r="R116" s="523">
        <v>2250</v>
      </c>
      <c r="S116" s="299">
        <f t="shared" ref="S116" si="216">+R116*$X$1</f>
        <v>2250</v>
      </c>
      <c r="T116" s="523">
        <v>2232</v>
      </c>
      <c r="U116" s="299">
        <f t="shared" ref="U116" si="217">+T116*$X$1</f>
        <v>2232</v>
      </c>
      <c r="V116" s="523">
        <v>1851</v>
      </c>
      <c r="W116" s="299">
        <f t="shared" ref="W116" si="218">+V116*$X$1</f>
        <v>1851</v>
      </c>
      <c r="X116" s="747"/>
      <c r="Y116" s="748"/>
      <c r="Z116" s="748"/>
      <c r="AA116" s="749"/>
      <c r="AB116" s="448" t="s">
        <v>835</v>
      </c>
    </row>
    <row r="117" spans="1:28" ht="12.6" customHeight="1" x14ac:dyDescent="0.2">
      <c r="A117" s="18"/>
      <c r="B117" s="689" t="s">
        <v>834</v>
      </c>
      <c r="C117" s="898"/>
      <c r="D117" s="898"/>
      <c r="E117" s="898"/>
      <c r="F117" s="377"/>
      <c r="G117" s="871" t="s">
        <v>421</v>
      </c>
      <c r="H117" s="872"/>
      <c r="I117" s="872"/>
      <c r="J117" s="872"/>
      <c r="K117" s="873"/>
      <c r="L117" s="522">
        <v>2258</v>
      </c>
      <c r="M117" s="300">
        <f t="shared" ref="M117" si="219">+L117*$X$1</f>
        <v>2258</v>
      </c>
      <c r="N117" s="90">
        <v>1922</v>
      </c>
      <c r="O117" s="300">
        <f t="shared" ref="O117" si="220">+N117*$X$1</f>
        <v>1922</v>
      </c>
      <c r="P117" s="292">
        <v>1614</v>
      </c>
      <c r="Q117" s="300">
        <f t="shared" ref="Q117" si="221">+P117*$X$1</f>
        <v>1614</v>
      </c>
      <c r="R117" s="514">
        <v>1594</v>
      </c>
      <c r="S117" s="300">
        <f t="shared" ref="S117" si="222">+R117*$X$1</f>
        <v>1594</v>
      </c>
      <c r="T117" s="514">
        <v>1579</v>
      </c>
      <c r="U117" s="300">
        <f t="shared" ref="U117" si="223">+T117*$X$1</f>
        <v>1579</v>
      </c>
      <c r="V117" s="514">
        <v>1201</v>
      </c>
      <c r="W117" s="300">
        <f t="shared" ref="W117" si="224">+V117*$X$1</f>
        <v>1201</v>
      </c>
      <c r="X117" s="747"/>
      <c r="Y117" s="748"/>
      <c r="Z117" s="748"/>
      <c r="AA117" s="749"/>
      <c r="AB117" s="448" t="s">
        <v>838</v>
      </c>
    </row>
    <row r="118" spans="1:28" ht="12.6" customHeight="1" x14ac:dyDescent="0.2">
      <c r="A118" s="18"/>
      <c r="B118" s="663" t="s">
        <v>426</v>
      </c>
      <c r="C118" s="693"/>
      <c r="D118" s="693"/>
      <c r="E118" s="693"/>
      <c r="F118" s="367"/>
      <c r="G118" s="871" t="s">
        <v>420</v>
      </c>
      <c r="H118" s="872"/>
      <c r="I118" s="872"/>
      <c r="J118" s="872"/>
      <c r="K118" s="873"/>
      <c r="L118" s="524">
        <v>1060</v>
      </c>
      <c r="M118" s="299">
        <f t="shared" si="202"/>
        <v>1060</v>
      </c>
      <c r="N118" s="72">
        <v>901</v>
      </c>
      <c r="O118" s="299">
        <f t="shared" si="202"/>
        <v>901</v>
      </c>
      <c r="P118" s="338">
        <v>751</v>
      </c>
      <c r="Q118" s="299">
        <f t="shared" si="203"/>
        <v>751</v>
      </c>
      <c r="R118" s="523">
        <v>747</v>
      </c>
      <c r="S118" s="299">
        <f t="shared" si="204"/>
        <v>747</v>
      </c>
      <c r="T118" s="523">
        <v>737</v>
      </c>
      <c r="U118" s="299">
        <f t="shared" si="205"/>
        <v>737</v>
      </c>
      <c r="V118" s="523">
        <v>621</v>
      </c>
      <c r="W118" s="299">
        <f t="shared" si="206"/>
        <v>621</v>
      </c>
      <c r="X118" s="747"/>
      <c r="Y118" s="748"/>
      <c r="Z118" s="748"/>
      <c r="AA118" s="749"/>
      <c r="AB118" s="448">
        <v>302</v>
      </c>
    </row>
    <row r="119" spans="1:28" ht="12.6" customHeight="1" x14ac:dyDescent="0.2">
      <c r="A119" s="18"/>
      <c r="B119" s="685" t="s">
        <v>427</v>
      </c>
      <c r="C119" s="686"/>
      <c r="D119" s="686"/>
      <c r="E119" s="686"/>
      <c r="F119" s="300"/>
      <c r="G119" s="871" t="s">
        <v>420</v>
      </c>
      <c r="H119" s="872"/>
      <c r="I119" s="872"/>
      <c r="J119" s="872"/>
      <c r="K119" s="873"/>
      <c r="L119" s="522">
        <v>1215</v>
      </c>
      <c r="M119" s="300">
        <f t="shared" si="202"/>
        <v>1215</v>
      </c>
      <c r="N119" s="90">
        <v>1036</v>
      </c>
      <c r="O119" s="300">
        <f t="shared" si="202"/>
        <v>1036</v>
      </c>
      <c r="P119" s="292">
        <v>863</v>
      </c>
      <c r="Q119" s="300">
        <f t="shared" si="203"/>
        <v>863</v>
      </c>
      <c r="R119" s="514">
        <v>859</v>
      </c>
      <c r="S119" s="300">
        <f t="shared" si="204"/>
        <v>859</v>
      </c>
      <c r="T119" s="514">
        <v>848</v>
      </c>
      <c r="U119" s="300">
        <f t="shared" si="205"/>
        <v>848</v>
      </c>
      <c r="V119" s="514">
        <v>744</v>
      </c>
      <c r="W119" s="300">
        <f t="shared" si="206"/>
        <v>744</v>
      </c>
      <c r="X119" s="747"/>
      <c r="Y119" s="748"/>
      <c r="Z119" s="748"/>
      <c r="AA119" s="749"/>
      <c r="AB119" s="448" t="s">
        <v>167</v>
      </c>
    </row>
    <row r="120" spans="1:28" ht="12.6" customHeight="1" x14ac:dyDescent="0.2">
      <c r="A120" s="18"/>
      <c r="B120" s="663" t="s">
        <v>390</v>
      </c>
      <c r="C120" s="693"/>
      <c r="D120" s="693"/>
      <c r="E120" s="693"/>
      <c r="F120" s="367"/>
      <c r="G120" s="871" t="s">
        <v>420</v>
      </c>
      <c r="H120" s="872"/>
      <c r="I120" s="872"/>
      <c r="J120" s="872"/>
      <c r="K120" s="873"/>
      <c r="L120" s="524">
        <v>3635</v>
      </c>
      <c r="M120" s="299">
        <f t="shared" ref="M120" si="225">+L120*$X$1</f>
        <v>3635</v>
      </c>
      <c r="N120" s="72">
        <v>3100</v>
      </c>
      <c r="O120" s="299">
        <f t="shared" ref="O120" si="226">+N120*$X$1</f>
        <v>3100</v>
      </c>
      <c r="P120" s="338">
        <v>2833</v>
      </c>
      <c r="Q120" s="299">
        <f t="shared" ref="Q120" si="227">+P120*$X$1</f>
        <v>2833</v>
      </c>
      <c r="R120" s="523">
        <v>2827</v>
      </c>
      <c r="S120" s="299">
        <f t="shared" ref="S120" si="228">+R120*$X$1</f>
        <v>2827</v>
      </c>
      <c r="T120" s="523">
        <v>2806</v>
      </c>
      <c r="U120" s="299">
        <f t="shared" ref="U120" si="229">+T120*$X$1</f>
        <v>2806</v>
      </c>
      <c r="V120" s="523">
        <v>2606</v>
      </c>
      <c r="W120" s="299">
        <f t="shared" ref="W120" si="230">+V120*$X$1</f>
        <v>2606</v>
      </c>
      <c r="X120" s="747"/>
      <c r="Y120" s="748"/>
      <c r="Z120" s="748"/>
      <c r="AA120" s="749"/>
      <c r="AB120" s="448" t="s">
        <v>168</v>
      </c>
    </row>
    <row r="121" spans="1:28" ht="12.6" customHeight="1" x14ac:dyDescent="0.2">
      <c r="A121" s="18"/>
      <c r="B121" s="685" t="s">
        <v>833</v>
      </c>
      <c r="C121" s="870"/>
      <c r="D121" s="870"/>
      <c r="E121" s="870"/>
      <c r="F121" s="366"/>
      <c r="G121" s="871" t="s">
        <v>420</v>
      </c>
      <c r="H121" s="872"/>
      <c r="I121" s="872"/>
      <c r="J121" s="872"/>
      <c r="K121" s="873"/>
      <c r="L121" s="522">
        <v>2390</v>
      </c>
      <c r="M121" s="300">
        <f t="shared" ref="M121" si="231">+L121*$X$1</f>
        <v>2390</v>
      </c>
      <c r="N121" s="90">
        <v>2035</v>
      </c>
      <c r="O121" s="300">
        <f t="shared" ref="O121" si="232">+N121*$X$1</f>
        <v>2035</v>
      </c>
      <c r="P121" s="292">
        <v>1875</v>
      </c>
      <c r="Q121" s="300">
        <f t="shared" ref="Q121" si="233">+P121*$X$1</f>
        <v>1875</v>
      </c>
      <c r="R121" s="514">
        <v>1855</v>
      </c>
      <c r="S121" s="300">
        <f t="shared" ref="S121" si="234">+R121*$X$1</f>
        <v>1855</v>
      </c>
      <c r="T121" s="514">
        <v>1840</v>
      </c>
      <c r="U121" s="300">
        <f t="shared" ref="U121" si="235">+T121*$X$1</f>
        <v>1840</v>
      </c>
      <c r="V121" s="514">
        <v>1645</v>
      </c>
      <c r="W121" s="300">
        <f t="shared" ref="W121" si="236">+V121*$X$1</f>
        <v>1645</v>
      </c>
      <c r="X121" s="747"/>
      <c r="Y121" s="748"/>
      <c r="Z121" s="748"/>
      <c r="AA121" s="749"/>
      <c r="AB121" s="448" t="s">
        <v>836</v>
      </c>
    </row>
    <row r="122" spans="1:28" ht="12.6" customHeight="1" x14ac:dyDescent="0.2">
      <c r="A122" s="18"/>
      <c r="B122" s="689" t="s">
        <v>837</v>
      </c>
      <c r="C122" s="898"/>
      <c r="D122" s="898"/>
      <c r="E122" s="898"/>
      <c r="F122" s="367"/>
      <c r="G122" s="871" t="s">
        <v>420</v>
      </c>
      <c r="H122" s="872"/>
      <c r="I122" s="872"/>
      <c r="J122" s="872"/>
      <c r="K122" s="873"/>
      <c r="L122" s="524">
        <v>1701</v>
      </c>
      <c r="M122" s="299">
        <f t="shared" ref="M122" si="237">+L122*$X$1</f>
        <v>1701</v>
      </c>
      <c r="N122" s="72">
        <v>1447</v>
      </c>
      <c r="O122" s="299">
        <f t="shared" ref="O122" si="238">+N122*$X$1</f>
        <v>1447</v>
      </c>
      <c r="P122" s="338">
        <v>1220</v>
      </c>
      <c r="Q122" s="299">
        <f t="shared" ref="Q122" si="239">+P122*$X$1</f>
        <v>1220</v>
      </c>
      <c r="R122" s="523">
        <v>1200</v>
      </c>
      <c r="S122" s="299">
        <f t="shared" ref="S122" si="240">+R122*$X$1</f>
        <v>1200</v>
      </c>
      <c r="T122" s="523">
        <v>1188</v>
      </c>
      <c r="U122" s="299">
        <f t="shared" ref="U122" si="241">+T122*$X$1</f>
        <v>1188</v>
      </c>
      <c r="V122" s="523">
        <v>996</v>
      </c>
      <c r="W122" s="299">
        <f t="shared" ref="W122" si="242">+V122*$X$1</f>
        <v>996</v>
      </c>
      <c r="X122" s="747"/>
      <c r="Y122" s="748"/>
      <c r="Z122" s="748"/>
      <c r="AA122" s="749"/>
      <c r="AB122" s="448" t="s">
        <v>840</v>
      </c>
    </row>
    <row r="123" spans="1:28" ht="12.6" customHeight="1" x14ac:dyDescent="0.2">
      <c r="A123" s="18"/>
      <c r="B123" s="687" t="s">
        <v>663</v>
      </c>
      <c r="C123" s="694"/>
      <c r="D123" s="694"/>
      <c r="E123" s="694"/>
      <c r="F123" s="336"/>
      <c r="G123" s="871" t="s">
        <v>421</v>
      </c>
      <c r="H123" s="872"/>
      <c r="I123" s="872"/>
      <c r="J123" s="872"/>
      <c r="K123" s="873"/>
      <c r="L123" s="522">
        <v>1717</v>
      </c>
      <c r="M123" s="300">
        <f t="shared" si="202"/>
        <v>1717</v>
      </c>
      <c r="N123" s="434">
        <v>1465</v>
      </c>
      <c r="O123" s="300">
        <f t="shared" si="202"/>
        <v>1465</v>
      </c>
      <c r="P123" s="421">
        <v>1220</v>
      </c>
      <c r="Q123" s="300">
        <f t="shared" si="203"/>
        <v>1220</v>
      </c>
      <c r="R123" s="514">
        <v>1215</v>
      </c>
      <c r="S123" s="300">
        <f t="shared" si="204"/>
        <v>1215</v>
      </c>
      <c r="T123" s="123">
        <v>1201</v>
      </c>
      <c r="U123" s="435">
        <f t="shared" si="205"/>
        <v>1201</v>
      </c>
      <c r="V123" s="123">
        <v>1189</v>
      </c>
      <c r="W123" s="435">
        <f t="shared" si="206"/>
        <v>1189</v>
      </c>
      <c r="X123" s="747"/>
      <c r="Y123" s="748"/>
      <c r="Z123" s="748"/>
      <c r="AA123" s="749"/>
      <c r="AB123" s="448">
        <v>303</v>
      </c>
    </row>
    <row r="124" spans="1:28" ht="12.6" customHeight="1" x14ac:dyDescent="0.2">
      <c r="A124" s="18"/>
      <c r="B124" s="689" t="s">
        <v>893</v>
      </c>
      <c r="C124" s="690"/>
      <c r="D124" s="690"/>
      <c r="E124" s="690"/>
      <c r="F124" s="407">
        <v>1970</v>
      </c>
      <c r="G124" s="299">
        <f>+F124*$X$1</f>
        <v>1970</v>
      </c>
      <c r="H124" s="72"/>
      <c r="I124" s="299"/>
      <c r="J124" s="72">
        <f t="shared" ref="J124" si="243">F124+150</f>
        <v>2120</v>
      </c>
      <c r="K124" s="299">
        <f t="shared" ref="K124" si="244">+J124*$X$1</f>
        <v>2120</v>
      </c>
      <c r="L124" s="581">
        <f t="shared" ref="L124" si="245">F124+90</f>
        <v>2060</v>
      </c>
      <c r="M124" s="299">
        <f t="shared" si="202"/>
        <v>2060</v>
      </c>
      <c r="N124" s="581">
        <f t="shared" ref="N124" si="246">F124+55</f>
        <v>2025</v>
      </c>
      <c r="O124" s="299">
        <f t="shared" si="202"/>
        <v>2025</v>
      </c>
      <c r="P124" s="581">
        <f t="shared" ref="P124" si="247">F124+50</f>
        <v>2020</v>
      </c>
      <c r="Q124" s="299">
        <f t="shared" si="203"/>
        <v>2020</v>
      </c>
      <c r="R124" s="581">
        <f t="shared" ref="R124" si="248">F124+42</f>
        <v>2012</v>
      </c>
      <c r="S124" s="299">
        <f t="shared" si="204"/>
        <v>2012</v>
      </c>
      <c r="T124" s="581">
        <f t="shared" ref="T124" si="249">F124+35</f>
        <v>2005</v>
      </c>
      <c r="U124" s="299">
        <f t="shared" si="205"/>
        <v>2005</v>
      </c>
      <c r="V124" s="581">
        <f t="shared" ref="V124" si="250">F124+30</f>
        <v>2000</v>
      </c>
      <c r="W124" s="299">
        <f t="shared" si="206"/>
        <v>2000</v>
      </c>
      <c r="X124" s="711"/>
      <c r="Y124" s="697"/>
      <c r="Z124" s="697"/>
      <c r="AA124" s="698"/>
      <c r="AB124" s="448">
        <v>304</v>
      </c>
    </row>
    <row r="125" spans="1:28" ht="12.6" customHeight="1" x14ac:dyDescent="0.2">
      <c r="A125" s="18"/>
      <c r="B125" s="685" t="s">
        <v>805</v>
      </c>
      <c r="C125" s="686"/>
      <c r="D125" s="686"/>
      <c r="E125" s="686"/>
      <c r="F125" s="347">
        <v>2262</v>
      </c>
      <c r="G125" s="300">
        <f t="shared" ref="G125" si="251">+F125*$X$1</f>
        <v>2262</v>
      </c>
      <c r="H125" s="514"/>
      <c r="I125" s="300"/>
      <c r="J125" s="514"/>
      <c r="K125" s="300"/>
      <c r="L125" s="514">
        <f>F125+90</f>
        <v>2352</v>
      </c>
      <c r="M125" s="300">
        <f t="shared" si="202"/>
        <v>2352</v>
      </c>
      <c r="N125" s="514">
        <f>F125+55</f>
        <v>2317</v>
      </c>
      <c r="O125" s="300">
        <f>+N125*$X$1</f>
        <v>2317</v>
      </c>
      <c r="P125" s="514">
        <f>F125+49</f>
        <v>2311</v>
      </c>
      <c r="Q125" s="300">
        <f t="shared" si="203"/>
        <v>2311</v>
      </c>
      <c r="R125" s="514">
        <f>F125+42</f>
        <v>2304</v>
      </c>
      <c r="S125" s="300">
        <f>+R125*$X$1</f>
        <v>2304</v>
      </c>
      <c r="T125" s="514">
        <f>F125+36</f>
        <v>2298</v>
      </c>
      <c r="U125" s="300">
        <f t="shared" ref="U125:U130" si="252">+T125*$X$1</f>
        <v>2298</v>
      </c>
      <c r="V125" s="514">
        <f>F125+32</f>
        <v>2294</v>
      </c>
      <c r="W125" s="300">
        <f t="shared" ref="W125:W130" si="253">+V125*$X$1</f>
        <v>2294</v>
      </c>
      <c r="X125" s="711"/>
      <c r="Y125" s="697"/>
      <c r="Z125" s="697"/>
      <c r="AA125" s="698"/>
      <c r="AB125" s="448">
        <v>307</v>
      </c>
    </row>
    <row r="126" spans="1:28" ht="12.6" customHeight="1" x14ac:dyDescent="0.2">
      <c r="A126" s="18"/>
      <c r="B126" s="663" t="s">
        <v>570</v>
      </c>
      <c r="C126" s="693"/>
      <c r="D126" s="693"/>
      <c r="E126" s="693"/>
      <c r="F126" s="322">
        <v>1340</v>
      </c>
      <c r="G126" s="299">
        <f>+F126*$X$1</f>
        <v>1340</v>
      </c>
      <c r="H126" s="291"/>
      <c r="I126" s="364"/>
      <c r="J126" s="581"/>
      <c r="K126" s="299"/>
      <c r="L126" s="581">
        <v>2595</v>
      </c>
      <c r="M126" s="299">
        <f>+L126*$X$1</f>
        <v>2595</v>
      </c>
      <c r="N126" s="581">
        <v>2162</v>
      </c>
      <c r="O126" s="299">
        <f t="shared" si="202"/>
        <v>2162</v>
      </c>
      <c r="P126" s="338">
        <v>2001</v>
      </c>
      <c r="Q126" s="299">
        <f t="shared" ref="Q126" si="254">+P126*$X$1</f>
        <v>2001</v>
      </c>
      <c r="R126" s="581">
        <v>1853</v>
      </c>
      <c r="S126" s="299">
        <f t="shared" si="204"/>
        <v>1853</v>
      </c>
      <c r="T126" s="581">
        <v>1737</v>
      </c>
      <c r="U126" s="299">
        <f t="shared" si="252"/>
        <v>1737</v>
      </c>
      <c r="V126" s="581">
        <v>1664</v>
      </c>
      <c r="W126" s="299">
        <f t="shared" si="253"/>
        <v>1664</v>
      </c>
      <c r="X126" s="711"/>
      <c r="Y126" s="697"/>
      <c r="Z126" s="697"/>
      <c r="AA126" s="698"/>
      <c r="AB126" s="448">
        <v>308</v>
      </c>
    </row>
    <row r="127" spans="1:28" ht="12.6" customHeight="1" x14ac:dyDescent="0.2">
      <c r="A127" s="18"/>
      <c r="B127" s="685" t="s">
        <v>569</v>
      </c>
      <c r="C127" s="686"/>
      <c r="D127" s="686"/>
      <c r="E127" s="686"/>
      <c r="F127" s="336">
        <v>1340</v>
      </c>
      <c r="G127" s="300">
        <f>+F127*$X$1</f>
        <v>1340</v>
      </c>
      <c r="H127" s="290"/>
      <c r="I127" s="365"/>
      <c r="J127" s="514"/>
      <c r="K127" s="300"/>
      <c r="L127" s="514">
        <v>2595</v>
      </c>
      <c r="M127" s="300">
        <f>+L127*$X$1</f>
        <v>2595</v>
      </c>
      <c r="N127" s="514">
        <v>2162</v>
      </c>
      <c r="O127" s="300">
        <f t="shared" ref="O127" si="255">+N127*$X$1</f>
        <v>2162</v>
      </c>
      <c r="P127" s="292">
        <v>2001</v>
      </c>
      <c r="Q127" s="300">
        <f t="shared" ref="Q127:Q128" si="256">+P127*$X$1</f>
        <v>2001</v>
      </c>
      <c r="R127" s="514">
        <v>1853</v>
      </c>
      <c r="S127" s="300">
        <f t="shared" ref="S127" si="257">+R127*$X$1</f>
        <v>1853</v>
      </c>
      <c r="T127" s="514">
        <v>1737</v>
      </c>
      <c r="U127" s="300">
        <f t="shared" si="252"/>
        <v>1737</v>
      </c>
      <c r="V127" s="514">
        <v>1664</v>
      </c>
      <c r="W127" s="300">
        <f t="shared" si="253"/>
        <v>1664</v>
      </c>
      <c r="X127" s="711"/>
      <c r="Y127" s="697"/>
      <c r="Z127" s="697"/>
      <c r="AA127" s="698"/>
      <c r="AB127" s="448">
        <v>309</v>
      </c>
    </row>
    <row r="128" spans="1:28" ht="12.6" customHeight="1" x14ac:dyDescent="0.2">
      <c r="A128" s="18"/>
      <c r="B128" s="689" t="s">
        <v>909</v>
      </c>
      <c r="C128" s="690"/>
      <c r="D128" s="690"/>
      <c r="E128" s="690"/>
      <c r="F128" s="407">
        <f>0.78*X2</f>
        <v>791.7</v>
      </c>
      <c r="G128" s="299">
        <f>+F128*$X$1</f>
        <v>791.7</v>
      </c>
      <c r="H128" s="598"/>
      <c r="I128" s="299"/>
      <c r="J128" s="598">
        <f>F128+120</f>
        <v>911.7</v>
      </c>
      <c r="K128" s="299">
        <f t="shared" ref="K128" si="258">+J128*$X$1</f>
        <v>911.7</v>
      </c>
      <c r="L128" s="598">
        <f>F128+90</f>
        <v>881.7</v>
      </c>
      <c r="M128" s="299">
        <f t="shared" ref="M128" si="259">+L128*$X$1</f>
        <v>881.7</v>
      </c>
      <c r="N128" s="598">
        <f>F128+55</f>
        <v>846.7</v>
      </c>
      <c r="O128" s="299">
        <f>+N128*$X$1</f>
        <v>846.7</v>
      </c>
      <c r="P128" s="598">
        <f>F128+49</f>
        <v>840.7</v>
      </c>
      <c r="Q128" s="299">
        <f t="shared" si="256"/>
        <v>840.7</v>
      </c>
      <c r="R128" s="598">
        <f>F128+42</f>
        <v>833.7</v>
      </c>
      <c r="S128" s="299">
        <f>+R128*$X$1</f>
        <v>833.7</v>
      </c>
      <c r="T128" s="598">
        <f>F128+36</f>
        <v>827.7</v>
      </c>
      <c r="U128" s="299">
        <f t="shared" si="252"/>
        <v>827.7</v>
      </c>
      <c r="V128" s="598">
        <f>F128+32</f>
        <v>823.7</v>
      </c>
      <c r="W128" s="299">
        <f t="shared" si="253"/>
        <v>823.7</v>
      </c>
      <c r="X128" s="711"/>
      <c r="Y128" s="697"/>
      <c r="Z128" s="697"/>
      <c r="AA128" s="698"/>
      <c r="AB128" s="448">
        <v>310</v>
      </c>
    </row>
    <row r="129" spans="1:33" ht="12.6" customHeight="1" x14ac:dyDescent="0.2">
      <c r="A129" s="18"/>
      <c r="B129" s="689" t="s">
        <v>848</v>
      </c>
      <c r="C129" s="690"/>
      <c r="D129" s="690"/>
      <c r="E129" s="690"/>
      <c r="F129" s="408">
        <f>1.06*X2</f>
        <v>1075.9000000000001</v>
      </c>
      <c r="G129" s="300">
        <f>+F129*$X$1</f>
        <v>1075.9000000000001</v>
      </c>
      <c r="H129" s="514"/>
      <c r="I129" s="300"/>
      <c r="J129" s="514">
        <f>F129+120</f>
        <v>1195.9000000000001</v>
      </c>
      <c r="K129" s="300">
        <f t="shared" ref="K129" si="260">+J129*$X$1</f>
        <v>1195.9000000000001</v>
      </c>
      <c r="L129" s="514">
        <f>F129+90</f>
        <v>1165.9000000000001</v>
      </c>
      <c r="M129" s="300">
        <f t="shared" ref="M129:M130" si="261">+L129*$X$1</f>
        <v>1165.9000000000001</v>
      </c>
      <c r="N129" s="514">
        <f>F129+55</f>
        <v>1130.9000000000001</v>
      </c>
      <c r="O129" s="300">
        <f>+N129*$X$1</f>
        <v>1130.9000000000001</v>
      </c>
      <c r="P129" s="514">
        <f>F129+49</f>
        <v>1124.9000000000001</v>
      </c>
      <c r="Q129" s="300">
        <f t="shared" ref="Q129:Q130" si="262">+P129*$X$1</f>
        <v>1124.9000000000001</v>
      </c>
      <c r="R129" s="514">
        <f>F129+42</f>
        <v>1117.9000000000001</v>
      </c>
      <c r="S129" s="300">
        <f>+R129*$X$1</f>
        <v>1117.9000000000001</v>
      </c>
      <c r="T129" s="514">
        <f>F129+36</f>
        <v>1111.9000000000001</v>
      </c>
      <c r="U129" s="300">
        <f t="shared" si="252"/>
        <v>1111.9000000000001</v>
      </c>
      <c r="V129" s="514">
        <f>F129+32</f>
        <v>1107.9000000000001</v>
      </c>
      <c r="W129" s="300">
        <f t="shared" si="253"/>
        <v>1107.9000000000001</v>
      </c>
      <c r="X129" s="711"/>
      <c r="Y129" s="697"/>
      <c r="Z129" s="697"/>
      <c r="AA129" s="698"/>
      <c r="AB129" s="448">
        <v>311</v>
      </c>
    </row>
    <row r="130" spans="1:33" ht="12.6" customHeight="1" x14ac:dyDescent="0.2">
      <c r="A130" s="18"/>
      <c r="B130" s="663" t="s">
        <v>506</v>
      </c>
      <c r="C130" s="693"/>
      <c r="D130" s="693"/>
      <c r="E130" s="693"/>
      <c r="F130" s="407">
        <f>1.4*X2</f>
        <v>1421</v>
      </c>
      <c r="G130" s="299">
        <f t="shared" ref="G130" si="263">+F130*$X$1</f>
        <v>1421</v>
      </c>
      <c r="H130" s="598"/>
      <c r="I130" s="299"/>
      <c r="J130" s="598">
        <f>F130+120</f>
        <v>1541</v>
      </c>
      <c r="K130" s="299">
        <f t="shared" ref="K130" si="264">+J130*$X$1</f>
        <v>1541</v>
      </c>
      <c r="L130" s="598">
        <f>F130+90</f>
        <v>1511</v>
      </c>
      <c r="M130" s="299">
        <f t="shared" si="261"/>
        <v>1511</v>
      </c>
      <c r="N130" s="598">
        <f>F130+55</f>
        <v>1476</v>
      </c>
      <c r="O130" s="299">
        <f>+N130*$X$1</f>
        <v>1476</v>
      </c>
      <c r="P130" s="598">
        <f>F130+49</f>
        <v>1470</v>
      </c>
      <c r="Q130" s="299">
        <f t="shared" si="262"/>
        <v>1470</v>
      </c>
      <c r="R130" s="598">
        <f>F130+42</f>
        <v>1463</v>
      </c>
      <c r="S130" s="299">
        <f>+R130*$X$1</f>
        <v>1463</v>
      </c>
      <c r="T130" s="598">
        <f>F130+36</f>
        <v>1457</v>
      </c>
      <c r="U130" s="299">
        <f t="shared" si="252"/>
        <v>1457</v>
      </c>
      <c r="V130" s="598">
        <f>F130+32</f>
        <v>1453</v>
      </c>
      <c r="W130" s="299">
        <f t="shared" si="253"/>
        <v>1453</v>
      </c>
      <c r="X130" s="711"/>
      <c r="Y130" s="697"/>
      <c r="Z130" s="697"/>
      <c r="AA130" s="698"/>
      <c r="AB130" s="448">
        <v>312</v>
      </c>
    </row>
    <row r="131" spans="1:33" ht="12.6" customHeight="1" x14ac:dyDescent="0.2">
      <c r="A131" s="18"/>
      <c r="B131" s="670" t="s">
        <v>169</v>
      </c>
      <c r="C131" s="679"/>
      <c r="D131" s="679"/>
      <c r="E131" s="680"/>
      <c r="F131" s="300"/>
      <c r="G131" s="300"/>
      <c r="H131" s="514"/>
      <c r="I131" s="300"/>
      <c r="J131" s="90"/>
      <c r="K131" s="300"/>
      <c r="L131" s="514"/>
      <c r="M131" s="300"/>
      <c r="N131" s="514"/>
      <c r="O131" s="300"/>
      <c r="P131" s="514"/>
      <c r="Q131" s="300"/>
      <c r="R131" s="514"/>
      <c r="S131" s="300"/>
      <c r="T131" s="514"/>
      <c r="U131" s="300"/>
      <c r="V131" s="514"/>
      <c r="W131" s="300"/>
      <c r="X131" s="711"/>
      <c r="Y131" s="697"/>
      <c r="Z131" s="697"/>
      <c r="AA131" s="698"/>
      <c r="AB131" s="448" t="s">
        <v>170</v>
      </c>
    </row>
    <row r="132" spans="1:33" ht="12.6" customHeight="1" x14ac:dyDescent="0.2">
      <c r="A132" s="18"/>
      <c r="B132" s="727" t="s">
        <v>171</v>
      </c>
      <c r="C132" s="728"/>
      <c r="D132" s="728"/>
      <c r="E132" s="729"/>
      <c r="F132" s="322"/>
      <c r="G132" s="299"/>
      <c r="H132" s="598"/>
      <c r="I132" s="299"/>
      <c r="J132" s="72"/>
      <c r="K132" s="299"/>
      <c r="L132" s="598"/>
      <c r="M132" s="299"/>
      <c r="N132" s="598"/>
      <c r="O132" s="299"/>
      <c r="P132" s="598"/>
      <c r="Q132" s="299"/>
      <c r="R132" s="598"/>
      <c r="S132" s="299"/>
      <c r="T132" s="598"/>
      <c r="U132" s="299"/>
      <c r="V132" s="598"/>
      <c r="W132" s="299"/>
      <c r="X132" s="660"/>
      <c r="Y132" s="713"/>
      <c r="Z132" s="713"/>
      <c r="AA132" s="662"/>
      <c r="AB132" s="494" t="s">
        <v>172</v>
      </c>
    </row>
    <row r="133" spans="1:33" ht="12.6" customHeight="1" x14ac:dyDescent="0.2">
      <c r="A133" s="18"/>
      <c r="B133" s="670" t="s">
        <v>173</v>
      </c>
      <c r="C133" s="679"/>
      <c r="D133" s="679"/>
      <c r="E133" s="680"/>
      <c r="F133" s="300"/>
      <c r="G133" s="300"/>
      <c r="H133" s="514"/>
      <c r="I133" s="300"/>
      <c r="J133" s="90"/>
      <c r="K133" s="300"/>
      <c r="L133" s="514"/>
      <c r="M133" s="300"/>
      <c r="N133" s="514"/>
      <c r="O133" s="300"/>
      <c r="P133" s="514"/>
      <c r="Q133" s="300"/>
      <c r="R133" s="514"/>
      <c r="S133" s="300"/>
      <c r="T133" s="514"/>
      <c r="U133" s="300"/>
      <c r="V133" s="514"/>
      <c r="W133" s="300"/>
      <c r="X133" s="713"/>
      <c r="Y133" s="713"/>
      <c r="Z133" s="713"/>
      <c r="AA133" s="713"/>
      <c r="AB133" s="200" t="s">
        <v>174</v>
      </c>
    </row>
    <row r="134" spans="1:33" ht="12.6" customHeight="1" x14ac:dyDescent="0.2">
      <c r="A134" s="18"/>
      <c r="B134" s="673" t="s">
        <v>175</v>
      </c>
      <c r="C134" s="676"/>
      <c r="D134" s="676"/>
      <c r="E134" s="677"/>
      <c r="F134" s="299"/>
      <c r="G134" s="299"/>
      <c r="H134" s="598"/>
      <c r="I134" s="299"/>
      <c r="J134" s="72"/>
      <c r="K134" s="299"/>
      <c r="L134" s="598"/>
      <c r="M134" s="299"/>
      <c r="N134" s="598"/>
      <c r="O134" s="299"/>
      <c r="P134" s="598"/>
      <c r="Q134" s="299"/>
      <c r="R134" s="598"/>
      <c r="S134" s="299"/>
      <c r="T134" s="598"/>
      <c r="U134" s="299"/>
      <c r="V134" s="598"/>
      <c r="W134" s="299"/>
      <c r="X134" s="713"/>
      <c r="Y134" s="713"/>
      <c r="Z134" s="713"/>
      <c r="AA134" s="713"/>
      <c r="AB134" s="200" t="s">
        <v>176</v>
      </c>
    </row>
    <row r="135" spans="1:33" ht="12.6" customHeight="1" x14ac:dyDescent="0.2">
      <c r="A135" s="98"/>
      <c r="B135" s="670" t="s">
        <v>380</v>
      </c>
      <c r="C135" s="929"/>
      <c r="D135" s="929"/>
      <c r="E135" s="930"/>
      <c r="F135" s="300"/>
      <c r="G135" s="300"/>
      <c r="H135" s="90"/>
      <c r="I135" s="514"/>
      <c r="J135" s="514"/>
      <c r="K135" s="514"/>
      <c r="L135" s="514"/>
      <c r="M135" s="300"/>
      <c r="N135" s="514"/>
      <c r="O135" s="300"/>
      <c r="P135" s="514"/>
      <c r="Q135" s="300"/>
      <c r="R135" s="514"/>
      <c r="S135" s="300"/>
      <c r="T135" s="514"/>
      <c r="U135" s="300"/>
      <c r="V135" s="514"/>
      <c r="W135" s="300"/>
      <c r="X135" s="682"/>
      <c r="Y135" s="778"/>
      <c r="Z135" s="778"/>
      <c r="AA135" s="779"/>
      <c r="AB135" s="200"/>
    </row>
    <row r="136" spans="1:33" ht="12.6" customHeight="1" x14ac:dyDescent="0.2">
      <c r="A136" s="98"/>
      <c r="B136" s="663" t="s">
        <v>177</v>
      </c>
      <c r="C136" s="693"/>
      <c r="D136" s="693"/>
      <c r="E136" s="693"/>
      <c r="F136" s="299"/>
      <c r="G136" s="299"/>
      <c r="H136" s="72"/>
      <c r="I136" s="598"/>
      <c r="J136" s="598"/>
      <c r="K136" s="598"/>
      <c r="L136" s="598"/>
      <c r="M136" s="299"/>
      <c r="N136" s="598"/>
      <c r="O136" s="299"/>
      <c r="P136" s="598"/>
      <c r="Q136" s="299"/>
      <c r="R136" s="598"/>
      <c r="S136" s="299"/>
      <c r="T136" s="598"/>
      <c r="U136" s="299"/>
      <c r="V136" s="598"/>
      <c r="W136" s="299"/>
      <c r="X136" s="682"/>
      <c r="Y136" s="683"/>
      <c r="Z136" s="683"/>
      <c r="AA136" s="684"/>
      <c r="AB136" s="200">
        <v>316</v>
      </c>
      <c r="AC136" s="61"/>
      <c r="AD136" s="61"/>
      <c r="AE136" s="61"/>
      <c r="AF136" s="61"/>
    </row>
    <row r="137" spans="1:33" ht="12.6" customHeight="1" x14ac:dyDescent="0.2">
      <c r="A137" s="98"/>
      <c r="B137" s="685" t="s">
        <v>178</v>
      </c>
      <c r="C137" s="686"/>
      <c r="D137" s="686"/>
      <c r="E137" s="686"/>
      <c r="F137" s="300"/>
      <c r="G137" s="607"/>
      <c r="H137" s="90"/>
      <c r="I137" s="608"/>
      <c r="J137" s="514"/>
      <c r="K137" s="608"/>
      <c r="L137" s="514"/>
      <c r="M137" s="609"/>
      <c r="N137" s="514"/>
      <c r="O137" s="609"/>
      <c r="P137" s="514"/>
      <c r="Q137" s="609"/>
      <c r="R137" s="514"/>
      <c r="S137" s="609"/>
      <c r="T137" s="514"/>
      <c r="U137" s="300"/>
      <c r="V137" s="514"/>
      <c r="W137" s="300"/>
      <c r="X137" s="682"/>
      <c r="Y137" s="683"/>
      <c r="Z137" s="683"/>
      <c r="AA137" s="684"/>
      <c r="AB137" s="200">
        <v>318</v>
      </c>
      <c r="AC137" s="61"/>
      <c r="AD137" s="61"/>
      <c r="AE137" s="61"/>
      <c r="AF137" s="61"/>
    </row>
    <row r="138" spans="1:33" ht="12.6" customHeight="1" x14ac:dyDescent="0.2">
      <c r="A138" s="18"/>
      <c r="B138" s="754" t="s">
        <v>347</v>
      </c>
      <c r="C138" s="755"/>
      <c r="D138" s="755"/>
      <c r="E138" s="755"/>
      <c r="F138" s="299">
        <v>1092</v>
      </c>
      <c r="G138" s="329">
        <f>+F138*$X$1</f>
        <v>1092</v>
      </c>
      <c r="H138" s="201" t="s">
        <v>179</v>
      </c>
      <c r="I138" s="204"/>
      <c r="J138" s="86"/>
      <c r="K138" s="86"/>
      <c r="L138" s="173"/>
      <c r="M138" s="86"/>
      <c r="N138" s="86"/>
      <c r="O138" s="86"/>
      <c r="P138" s="83">
        <v>80</v>
      </c>
      <c r="Q138" s="203">
        <f>+P138*$X$1</f>
        <v>80</v>
      </c>
      <c r="R138" s="603"/>
      <c r="S138" s="604"/>
      <c r="T138" s="72"/>
      <c r="U138" s="299"/>
      <c r="V138" s="598"/>
      <c r="W138" s="299"/>
      <c r="X138" s="682"/>
      <c r="Y138" s="683"/>
      <c r="Z138" s="683"/>
      <c r="AA138" s="684"/>
      <c r="AB138" s="451"/>
      <c r="AC138" s="761"/>
      <c r="AD138" s="762"/>
      <c r="AE138" s="762"/>
      <c r="AF138" s="762"/>
      <c r="AG138" s="4"/>
    </row>
    <row r="139" spans="1:33" ht="12.6" customHeight="1" x14ac:dyDescent="0.2">
      <c r="A139" s="18"/>
      <c r="B139" s="987" t="s">
        <v>348</v>
      </c>
      <c r="C139" s="988"/>
      <c r="D139" s="988"/>
      <c r="E139" s="988"/>
      <c r="F139" s="300">
        <v>1177</v>
      </c>
      <c r="G139" s="374">
        <f>+F139*$X$1</f>
        <v>1177</v>
      </c>
      <c r="H139" s="274" t="s">
        <v>179</v>
      </c>
      <c r="I139" s="275"/>
      <c r="J139" s="276"/>
      <c r="K139" s="276"/>
      <c r="L139" s="277"/>
      <c r="M139" s="276"/>
      <c r="N139" s="276"/>
      <c r="O139" s="276"/>
      <c r="P139" s="278">
        <v>80</v>
      </c>
      <c r="Q139" s="279">
        <f>+P139*$X$1</f>
        <v>80</v>
      </c>
      <c r="R139" s="612"/>
      <c r="S139" s="610"/>
      <c r="T139" s="611"/>
      <c r="U139" s="302"/>
      <c r="V139" s="96"/>
      <c r="W139" s="302"/>
      <c r="X139" s="682"/>
      <c r="Y139" s="683"/>
      <c r="Z139" s="683"/>
      <c r="AA139" s="684"/>
      <c r="AB139" s="451"/>
    </row>
    <row r="140" spans="1:33" ht="12.6" customHeight="1" x14ac:dyDescent="0.2">
      <c r="A140" s="18"/>
      <c r="B140" s="754" t="s">
        <v>883</v>
      </c>
      <c r="C140" s="755"/>
      <c r="D140" s="755"/>
      <c r="E140" s="755"/>
      <c r="F140" s="348"/>
      <c r="G140" s="299"/>
      <c r="H140" s="281"/>
      <c r="I140" s="299"/>
      <c r="J140" s="598">
        <f>F139+170</f>
        <v>1347</v>
      </c>
      <c r="K140" s="299">
        <f t="shared" ref="K140:K141" si="265">+J140*$X$1</f>
        <v>1347</v>
      </c>
      <c r="L140" s="598">
        <f>F139+120</f>
        <v>1297</v>
      </c>
      <c r="M140" s="299">
        <f>+L140*$X$1</f>
        <v>1297</v>
      </c>
      <c r="N140" s="598">
        <f>F139+75</f>
        <v>1252</v>
      </c>
      <c r="O140" s="299">
        <f>+N140*$X$1</f>
        <v>1252</v>
      </c>
      <c r="P140" s="598">
        <f>F139+60</f>
        <v>1237</v>
      </c>
      <c r="Q140" s="299">
        <f t="shared" ref="Q140:Q141" si="266">+P140*$X$1</f>
        <v>1237</v>
      </c>
      <c r="R140" s="598">
        <f>F139+52</f>
        <v>1229</v>
      </c>
      <c r="S140" s="299">
        <f>+R140*$X$1</f>
        <v>1229</v>
      </c>
      <c r="T140" s="598">
        <f>F139+47</f>
        <v>1224</v>
      </c>
      <c r="U140" s="299">
        <f t="shared" ref="U140:U141" si="267">+T140*$X$1</f>
        <v>1224</v>
      </c>
      <c r="V140" s="598">
        <f>F139+43</f>
        <v>1220</v>
      </c>
      <c r="W140" s="299">
        <f>+V140*$X$1</f>
        <v>1220</v>
      </c>
      <c r="X140" s="682"/>
      <c r="Y140" s="683"/>
      <c r="Z140" s="683"/>
      <c r="AA140" s="684"/>
      <c r="AB140" s="448">
        <v>321</v>
      </c>
    </row>
    <row r="141" spans="1:33" ht="12.6" customHeight="1" x14ac:dyDescent="0.2">
      <c r="A141" s="18"/>
      <c r="B141" s="987" t="s">
        <v>565</v>
      </c>
      <c r="C141" s="988"/>
      <c r="D141" s="988"/>
      <c r="E141" s="988"/>
      <c r="F141" s="347"/>
      <c r="G141" s="300"/>
      <c r="H141" s="315"/>
      <c r="I141" s="300"/>
      <c r="J141" s="514">
        <f>F139+340</f>
        <v>1517</v>
      </c>
      <c r="K141" s="300">
        <f t="shared" si="265"/>
        <v>1517</v>
      </c>
      <c r="L141" s="514">
        <f>F139+220</f>
        <v>1397</v>
      </c>
      <c r="M141" s="300">
        <f>+L141*$X$1</f>
        <v>1397</v>
      </c>
      <c r="N141" s="514">
        <f>F139+160</f>
        <v>1337</v>
      </c>
      <c r="O141" s="300">
        <f>+N141*$X$1</f>
        <v>1337</v>
      </c>
      <c r="P141" s="514">
        <f>F139+141</f>
        <v>1318</v>
      </c>
      <c r="Q141" s="300">
        <f t="shared" si="266"/>
        <v>1318</v>
      </c>
      <c r="R141" s="514">
        <f>F139+120</f>
        <v>1297</v>
      </c>
      <c r="S141" s="300">
        <f>+R141*$X$1</f>
        <v>1297</v>
      </c>
      <c r="T141" s="514">
        <f>F139+110</f>
        <v>1287</v>
      </c>
      <c r="U141" s="300">
        <f t="shared" si="267"/>
        <v>1287</v>
      </c>
      <c r="V141" s="514">
        <f>F139+103</f>
        <v>1280</v>
      </c>
      <c r="W141" s="300">
        <f>+V141*$X$1</f>
        <v>1280</v>
      </c>
      <c r="X141" s="682"/>
      <c r="Y141" s="683"/>
      <c r="Z141" s="683"/>
      <c r="AA141" s="684"/>
      <c r="AB141" s="448">
        <v>322</v>
      </c>
    </row>
    <row r="142" spans="1:33" ht="12.6" customHeight="1" x14ac:dyDescent="0.2">
      <c r="A142" s="18"/>
      <c r="B142" s="754" t="s">
        <v>349</v>
      </c>
      <c r="C142" s="755"/>
      <c r="D142" s="755"/>
      <c r="E142" s="755"/>
      <c r="F142" s="299">
        <v>1366</v>
      </c>
      <c r="G142" s="329">
        <f>+F142*$X$1</f>
        <v>1366</v>
      </c>
      <c r="H142" s="513" t="s">
        <v>179</v>
      </c>
      <c r="I142" s="202"/>
      <c r="J142" s="84"/>
      <c r="K142" s="84"/>
      <c r="L142" s="84"/>
      <c r="M142" s="84"/>
      <c r="N142" s="84"/>
      <c r="O142" s="84"/>
      <c r="P142" s="85">
        <v>110</v>
      </c>
      <c r="Q142" s="280">
        <f>+P142*$X$1</f>
        <v>110</v>
      </c>
      <c r="R142" s="66"/>
      <c r="S142" s="370"/>
      <c r="T142" s="283"/>
      <c r="U142" s="375"/>
      <c r="V142" s="87"/>
      <c r="W142" s="605"/>
      <c r="X142" s="682"/>
      <c r="Y142" s="683"/>
      <c r="Z142" s="683"/>
      <c r="AA142" s="684"/>
      <c r="AB142" s="451"/>
    </row>
    <row r="143" spans="1:33" ht="12.6" customHeight="1" x14ac:dyDescent="0.2">
      <c r="A143" s="18"/>
      <c r="B143" s="685" t="s">
        <v>180</v>
      </c>
      <c r="C143" s="686"/>
      <c r="D143" s="686"/>
      <c r="E143" s="686"/>
      <c r="F143" s="302">
        <v>1456</v>
      </c>
      <c r="G143" s="374">
        <f>+F143*$X$1</f>
        <v>1456</v>
      </c>
      <c r="H143" s="274" t="s">
        <v>179</v>
      </c>
      <c r="I143" s="284"/>
      <c r="J143" s="84"/>
      <c r="K143" s="84"/>
      <c r="L143" s="84"/>
      <c r="M143" s="84"/>
      <c r="N143" s="84"/>
      <c r="O143" s="84"/>
      <c r="P143" s="85">
        <v>110</v>
      </c>
      <c r="Q143" s="203">
        <f>+P143*$X$1</f>
        <v>110</v>
      </c>
      <c r="R143" s="268"/>
      <c r="S143" s="362"/>
      <c r="T143" s="282"/>
      <c r="U143" s="376"/>
      <c r="V143" s="90"/>
      <c r="W143" s="336"/>
      <c r="X143" s="682"/>
      <c r="Y143" s="683"/>
      <c r="Z143" s="683"/>
      <c r="AA143" s="684"/>
      <c r="AB143" s="451"/>
    </row>
    <row r="144" spans="1:33" ht="12.6" customHeight="1" x14ac:dyDescent="0.2">
      <c r="A144" s="18"/>
      <c r="B144" s="663" t="s">
        <v>882</v>
      </c>
      <c r="C144" s="693"/>
      <c r="D144" s="693"/>
      <c r="E144" s="693"/>
      <c r="F144" s="367"/>
      <c r="G144" s="367"/>
      <c r="H144" s="291"/>
      <c r="I144" s="364"/>
      <c r="J144" s="598">
        <f>F143+170</f>
        <v>1626</v>
      </c>
      <c r="K144" s="299">
        <f t="shared" ref="K144" si="268">+J144*$X$1</f>
        <v>1626</v>
      </c>
      <c r="L144" s="598">
        <f>F143+120</f>
        <v>1576</v>
      </c>
      <c r="M144" s="299">
        <f>+L144*$X$1</f>
        <v>1576</v>
      </c>
      <c r="N144" s="598">
        <f>F143+75</f>
        <v>1531</v>
      </c>
      <c r="O144" s="299">
        <f>+N144*$X$1</f>
        <v>1531</v>
      </c>
      <c r="P144" s="598">
        <f>F143+60</f>
        <v>1516</v>
      </c>
      <c r="Q144" s="299">
        <f t="shared" ref="Q144" si="269">+P144*$X$1</f>
        <v>1516</v>
      </c>
      <c r="R144" s="598">
        <f>F143+52</f>
        <v>1508</v>
      </c>
      <c r="S144" s="299">
        <f>+R144*$X$1</f>
        <v>1508</v>
      </c>
      <c r="T144" s="598">
        <f>F143+47</f>
        <v>1503</v>
      </c>
      <c r="U144" s="299">
        <f t="shared" ref="U144" si="270">+T144*$X$1</f>
        <v>1503</v>
      </c>
      <c r="V144" s="598">
        <f>F143+43</f>
        <v>1499</v>
      </c>
      <c r="W144" s="299">
        <f>+V144*$X$1</f>
        <v>1499</v>
      </c>
      <c r="X144" s="682"/>
      <c r="Y144" s="683"/>
      <c r="Z144" s="683"/>
      <c r="AA144" s="684"/>
      <c r="AB144" s="448">
        <v>325</v>
      </c>
    </row>
    <row r="145" spans="1:34" ht="12.6" customHeight="1" x14ac:dyDescent="0.2">
      <c r="A145" s="18"/>
      <c r="B145" s="685" t="s">
        <v>564</v>
      </c>
      <c r="C145" s="686"/>
      <c r="D145" s="686"/>
      <c r="E145" s="686"/>
      <c r="F145" s="366"/>
      <c r="G145" s="366"/>
      <c r="H145" s="290"/>
      <c r="I145" s="365"/>
      <c r="J145" s="514">
        <f>F143+360</f>
        <v>1816</v>
      </c>
      <c r="K145" s="300">
        <f t="shared" ref="K145" si="271">+J145*$X$1</f>
        <v>1816</v>
      </c>
      <c r="L145" s="514">
        <f>F143+240</f>
        <v>1696</v>
      </c>
      <c r="M145" s="300">
        <f>+L145*$X$1</f>
        <v>1696</v>
      </c>
      <c r="N145" s="514">
        <f>F143+170</f>
        <v>1626</v>
      </c>
      <c r="O145" s="300">
        <f>+N145*$X$1</f>
        <v>1626</v>
      </c>
      <c r="P145" s="514">
        <f>F143+150</f>
        <v>1606</v>
      </c>
      <c r="Q145" s="300">
        <f t="shared" ref="Q145" si="272">+P145*$X$1</f>
        <v>1606</v>
      </c>
      <c r="R145" s="514">
        <f>F143+130</f>
        <v>1586</v>
      </c>
      <c r="S145" s="300">
        <f>+R145*$X$1</f>
        <v>1586</v>
      </c>
      <c r="T145" s="514">
        <f>F143+120</f>
        <v>1576</v>
      </c>
      <c r="U145" s="300">
        <f t="shared" ref="U145" si="273">+T145*$X$1</f>
        <v>1576</v>
      </c>
      <c r="V145" s="514">
        <f>F143+110</f>
        <v>1566</v>
      </c>
      <c r="W145" s="300">
        <f>+V145*$X$1</f>
        <v>1566</v>
      </c>
      <c r="X145" s="682"/>
      <c r="Y145" s="683"/>
      <c r="Z145" s="683"/>
      <c r="AA145" s="684"/>
      <c r="AB145" s="448">
        <v>326</v>
      </c>
    </row>
    <row r="146" spans="1:34" ht="12.6" customHeight="1" x14ac:dyDescent="0.2">
      <c r="A146" s="18"/>
      <c r="B146" s="663" t="s">
        <v>369</v>
      </c>
      <c r="C146" s="693"/>
      <c r="D146" s="693"/>
      <c r="E146" s="693"/>
      <c r="F146" s="407">
        <f>8.3*X2</f>
        <v>8424.5</v>
      </c>
      <c r="G146" s="299">
        <f>+F146*$X$1</f>
        <v>8424.5</v>
      </c>
      <c r="H146" s="598">
        <f>F146+400</f>
        <v>8824.5</v>
      </c>
      <c r="I146" s="299">
        <f t="shared" ref="I146" si="274">+H146*$X$1</f>
        <v>8824.5</v>
      </c>
      <c r="J146" s="598">
        <f>F146+150</f>
        <v>8574.5</v>
      </c>
      <c r="K146" s="299">
        <f t="shared" ref="K146" si="275">+J146*$X$1</f>
        <v>8574.5</v>
      </c>
      <c r="L146" s="598">
        <f>F146+90</f>
        <v>8514.5</v>
      </c>
      <c r="M146" s="299">
        <f t="shared" ref="M146" si="276">+L146*$X$1</f>
        <v>8514.5</v>
      </c>
      <c r="N146" s="598">
        <f>F146+63</f>
        <v>8487.5</v>
      </c>
      <c r="O146" s="299">
        <f>+N146*$X$1</f>
        <v>8487.5</v>
      </c>
      <c r="P146" s="598">
        <f>F146+55</f>
        <v>8479.5</v>
      </c>
      <c r="Q146" s="299">
        <f t="shared" ref="Q146" si="277">+P146*$X$1</f>
        <v>8479.5</v>
      </c>
      <c r="R146" s="598">
        <f>F146+49</f>
        <v>8473.5</v>
      </c>
      <c r="S146" s="299">
        <f>+R146*$X$1</f>
        <v>8473.5</v>
      </c>
      <c r="T146" s="598">
        <f>F146+43</f>
        <v>8467.5</v>
      </c>
      <c r="U146" s="299">
        <f>+T146*$X$1</f>
        <v>8467.5</v>
      </c>
      <c r="V146" s="598">
        <f>F146+38</f>
        <v>8462.5</v>
      </c>
      <c r="W146" s="299">
        <f>+V146*$X$1</f>
        <v>8462.5</v>
      </c>
      <c r="X146" s="665"/>
      <c r="Y146" s="666"/>
      <c r="Z146" s="666"/>
      <c r="AA146" s="667"/>
      <c r="AB146" s="200">
        <v>332</v>
      </c>
    </row>
    <row r="147" spans="1:34" ht="12.6" customHeight="1" x14ac:dyDescent="0.2">
      <c r="A147" s="18"/>
      <c r="B147" s="685" t="s">
        <v>690</v>
      </c>
      <c r="C147" s="686"/>
      <c r="D147" s="686"/>
      <c r="E147" s="686"/>
      <c r="F147" s="408">
        <f>4.2*X2</f>
        <v>4263</v>
      </c>
      <c r="G147" s="300">
        <f>+F147*$X$1</f>
        <v>4263</v>
      </c>
      <c r="H147" s="514">
        <f>F147+400</f>
        <v>4663</v>
      </c>
      <c r="I147" s="300">
        <f t="shared" ref="I147" si="278">+H147*$X$1</f>
        <v>4663</v>
      </c>
      <c r="J147" s="514">
        <f>F147+150</f>
        <v>4413</v>
      </c>
      <c r="K147" s="300">
        <f t="shared" ref="K147" si="279">+J147*$X$1</f>
        <v>4413</v>
      </c>
      <c r="L147" s="514">
        <f>F147+90</f>
        <v>4353</v>
      </c>
      <c r="M147" s="300">
        <f t="shared" ref="M147" si="280">+L147*$X$1</f>
        <v>4353</v>
      </c>
      <c r="N147" s="514">
        <f>F147+63</f>
        <v>4326</v>
      </c>
      <c r="O147" s="300">
        <f>+N147*$X$1</f>
        <v>4326</v>
      </c>
      <c r="P147" s="514">
        <f>F147+55</f>
        <v>4318</v>
      </c>
      <c r="Q147" s="300">
        <f t="shared" ref="Q147" si="281">+P147*$X$1</f>
        <v>4318</v>
      </c>
      <c r="R147" s="514">
        <f>F147+49</f>
        <v>4312</v>
      </c>
      <c r="S147" s="300">
        <f>+R147*$X$1</f>
        <v>4312</v>
      </c>
      <c r="T147" s="514">
        <f>F147+43</f>
        <v>4306</v>
      </c>
      <c r="U147" s="300">
        <f>+T147*$X$1</f>
        <v>4306</v>
      </c>
      <c r="V147" s="514">
        <f>F147+38</f>
        <v>4301</v>
      </c>
      <c r="W147" s="300">
        <f>+V147*$X$1</f>
        <v>4301</v>
      </c>
      <c r="X147" s="665"/>
      <c r="Y147" s="666"/>
      <c r="Z147" s="666"/>
      <c r="AA147" s="667"/>
      <c r="AB147" s="200">
        <v>337</v>
      </c>
    </row>
    <row r="148" spans="1:34" ht="12.6" customHeight="1" x14ac:dyDescent="0.2">
      <c r="A148" s="20"/>
      <c r="B148" s="995" t="s">
        <v>181</v>
      </c>
      <c r="C148" s="996"/>
      <c r="D148" s="996"/>
      <c r="E148" s="996"/>
      <c r="F148" s="299">
        <v>430</v>
      </c>
      <c r="G148" s="299">
        <f t="shared" ref="G148" si="282">+F148*$X$1</f>
        <v>430</v>
      </c>
      <c r="H148" s="606"/>
      <c r="I148" s="606"/>
      <c r="J148" s="598">
        <f>F148+300</f>
        <v>730</v>
      </c>
      <c r="K148" s="299">
        <f t="shared" ref="K148" si="283">+J148*$X$1</f>
        <v>730</v>
      </c>
      <c r="L148" s="598">
        <f>F148+240</f>
        <v>670</v>
      </c>
      <c r="M148" s="299">
        <f>+L148*$X$1</f>
        <v>670</v>
      </c>
      <c r="N148" s="598">
        <f>F148+204</f>
        <v>634</v>
      </c>
      <c r="O148" s="299">
        <f>+N148*$X$1</f>
        <v>634</v>
      </c>
      <c r="P148" s="598">
        <f>F148+170</f>
        <v>600</v>
      </c>
      <c r="Q148" s="299">
        <f t="shared" ref="Q148" si="284">+P148*$X$1</f>
        <v>600</v>
      </c>
      <c r="R148" s="598">
        <f>F148+150</f>
        <v>580</v>
      </c>
      <c r="S148" s="299">
        <f>+R148*$X$1</f>
        <v>580</v>
      </c>
      <c r="T148" s="598">
        <f>F148+135</f>
        <v>565</v>
      </c>
      <c r="U148" s="299">
        <f t="shared" ref="U148" si="285">+T148*$X$1</f>
        <v>565</v>
      </c>
      <c r="V148" s="598">
        <f>F148+120</f>
        <v>550</v>
      </c>
      <c r="W148" s="299">
        <f>+V148*$X$1</f>
        <v>550</v>
      </c>
      <c r="X148" s="155"/>
      <c r="Y148" s="155"/>
      <c r="Z148" s="155"/>
      <c r="AA148" s="155"/>
      <c r="AB148" s="200">
        <v>347</v>
      </c>
    </row>
    <row r="149" spans="1:34" ht="12.6" customHeight="1" x14ac:dyDescent="0.2">
      <c r="A149" s="20"/>
      <c r="B149" s="685" t="s">
        <v>659</v>
      </c>
      <c r="C149" s="686"/>
      <c r="D149" s="686"/>
      <c r="E149" s="686"/>
      <c r="F149" s="312"/>
      <c r="G149" s="596"/>
      <c r="H149" s="514"/>
      <c r="I149" s="514"/>
      <c r="J149" s="514"/>
      <c r="K149" s="514"/>
      <c r="L149" s="269"/>
      <c r="M149" s="269"/>
      <c r="N149" s="295"/>
      <c r="O149" s="514"/>
      <c r="P149" s="269"/>
      <c r="Q149" s="269"/>
      <c r="R149" s="514"/>
      <c r="S149" s="514"/>
      <c r="T149" s="514"/>
      <c r="U149" s="95"/>
      <c r="V149" s="514"/>
      <c r="W149" s="95"/>
      <c r="X149" s="155"/>
      <c r="Y149" s="155"/>
      <c r="Z149" s="155"/>
      <c r="AA149" s="155"/>
      <c r="AB149" s="200">
        <v>348</v>
      </c>
    </row>
    <row r="150" spans="1:34" ht="12.6" customHeight="1" x14ac:dyDescent="0.2">
      <c r="A150" s="20"/>
      <c r="B150" s="663" t="s">
        <v>182</v>
      </c>
      <c r="C150" s="693"/>
      <c r="D150" s="693"/>
      <c r="E150" s="693"/>
      <c r="F150" s="313"/>
      <c r="G150" s="597"/>
      <c r="H150" s="598"/>
      <c r="I150" s="598"/>
      <c r="J150" s="598"/>
      <c r="K150" s="598"/>
      <c r="L150" s="272"/>
      <c r="M150" s="272"/>
      <c r="N150" s="288"/>
      <c r="O150" s="598"/>
      <c r="P150" s="272"/>
      <c r="Q150" s="272"/>
      <c r="R150" s="598"/>
      <c r="S150" s="598"/>
      <c r="T150" s="598"/>
      <c r="U150" s="97"/>
      <c r="V150" s="598"/>
      <c r="W150" s="97"/>
      <c r="X150" s="155"/>
      <c r="Y150" s="155"/>
      <c r="Z150" s="155"/>
      <c r="AA150" s="155"/>
      <c r="AB150" s="200">
        <v>349</v>
      </c>
    </row>
    <row r="151" spans="1:34" ht="12.6" customHeight="1" x14ac:dyDescent="0.2">
      <c r="A151" s="20"/>
      <c r="B151" s="685" t="s">
        <v>183</v>
      </c>
      <c r="C151" s="686"/>
      <c r="D151" s="686"/>
      <c r="E151" s="686"/>
      <c r="F151" s="312"/>
      <c r="G151" s="596"/>
      <c r="H151" s="514"/>
      <c r="I151" s="514"/>
      <c r="J151" s="514"/>
      <c r="K151" s="514"/>
      <c r="L151" s="269"/>
      <c r="M151" s="269"/>
      <c r="N151" s="295"/>
      <c r="O151" s="514"/>
      <c r="P151" s="269"/>
      <c r="Q151" s="269"/>
      <c r="R151" s="514"/>
      <c r="S151" s="514"/>
      <c r="T151" s="514"/>
      <c r="U151" s="95"/>
      <c r="V151" s="514"/>
      <c r="W151" s="95"/>
      <c r="X151" s="155"/>
      <c r="Y151" s="155"/>
      <c r="Z151" s="155"/>
      <c r="AA151" s="155"/>
      <c r="AB151" s="200">
        <v>350</v>
      </c>
    </row>
    <row r="152" spans="1:34" ht="12.6" customHeight="1" x14ac:dyDescent="0.2">
      <c r="A152" s="20"/>
      <c r="B152" s="663" t="s">
        <v>184</v>
      </c>
      <c r="C152" s="693"/>
      <c r="D152" s="693"/>
      <c r="E152" s="693"/>
      <c r="F152" s="313"/>
      <c r="G152" s="597"/>
      <c r="H152" s="598"/>
      <c r="I152" s="598"/>
      <c r="J152" s="598"/>
      <c r="K152" s="598"/>
      <c r="L152" s="272"/>
      <c r="M152" s="272"/>
      <c r="N152" s="288"/>
      <c r="O152" s="598"/>
      <c r="P152" s="272"/>
      <c r="Q152" s="272"/>
      <c r="R152" s="598"/>
      <c r="S152" s="598"/>
      <c r="T152" s="598"/>
      <c r="U152" s="97"/>
      <c r="V152" s="598"/>
      <c r="W152" s="97"/>
      <c r="X152" s="155"/>
      <c r="Y152" s="155"/>
      <c r="Z152" s="155"/>
      <c r="AA152" s="155"/>
      <c r="AB152" s="200">
        <v>351</v>
      </c>
    </row>
    <row r="153" spans="1:34" ht="12.6" customHeight="1" x14ac:dyDescent="0.2">
      <c r="A153" s="20"/>
      <c r="B153" s="685" t="s">
        <v>185</v>
      </c>
      <c r="C153" s="686"/>
      <c r="D153" s="686"/>
      <c r="E153" s="686"/>
      <c r="F153" s="312"/>
      <c r="G153" s="596"/>
      <c r="H153" s="514"/>
      <c r="I153" s="514"/>
      <c r="J153" s="514"/>
      <c r="K153" s="514"/>
      <c r="L153" s="269"/>
      <c r="M153" s="269"/>
      <c r="N153" s="103"/>
      <c r="O153" s="514"/>
      <c r="P153" s="269"/>
      <c r="Q153" s="269"/>
      <c r="R153" s="514"/>
      <c r="S153" s="514"/>
      <c r="T153" s="103"/>
      <c r="U153" s="613"/>
      <c r="V153" s="103"/>
      <c r="W153" s="613"/>
      <c r="X153" s="155"/>
      <c r="Y153" s="155"/>
      <c r="Z153" s="155"/>
      <c r="AA153" s="155"/>
      <c r="AB153" s="200">
        <v>352</v>
      </c>
    </row>
    <row r="154" spans="1:34" ht="12.6" customHeight="1" x14ac:dyDescent="0.2">
      <c r="A154" s="20"/>
      <c r="B154" s="673" t="s">
        <v>387</v>
      </c>
      <c r="C154" s="676"/>
      <c r="D154" s="676"/>
      <c r="E154" s="677"/>
      <c r="F154" s="413">
        <f>0.65*X2</f>
        <v>659.75</v>
      </c>
      <c r="G154" s="264">
        <f t="shared" ref="G154" si="286">+F154*$X$1</f>
        <v>659.75</v>
      </c>
      <c r="H154" s="599"/>
      <c r="I154" s="299"/>
      <c r="J154" s="598"/>
      <c r="K154" s="299"/>
      <c r="L154" s="624">
        <f>F154+120</f>
        <v>779.75</v>
      </c>
      <c r="M154" s="299">
        <f>+L154*$X$1</f>
        <v>779.75</v>
      </c>
      <c r="N154" s="624">
        <f>F154+63</f>
        <v>722.75</v>
      </c>
      <c r="O154" s="299">
        <f>+N154*$X$1</f>
        <v>722.75</v>
      </c>
      <c r="P154" s="624">
        <f>F154+54</f>
        <v>713.75</v>
      </c>
      <c r="Q154" s="299">
        <f>+P154*$X$1</f>
        <v>713.75</v>
      </c>
      <c r="R154" s="624">
        <f>F154+45</f>
        <v>704.75</v>
      </c>
      <c r="S154" s="299">
        <f>+R154*$X$1</f>
        <v>704.75</v>
      </c>
      <c r="T154" s="104">
        <f>F154+37</f>
        <v>696.75</v>
      </c>
      <c r="U154" s="264">
        <f>+T154*$X$1</f>
        <v>696.75</v>
      </c>
      <c r="V154" s="104">
        <f>F154+32</f>
        <v>691.75</v>
      </c>
      <c r="W154" s="264">
        <f>+V154*$X$1</f>
        <v>691.75</v>
      </c>
      <c r="X154" s="660"/>
      <c r="Y154" s="730"/>
      <c r="Z154" s="730"/>
      <c r="AA154" s="731"/>
      <c r="AB154" s="200">
        <v>370</v>
      </c>
    </row>
    <row r="155" spans="1:34" ht="12.75" customHeight="1" x14ac:dyDescent="0.2">
      <c r="A155" s="18"/>
      <c r="B155" s="3"/>
      <c r="C155" s="3"/>
      <c r="D155" s="3"/>
      <c r="E155" s="3"/>
      <c r="F155" s="132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8"/>
      <c r="B156" s="3"/>
      <c r="C156" s="3"/>
      <c r="D156" s="3"/>
      <c r="E156" s="66"/>
      <c r="F156" s="132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3"/>
      <c r="F157" s="100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8"/>
      <c r="B158" s="699" t="s">
        <v>11</v>
      </c>
      <c r="C158" s="840" t="s">
        <v>12</v>
      </c>
      <c r="D158" s="841"/>
      <c r="E158" s="841"/>
      <c r="F158" s="651" t="s">
        <v>13</v>
      </c>
      <c r="G158" s="651" t="s">
        <v>13</v>
      </c>
      <c r="H158" s="653" t="s">
        <v>844</v>
      </c>
      <c r="I158" s="653"/>
      <c r="J158" s="654"/>
      <c r="K158" s="654"/>
      <c r="L158" s="654"/>
      <c r="M158" s="654"/>
      <c r="N158" s="654"/>
      <c r="O158" s="654"/>
      <c r="P158" s="654"/>
      <c r="Q158" s="654"/>
      <c r="R158" s="654"/>
      <c r="S158" s="654"/>
      <c r="T158" s="654"/>
      <c r="U158" s="654"/>
      <c r="V158" s="654"/>
      <c r="W158" s="654"/>
      <c r="X158" s="637" t="s">
        <v>14</v>
      </c>
      <c r="Y158" s="638"/>
      <c r="Z158" s="638"/>
      <c r="AA158" s="639"/>
      <c r="AB158" s="643" t="s">
        <v>15</v>
      </c>
      <c r="AF158" s="625" t="s">
        <v>3</v>
      </c>
      <c r="AG158" s="626"/>
      <c r="AH158" s="626"/>
    </row>
    <row r="159" spans="1:34" ht="12.6" customHeight="1" x14ac:dyDescent="0.2">
      <c r="A159" s="18"/>
      <c r="B159" s="699"/>
      <c r="C159" s="841"/>
      <c r="D159" s="841"/>
      <c r="E159" s="841"/>
      <c r="F159" s="652"/>
      <c r="G159" s="652"/>
      <c r="H159" s="533"/>
      <c r="I159" s="531" t="s">
        <v>297</v>
      </c>
      <c r="J159" s="533"/>
      <c r="K159" s="531" t="s">
        <v>17</v>
      </c>
      <c r="L159" s="534"/>
      <c r="M159" s="534" t="s">
        <v>18</v>
      </c>
      <c r="N159" s="534"/>
      <c r="O159" s="531" t="s">
        <v>19</v>
      </c>
      <c r="P159" s="534"/>
      <c r="Q159" s="534" t="s">
        <v>299</v>
      </c>
      <c r="R159" s="534"/>
      <c r="S159" s="534" t="s">
        <v>20</v>
      </c>
      <c r="T159" s="534"/>
      <c r="U159" s="534" t="s">
        <v>21</v>
      </c>
      <c r="V159" s="534"/>
      <c r="W159" s="534" t="s">
        <v>22</v>
      </c>
      <c r="X159" s="640"/>
      <c r="Y159" s="641"/>
      <c r="Z159" s="641"/>
      <c r="AA159" s="642"/>
      <c r="AB159" s="644"/>
      <c r="AG159" s="33"/>
    </row>
    <row r="160" spans="1:34" ht="12.6" customHeight="1" x14ac:dyDescent="0.2">
      <c r="A160" s="20"/>
      <c r="B160" s="727" t="s">
        <v>568</v>
      </c>
      <c r="C160" s="728"/>
      <c r="D160" s="728"/>
      <c r="E160" s="729"/>
      <c r="F160" s="322">
        <v>1033</v>
      </c>
      <c r="G160" s="264">
        <f t="shared" ref="G160" si="287">+F160*$X$1</f>
        <v>1033</v>
      </c>
      <c r="H160" s="599"/>
      <c r="I160" s="299"/>
      <c r="J160" s="624"/>
      <c r="K160" s="299"/>
      <c r="L160" s="624">
        <f>F160+120</f>
        <v>1153</v>
      </c>
      <c r="M160" s="299">
        <f>+L160*$X$1</f>
        <v>1153</v>
      </c>
      <c r="N160" s="624">
        <f>F160+63</f>
        <v>1096</v>
      </c>
      <c r="O160" s="299">
        <f>+N160*$X$1</f>
        <v>1096</v>
      </c>
      <c r="P160" s="624">
        <f>F160+54</f>
        <v>1087</v>
      </c>
      <c r="Q160" s="299">
        <f>+P160*$X$1</f>
        <v>1087</v>
      </c>
      <c r="R160" s="624">
        <f>F160+45</f>
        <v>1078</v>
      </c>
      <c r="S160" s="299">
        <f>+R160*$X$1</f>
        <v>1078</v>
      </c>
      <c r="T160" s="104">
        <f>F160+37</f>
        <v>1070</v>
      </c>
      <c r="U160" s="264">
        <f>+T160*$X$1</f>
        <v>1070</v>
      </c>
      <c r="V160" s="104">
        <f>F160+32</f>
        <v>1065</v>
      </c>
      <c r="W160" s="264">
        <f>+V160*$X$1</f>
        <v>1065</v>
      </c>
      <c r="X160" s="660"/>
      <c r="Y160" s="730"/>
      <c r="Z160" s="730"/>
      <c r="AA160" s="731"/>
      <c r="AB160" s="437">
        <v>373</v>
      </c>
    </row>
    <row r="161" spans="1:28" ht="12.6" customHeight="1" x14ac:dyDescent="0.2">
      <c r="A161" s="20"/>
      <c r="B161" s="670" t="s">
        <v>186</v>
      </c>
      <c r="C161" s="679"/>
      <c r="D161" s="679"/>
      <c r="E161" s="680"/>
      <c r="F161" s="408">
        <f>1.352*X2</f>
        <v>1372.2800000000002</v>
      </c>
      <c r="G161" s="321">
        <f>+F161*$X$1</f>
        <v>1372.2800000000002</v>
      </c>
      <c r="H161" s="514"/>
      <c r="I161" s="300"/>
      <c r="J161" s="514">
        <f>F161+180</f>
        <v>1552.2800000000002</v>
      </c>
      <c r="K161" s="300">
        <f t="shared" ref="K161" si="288">+J161*$X$1</f>
        <v>1552.2800000000002</v>
      </c>
      <c r="L161" s="514">
        <f>F161+120</f>
        <v>1492.2800000000002</v>
      </c>
      <c r="M161" s="300">
        <f>+L161*$X$1</f>
        <v>1492.2800000000002</v>
      </c>
      <c r="N161" s="514">
        <f>F161+63</f>
        <v>1435.2800000000002</v>
      </c>
      <c r="O161" s="300">
        <f>+N161*$X$1</f>
        <v>1435.2800000000002</v>
      </c>
      <c r="P161" s="514">
        <f>F161+54</f>
        <v>1426.2800000000002</v>
      </c>
      <c r="Q161" s="300">
        <f>+P161*$X$1</f>
        <v>1426.2800000000002</v>
      </c>
      <c r="R161" s="514">
        <f>F161+45</f>
        <v>1417.2800000000002</v>
      </c>
      <c r="S161" s="300">
        <f>+R161*$X$1</f>
        <v>1417.2800000000002</v>
      </c>
      <c r="T161" s="103">
        <f>F161+37</f>
        <v>1409.2800000000002</v>
      </c>
      <c r="U161" s="321">
        <f>+T161*$X$1</f>
        <v>1409.2800000000002</v>
      </c>
      <c r="V161" s="103">
        <f>F161+32</f>
        <v>1404.2800000000002</v>
      </c>
      <c r="W161" s="321">
        <f>+V161*$X$1</f>
        <v>1404.2800000000002</v>
      </c>
      <c r="X161" s="660"/>
      <c r="Y161" s="730"/>
      <c r="Z161" s="730"/>
      <c r="AA161" s="731"/>
      <c r="AB161" s="200">
        <v>375</v>
      </c>
    </row>
    <row r="162" spans="1:28" ht="12.6" customHeight="1" x14ac:dyDescent="0.2">
      <c r="A162" s="20"/>
      <c r="B162" s="673" t="s">
        <v>187</v>
      </c>
      <c r="C162" s="676"/>
      <c r="D162" s="676"/>
      <c r="E162" s="677"/>
      <c r="F162" s="407">
        <f>4.65*X2</f>
        <v>4719.75</v>
      </c>
      <c r="G162" s="264">
        <f>+F162*$X$1</f>
        <v>4719.75</v>
      </c>
      <c r="H162" s="624">
        <f>F162+400</f>
        <v>5119.75</v>
      </c>
      <c r="I162" s="299">
        <f t="shared" ref="I162" si="289">+H162*$X$1</f>
        <v>5119.75</v>
      </c>
      <c r="J162" s="624">
        <f>F162+150</f>
        <v>4869.75</v>
      </c>
      <c r="K162" s="299">
        <f t="shared" ref="K162:K165" si="290">+J162*$X$1</f>
        <v>4869.75</v>
      </c>
      <c r="L162" s="624">
        <f>F162+120</f>
        <v>4839.75</v>
      </c>
      <c r="M162" s="299">
        <f t="shared" ref="M162" si="291">+L162*$X$1</f>
        <v>4839.75</v>
      </c>
      <c r="N162" s="624">
        <f>F162+60</f>
        <v>4779.75</v>
      </c>
      <c r="O162" s="299">
        <f>+N162*$X$1</f>
        <v>4779.75</v>
      </c>
      <c r="P162" s="624">
        <f>F162+54</f>
        <v>4773.75</v>
      </c>
      <c r="Q162" s="299">
        <f t="shared" ref="Q162" si="292">+P162*$X$1</f>
        <v>4773.75</v>
      </c>
      <c r="R162" s="624">
        <f>F162+47</f>
        <v>4766.75</v>
      </c>
      <c r="S162" s="299">
        <f>+R162*$X$1</f>
        <v>4766.75</v>
      </c>
      <c r="T162" s="624">
        <f>F162+39</f>
        <v>4758.75</v>
      </c>
      <c r="U162" s="299">
        <f>+T162*$X$1</f>
        <v>4758.75</v>
      </c>
      <c r="V162" s="624">
        <f>F162+34</f>
        <v>4753.75</v>
      </c>
      <c r="W162" s="299">
        <f>+V162*$X$1</f>
        <v>4753.75</v>
      </c>
      <c r="X162" s="665"/>
      <c r="Y162" s="666"/>
      <c r="Z162" s="666"/>
      <c r="AA162" s="667"/>
      <c r="AB162" s="200">
        <v>376</v>
      </c>
    </row>
    <row r="163" spans="1:28" ht="12.6" customHeight="1" x14ac:dyDescent="0.2">
      <c r="A163" s="20"/>
      <c r="B163" s="670" t="s">
        <v>188</v>
      </c>
      <c r="C163" s="679"/>
      <c r="D163" s="679"/>
      <c r="E163" s="680"/>
      <c r="F163" s="408">
        <f>3.54*X2</f>
        <v>3593.1</v>
      </c>
      <c r="G163" s="321">
        <f t="shared" ref="G163:G164" si="293">+F163*$X$1</f>
        <v>3593.1</v>
      </c>
      <c r="H163" s="298"/>
      <c r="I163" s="365"/>
      <c r="J163" s="514">
        <f>F163+180</f>
        <v>3773.1</v>
      </c>
      <c r="K163" s="300">
        <f t="shared" si="290"/>
        <v>3773.1</v>
      </c>
      <c r="L163" s="514">
        <f>F163+120</f>
        <v>3713.1</v>
      </c>
      <c r="M163" s="300">
        <f>+L163*$X$1</f>
        <v>3713.1</v>
      </c>
      <c r="N163" s="514">
        <f>F163+63</f>
        <v>3656.1</v>
      </c>
      <c r="O163" s="300">
        <f>+N163*$X$1</f>
        <v>3656.1</v>
      </c>
      <c r="P163" s="514">
        <f>F163+54</f>
        <v>3647.1</v>
      </c>
      <c r="Q163" s="300">
        <f>+P163*$X$1</f>
        <v>3647.1</v>
      </c>
      <c r="R163" s="514"/>
      <c r="S163" s="300"/>
      <c r="T163" s="103"/>
      <c r="U163" s="321"/>
      <c r="V163" s="103"/>
      <c r="W163" s="321"/>
      <c r="X163" s="660"/>
      <c r="Y163" s="730"/>
      <c r="Z163" s="730"/>
      <c r="AA163" s="731"/>
      <c r="AB163" s="200">
        <v>379</v>
      </c>
    </row>
    <row r="164" spans="1:28" ht="12.6" customHeight="1" x14ac:dyDescent="0.2">
      <c r="A164" s="107"/>
      <c r="B164" s="673" t="s">
        <v>409</v>
      </c>
      <c r="C164" s="676"/>
      <c r="D164" s="676"/>
      <c r="E164" s="677"/>
      <c r="F164" s="407">
        <f>1.862*X2</f>
        <v>1889.93</v>
      </c>
      <c r="G164" s="264">
        <f t="shared" si="293"/>
        <v>1889.93</v>
      </c>
      <c r="H164" s="624">
        <f>F164+420</f>
        <v>2309.9300000000003</v>
      </c>
      <c r="I164" s="299">
        <f>+H164*$X$1</f>
        <v>2309.9300000000003</v>
      </c>
      <c r="J164" s="624">
        <f>F164+180</f>
        <v>2069.9300000000003</v>
      </c>
      <c r="K164" s="299">
        <f t="shared" si="290"/>
        <v>2069.9300000000003</v>
      </c>
      <c r="L164" s="624">
        <f>F164+120</f>
        <v>2009.93</v>
      </c>
      <c r="M164" s="299">
        <f>+L164*$X$1</f>
        <v>2009.93</v>
      </c>
      <c r="N164" s="624">
        <f>F164+63</f>
        <v>1952.93</v>
      </c>
      <c r="O164" s="299">
        <f>+N164*$X$1</f>
        <v>1952.93</v>
      </c>
      <c r="P164" s="624">
        <f>F164+54</f>
        <v>1943.93</v>
      </c>
      <c r="Q164" s="299">
        <f>+P164*$X$1</f>
        <v>1943.93</v>
      </c>
      <c r="R164" s="624">
        <f>F164+45</f>
        <v>1934.93</v>
      </c>
      <c r="S164" s="299">
        <f>+R164*$X$1</f>
        <v>1934.93</v>
      </c>
      <c r="T164" s="104">
        <f>F164+37</f>
        <v>1926.93</v>
      </c>
      <c r="U164" s="264">
        <f>+T164*$X$1</f>
        <v>1926.93</v>
      </c>
      <c r="V164" s="104">
        <f>F164+32</f>
        <v>1921.93</v>
      </c>
      <c r="W164" s="264">
        <f>+V164*$X$1</f>
        <v>1921.93</v>
      </c>
      <c r="X164" s="660"/>
      <c r="Y164" s="730"/>
      <c r="Z164" s="730"/>
      <c r="AA164" s="731"/>
      <c r="AB164" s="200">
        <v>382</v>
      </c>
    </row>
    <row r="165" spans="1:28" ht="12.6" customHeight="1" x14ac:dyDescent="0.2">
      <c r="A165" s="20"/>
      <c r="B165" s="670" t="s">
        <v>591</v>
      </c>
      <c r="C165" s="679"/>
      <c r="D165" s="679"/>
      <c r="E165" s="680"/>
      <c r="F165" s="408">
        <f>17.7*X2</f>
        <v>17965.5</v>
      </c>
      <c r="G165" s="321">
        <f t="shared" ref="G165" si="294">+F165*$X$1</f>
        <v>17965.5</v>
      </c>
      <c r="H165" s="514">
        <f>F165+420</f>
        <v>18385.5</v>
      </c>
      <c r="I165" s="300">
        <f>+H165*$X$1</f>
        <v>18385.5</v>
      </c>
      <c r="J165" s="514">
        <f>F165+180</f>
        <v>18145.5</v>
      </c>
      <c r="K165" s="300">
        <f t="shared" si="290"/>
        <v>18145.5</v>
      </c>
      <c r="L165" s="514">
        <f>F165+120</f>
        <v>18085.5</v>
      </c>
      <c r="M165" s="300">
        <f>+L165*$X$1</f>
        <v>18085.5</v>
      </c>
      <c r="N165" s="514">
        <f>F165+63</f>
        <v>18028.5</v>
      </c>
      <c r="O165" s="300">
        <f>+N165*$X$1</f>
        <v>18028.5</v>
      </c>
      <c r="P165" s="514">
        <f>F165+54</f>
        <v>18019.5</v>
      </c>
      <c r="Q165" s="300">
        <f>+P165*$X$1</f>
        <v>18019.5</v>
      </c>
      <c r="R165" s="514">
        <f>F165+45</f>
        <v>18010.5</v>
      </c>
      <c r="S165" s="300">
        <f>+R165*$X$1</f>
        <v>18010.5</v>
      </c>
      <c r="T165" s="103">
        <f>F165+37</f>
        <v>18002.5</v>
      </c>
      <c r="U165" s="321">
        <f>+T165*$X$1</f>
        <v>18002.5</v>
      </c>
      <c r="V165" s="103">
        <f>F165+32</f>
        <v>17997.5</v>
      </c>
      <c r="W165" s="321">
        <f>+V165*$X$1</f>
        <v>17997.5</v>
      </c>
      <c r="X165" s="660"/>
      <c r="Y165" s="730"/>
      <c r="Z165" s="730"/>
      <c r="AA165" s="731"/>
      <c r="AB165" s="200">
        <v>395</v>
      </c>
    </row>
    <row r="166" spans="1:28" ht="12.6" customHeight="1" x14ac:dyDescent="0.2">
      <c r="A166" s="20"/>
      <c r="B166" s="673" t="s">
        <v>592</v>
      </c>
      <c r="C166" s="676"/>
      <c r="D166" s="676"/>
      <c r="E166" s="677"/>
      <c r="F166" s="407">
        <f>20.9*X2</f>
        <v>21213.5</v>
      </c>
      <c r="G166" s="264">
        <f t="shared" ref="G166" si="295">+F166*$X$1</f>
        <v>21213.5</v>
      </c>
      <c r="H166" s="624">
        <f>F166+400</f>
        <v>21613.5</v>
      </c>
      <c r="I166" s="299">
        <f t="shared" ref="I166:I168" si="296">+H166*$X$1</f>
        <v>21613.5</v>
      </c>
      <c r="J166" s="624">
        <f>F166+150</f>
        <v>21363.5</v>
      </c>
      <c r="K166" s="299">
        <f t="shared" ref="K166:K168" si="297">+J166*$X$1</f>
        <v>21363.5</v>
      </c>
      <c r="L166" s="624">
        <f>F166+120</f>
        <v>21333.5</v>
      </c>
      <c r="M166" s="299">
        <f t="shared" ref="M166:M168" si="298">+L166*$X$1</f>
        <v>21333.5</v>
      </c>
      <c r="N166" s="624">
        <f>F166+60</f>
        <v>21273.5</v>
      </c>
      <c r="O166" s="299">
        <f>+N166*$X$1</f>
        <v>21273.5</v>
      </c>
      <c r="P166" s="624">
        <f>F166+54</f>
        <v>21267.5</v>
      </c>
      <c r="Q166" s="299">
        <f t="shared" ref="Q166:Q168" si="299">+P166*$X$1</f>
        <v>21267.5</v>
      </c>
      <c r="R166" s="624">
        <f>F166+47</f>
        <v>21260.5</v>
      </c>
      <c r="S166" s="299">
        <f>+R166*$X$1</f>
        <v>21260.5</v>
      </c>
      <c r="T166" s="624">
        <f>F166+39</f>
        <v>21252.5</v>
      </c>
      <c r="U166" s="299">
        <f>+T166*$X$1</f>
        <v>21252.5</v>
      </c>
      <c r="V166" s="624">
        <f>F166+34</f>
        <v>21247.5</v>
      </c>
      <c r="W166" s="299">
        <f>+V166*$X$1</f>
        <v>21247.5</v>
      </c>
      <c r="X166" s="660"/>
      <c r="Y166" s="730"/>
      <c r="Z166" s="730"/>
      <c r="AA166" s="731"/>
      <c r="AB166" s="200">
        <v>398</v>
      </c>
    </row>
    <row r="167" spans="1:28" ht="12.6" customHeight="1" x14ac:dyDescent="0.2">
      <c r="A167" s="20"/>
      <c r="B167" s="691" t="s">
        <v>630</v>
      </c>
      <c r="C167" s="692"/>
      <c r="D167" s="692"/>
      <c r="E167" s="692"/>
      <c r="F167" s="408">
        <f>13.317*X2</f>
        <v>13516.755000000001</v>
      </c>
      <c r="G167" s="321">
        <f t="shared" ref="G167" si="300">+F167*$X$1</f>
        <v>13516.755000000001</v>
      </c>
      <c r="H167" s="514">
        <f>F167+400</f>
        <v>13916.755000000001</v>
      </c>
      <c r="I167" s="300">
        <f t="shared" si="296"/>
        <v>13916.755000000001</v>
      </c>
      <c r="J167" s="514">
        <f>F167+150</f>
        <v>13666.755000000001</v>
      </c>
      <c r="K167" s="300">
        <f t="shared" si="297"/>
        <v>13666.755000000001</v>
      </c>
      <c r="L167" s="514">
        <f>F167+120</f>
        <v>13636.755000000001</v>
      </c>
      <c r="M167" s="300">
        <f t="shared" si="298"/>
        <v>13636.755000000001</v>
      </c>
      <c r="N167" s="514">
        <f>F167+60</f>
        <v>13576.755000000001</v>
      </c>
      <c r="O167" s="300">
        <f>+N167*$X$1</f>
        <v>13576.755000000001</v>
      </c>
      <c r="P167" s="514">
        <f>F167+54</f>
        <v>13570.755000000001</v>
      </c>
      <c r="Q167" s="300">
        <f t="shared" si="299"/>
        <v>13570.755000000001</v>
      </c>
      <c r="R167" s="514">
        <f>F167+47</f>
        <v>13563.755000000001</v>
      </c>
      <c r="S167" s="300">
        <f>+R167*$X$1</f>
        <v>13563.755000000001</v>
      </c>
      <c r="T167" s="514">
        <f>F167+39</f>
        <v>13555.755000000001</v>
      </c>
      <c r="U167" s="300">
        <f>+T167*$X$1</f>
        <v>13555.755000000001</v>
      </c>
      <c r="V167" s="514">
        <f>F167+34</f>
        <v>13550.755000000001</v>
      </c>
      <c r="W167" s="300">
        <f>+V167*$X$1</f>
        <v>13550.755000000001</v>
      </c>
      <c r="X167" s="681"/>
      <c r="Y167" s="666"/>
      <c r="Z167" s="666"/>
      <c r="AA167" s="667"/>
      <c r="AB167" s="200" t="s">
        <v>631</v>
      </c>
    </row>
    <row r="168" spans="1:28" ht="12.6" customHeight="1" x14ac:dyDescent="0.2">
      <c r="A168" s="20"/>
      <c r="B168" s="967" t="s">
        <v>639</v>
      </c>
      <c r="C168" s="968"/>
      <c r="D168" s="968"/>
      <c r="E168" s="968"/>
      <c r="F168" s="407">
        <f>17.78*X2</f>
        <v>18046.7</v>
      </c>
      <c r="G168" s="264">
        <f t="shared" ref="G168" si="301">+F168*$X$1</f>
        <v>18046.7</v>
      </c>
      <c r="H168" s="624">
        <f>F168+400</f>
        <v>18446.7</v>
      </c>
      <c r="I168" s="299">
        <f t="shared" si="296"/>
        <v>18446.7</v>
      </c>
      <c r="J168" s="624">
        <f>F168+150</f>
        <v>18196.7</v>
      </c>
      <c r="K168" s="299">
        <f t="shared" si="297"/>
        <v>18196.7</v>
      </c>
      <c r="L168" s="624">
        <f>F168+120</f>
        <v>18166.7</v>
      </c>
      <c r="M168" s="299">
        <f t="shared" si="298"/>
        <v>18166.7</v>
      </c>
      <c r="N168" s="624">
        <f>F168+60</f>
        <v>18106.7</v>
      </c>
      <c r="O168" s="299">
        <f>+N168*$X$1</f>
        <v>18106.7</v>
      </c>
      <c r="P168" s="624">
        <f>F168+54</f>
        <v>18100.7</v>
      </c>
      <c r="Q168" s="299">
        <f t="shared" si="299"/>
        <v>18100.7</v>
      </c>
      <c r="R168" s="624">
        <f>F168+47</f>
        <v>18093.7</v>
      </c>
      <c r="S168" s="299">
        <f>+R168*$X$1</f>
        <v>18093.7</v>
      </c>
      <c r="T168" s="624">
        <f>F168+39</f>
        <v>18085.7</v>
      </c>
      <c r="U168" s="299">
        <f>+T168*$X$1</f>
        <v>18085.7</v>
      </c>
      <c r="V168" s="624">
        <f>F168+34</f>
        <v>18080.7</v>
      </c>
      <c r="W168" s="299">
        <f>+V168*$X$1</f>
        <v>18080.7</v>
      </c>
      <c r="X168" s="186"/>
      <c r="Y168" s="188"/>
      <c r="Z168" s="188"/>
      <c r="AA168" s="186"/>
      <c r="AB168" s="200" t="s">
        <v>638</v>
      </c>
    </row>
    <row r="169" spans="1:28" ht="12.6" customHeight="1" x14ac:dyDescent="0.2">
      <c r="A169" s="20"/>
      <c r="B169" s="691" t="s">
        <v>633</v>
      </c>
      <c r="C169" s="692"/>
      <c r="D169" s="692"/>
      <c r="E169" s="692"/>
      <c r="F169" s="408">
        <f>12.84*X2</f>
        <v>13032.6</v>
      </c>
      <c r="G169" s="321">
        <f t="shared" ref="G169" si="302">+F169*$X$1</f>
        <v>13032.6</v>
      </c>
      <c r="H169" s="514">
        <f>F169+420</f>
        <v>13452.6</v>
      </c>
      <c r="I169" s="300">
        <f>+H169*$X$1</f>
        <v>13452.6</v>
      </c>
      <c r="J169" s="514">
        <f>F169+180</f>
        <v>13212.6</v>
      </c>
      <c r="K169" s="300">
        <f t="shared" ref="K169" si="303">+J169*$X$1</f>
        <v>13212.6</v>
      </c>
      <c r="L169" s="514">
        <f>F169+120</f>
        <v>13152.6</v>
      </c>
      <c r="M169" s="300">
        <f>+L169*$X$1</f>
        <v>13152.6</v>
      </c>
      <c r="N169" s="514">
        <f>F169+63</f>
        <v>13095.6</v>
      </c>
      <c r="O169" s="300">
        <f>+N169*$X$1</f>
        <v>13095.6</v>
      </c>
      <c r="P169" s="514">
        <f>F169+54</f>
        <v>13086.6</v>
      </c>
      <c r="Q169" s="300">
        <f>+P169*$X$1</f>
        <v>13086.6</v>
      </c>
      <c r="R169" s="514">
        <f>F169+45</f>
        <v>13077.6</v>
      </c>
      <c r="S169" s="300">
        <f>+R169*$X$1</f>
        <v>13077.6</v>
      </c>
      <c r="T169" s="103">
        <f>F169+37</f>
        <v>13069.6</v>
      </c>
      <c r="U169" s="321">
        <f>+T169*$X$1</f>
        <v>13069.6</v>
      </c>
      <c r="V169" s="103"/>
      <c r="W169" s="321"/>
      <c r="X169" s="660"/>
      <c r="Y169" s="730"/>
      <c r="Z169" s="730"/>
      <c r="AA169" s="731"/>
      <c r="AB169" s="200" t="s">
        <v>632</v>
      </c>
    </row>
    <row r="170" spans="1:28" ht="12.6" customHeight="1" x14ac:dyDescent="0.2">
      <c r="A170" s="20"/>
      <c r="B170" s="967" t="s">
        <v>362</v>
      </c>
      <c r="C170" s="968"/>
      <c r="D170" s="968"/>
      <c r="E170" s="968"/>
      <c r="F170" s="407">
        <f>15.93*X2</f>
        <v>16168.949999999999</v>
      </c>
      <c r="G170" s="264">
        <f t="shared" ref="G170:G171" si="304">+F170*$X$1</f>
        <v>16168.949999999999</v>
      </c>
      <c r="H170" s="624"/>
      <c r="I170" s="299"/>
      <c r="J170" s="624">
        <f>F170+180</f>
        <v>16348.949999999999</v>
      </c>
      <c r="K170" s="299">
        <f t="shared" ref="K170:K172" si="305">+J170*$X$1</f>
        <v>16348.949999999999</v>
      </c>
      <c r="L170" s="624">
        <f>F170+120</f>
        <v>16288.949999999999</v>
      </c>
      <c r="M170" s="299">
        <f>+L170*$X$1</f>
        <v>16288.949999999999</v>
      </c>
      <c r="N170" s="624">
        <f>F170+63</f>
        <v>16231.949999999999</v>
      </c>
      <c r="O170" s="299">
        <f>+N170*$X$1</f>
        <v>16231.949999999999</v>
      </c>
      <c r="P170" s="624">
        <f>F170+54</f>
        <v>16222.949999999999</v>
      </c>
      <c r="Q170" s="299">
        <f>+P170*$X$1</f>
        <v>16222.949999999999</v>
      </c>
      <c r="R170" s="624">
        <f>F170+45</f>
        <v>16213.949999999999</v>
      </c>
      <c r="S170" s="299">
        <f>+R170*$X$1</f>
        <v>16213.949999999999</v>
      </c>
      <c r="T170" s="104">
        <f>F170+37</f>
        <v>16205.949999999999</v>
      </c>
      <c r="U170" s="264">
        <f>+T170*$X$1</f>
        <v>16205.949999999999</v>
      </c>
      <c r="V170" s="72"/>
      <c r="W170" s="72"/>
      <c r="X170" s="660"/>
      <c r="Y170" s="730"/>
      <c r="Z170" s="730"/>
      <c r="AA170" s="731"/>
      <c r="AB170" s="200">
        <v>405</v>
      </c>
    </row>
    <row r="171" spans="1:28" ht="12.6" customHeight="1" x14ac:dyDescent="0.2">
      <c r="A171" s="20"/>
      <c r="B171" s="691" t="s">
        <v>637</v>
      </c>
      <c r="C171" s="692"/>
      <c r="D171" s="692"/>
      <c r="E171" s="692"/>
      <c r="F171" s="408">
        <f>15.6*X2</f>
        <v>15834</v>
      </c>
      <c r="G171" s="321">
        <f t="shared" si="304"/>
        <v>15834</v>
      </c>
      <c r="H171" s="514">
        <f>F171+400</f>
        <v>16234</v>
      </c>
      <c r="I171" s="300">
        <f t="shared" ref="I171:I172" si="306">+H171*$X$1</f>
        <v>16234</v>
      </c>
      <c r="J171" s="514">
        <f>F171+150</f>
        <v>15984</v>
      </c>
      <c r="K171" s="300">
        <f t="shared" si="305"/>
        <v>15984</v>
      </c>
      <c r="L171" s="514">
        <f>F171+120</f>
        <v>15954</v>
      </c>
      <c r="M171" s="300">
        <f t="shared" ref="M171:M172" si="307">+L171*$X$1</f>
        <v>15954</v>
      </c>
      <c r="N171" s="514">
        <f>F171+60</f>
        <v>15894</v>
      </c>
      <c r="O171" s="300">
        <f>+N171*$X$1</f>
        <v>15894</v>
      </c>
      <c r="P171" s="514">
        <f>F171+54</f>
        <v>15888</v>
      </c>
      <c r="Q171" s="300">
        <f t="shared" ref="Q171:Q172" si="308">+P171*$X$1</f>
        <v>15888</v>
      </c>
      <c r="R171" s="514">
        <f>F171+47</f>
        <v>15881</v>
      </c>
      <c r="S171" s="300">
        <f>+R171*$X$1</f>
        <v>15881</v>
      </c>
      <c r="T171" s="514">
        <f>F171+39</f>
        <v>15873</v>
      </c>
      <c r="U171" s="300">
        <f>+T171*$X$1</f>
        <v>15873</v>
      </c>
      <c r="V171" s="514">
        <f>F171+34</f>
        <v>15868</v>
      </c>
      <c r="W171" s="300">
        <f>+V171*$X$1</f>
        <v>15868</v>
      </c>
      <c r="X171" s="681"/>
      <c r="Y171" s="666"/>
      <c r="Z171" s="666"/>
      <c r="AA171" s="667"/>
      <c r="AB171" s="200" t="s">
        <v>636</v>
      </c>
    </row>
    <row r="172" spans="1:28" ht="12.6" customHeight="1" x14ac:dyDescent="0.2">
      <c r="A172" s="20"/>
      <c r="B172" s="663" t="s">
        <v>635</v>
      </c>
      <c r="C172" s="693"/>
      <c r="D172" s="693"/>
      <c r="E172" s="693"/>
      <c r="F172" s="407">
        <f>16.54*X2</f>
        <v>16788.099999999999</v>
      </c>
      <c r="G172" s="264">
        <f t="shared" ref="G172" si="309">+F172*$X$1</f>
        <v>16788.099999999999</v>
      </c>
      <c r="H172" s="624">
        <f>F172+400</f>
        <v>17188.099999999999</v>
      </c>
      <c r="I172" s="299">
        <f t="shared" si="306"/>
        <v>17188.099999999999</v>
      </c>
      <c r="J172" s="624">
        <f>F172+150</f>
        <v>16938.099999999999</v>
      </c>
      <c r="K172" s="299">
        <f t="shared" si="305"/>
        <v>16938.099999999999</v>
      </c>
      <c r="L172" s="624">
        <f>F172+120</f>
        <v>16908.099999999999</v>
      </c>
      <c r="M172" s="299">
        <f t="shared" si="307"/>
        <v>16908.099999999999</v>
      </c>
      <c r="N172" s="624">
        <f>F172+60</f>
        <v>16848.099999999999</v>
      </c>
      <c r="O172" s="299">
        <f>+N172*$X$1</f>
        <v>16848.099999999999</v>
      </c>
      <c r="P172" s="624">
        <f>F172+54</f>
        <v>16842.099999999999</v>
      </c>
      <c r="Q172" s="299">
        <f t="shared" si="308"/>
        <v>16842.099999999999</v>
      </c>
      <c r="R172" s="624">
        <f>F172+47</f>
        <v>16835.099999999999</v>
      </c>
      <c r="S172" s="299">
        <f>+R172*$X$1</f>
        <v>16835.099999999999</v>
      </c>
      <c r="T172" s="624">
        <f>F172+39</f>
        <v>16827.099999999999</v>
      </c>
      <c r="U172" s="299">
        <f>+T172*$X$1</f>
        <v>16827.099999999999</v>
      </c>
      <c r="V172" s="624">
        <f>F172+34</f>
        <v>16822.099999999999</v>
      </c>
      <c r="W172" s="299">
        <f>+V172*$X$1</f>
        <v>16822.099999999999</v>
      </c>
      <c r="X172" s="660"/>
      <c r="Y172" s="730"/>
      <c r="Z172" s="730"/>
      <c r="AA172" s="731"/>
      <c r="AB172" s="200" t="s">
        <v>634</v>
      </c>
    </row>
    <row r="173" spans="1:28" ht="12.6" customHeight="1" x14ac:dyDescent="0.2">
      <c r="A173" s="25"/>
      <c r="B173" s="687" t="s">
        <v>661</v>
      </c>
      <c r="C173" s="694"/>
      <c r="D173" s="694"/>
      <c r="E173" s="694"/>
      <c r="F173" s="336">
        <v>171</v>
      </c>
      <c r="G173" s="573"/>
      <c r="H173" s="393"/>
      <c r="I173" s="734" t="s">
        <v>602</v>
      </c>
      <c r="J173" s="735"/>
      <c r="K173" s="735"/>
      <c r="L173" s="735"/>
      <c r="M173" s="736"/>
      <c r="N173" s="514">
        <f>F173+154</f>
        <v>325</v>
      </c>
      <c r="O173" s="300">
        <f t="shared" ref="O173" si="310">+N173*$X$1</f>
        <v>325</v>
      </c>
      <c r="P173" s="514">
        <f>F173+137</f>
        <v>308</v>
      </c>
      <c r="Q173" s="300">
        <f t="shared" ref="Q173" si="311">+P173*$X$1</f>
        <v>308</v>
      </c>
      <c r="R173" s="514">
        <f>F173+127</f>
        <v>298</v>
      </c>
      <c r="S173" s="300">
        <f t="shared" ref="S173" si="312">+R173*$X$1</f>
        <v>298</v>
      </c>
      <c r="T173" s="514">
        <f>F173+105</f>
        <v>276</v>
      </c>
      <c r="U173" s="300">
        <f t="shared" ref="U173" si="313">+T173*$X$1</f>
        <v>276</v>
      </c>
      <c r="V173" s="514">
        <f>F173+94</f>
        <v>265</v>
      </c>
      <c r="W173" s="300">
        <f t="shared" ref="W173" si="314">+V173*$X$1</f>
        <v>265</v>
      </c>
      <c r="X173" s="165"/>
      <c r="Y173" s="155"/>
      <c r="Z173" s="155"/>
      <c r="AA173" s="155"/>
      <c r="AB173" s="200">
        <v>415</v>
      </c>
    </row>
    <row r="174" spans="1:28" ht="12.6" customHeight="1" x14ac:dyDescent="0.2">
      <c r="A174" s="25"/>
      <c r="B174" s="663" t="s">
        <v>548</v>
      </c>
      <c r="C174" s="693"/>
      <c r="D174" s="693"/>
      <c r="E174" s="693"/>
      <c r="F174" s="322">
        <v>191</v>
      </c>
      <c r="G174" s="512"/>
      <c r="H174" s="394"/>
      <c r="I174" s="737"/>
      <c r="J174" s="737"/>
      <c r="K174" s="737"/>
      <c r="L174" s="737"/>
      <c r="M174" s="738"/>
      <c r="N174" s="624">
        <f>F174+154</f>
        <v>345</v>
      </c>
      <c r="O174" s="299">
        <f t="shared" ref="O174:O176" si="315">+N174*$X$1</f>
        <v>345</v>
      </c>
      <c r="P174" s="624">
        <f>F174+137</f>
        <v>328</v>
      </c>
      <c r="Q174" s="299">
        <f t="shared" ref="Q174:Q176" si="316">+P174*$X$1</f>
        <v>328</v>
      </c>
      <c r="R174" s="624">
        <f>F174+127</f>
        <v>318</v>
      </c>
      <c r="S174" s="299">
        <f t="shared" ref="S174:S176" si="317">+R174*$X$1</f>
        <v>318</v>
      </c>
      <c r="T174" s="624">
        <f>F174+105</f>
        <v>296</v>
      </c>
      <c r="U174" s="299">
        <f t="shared" ref="U174:U176" si="318">+T174*$X$1</f>
        <v>296</v>
      </c>
      <c r="V174" s="624">
        <f>F174+94</f>
        <v>285</v>
      </c>
      <c r="W174" s="299">
        <f t="shared" ref="W174:W176" si="319">+V174*$X$1</f>
        <v>285</v>
      </c>
      <c r="X174" s="165"/>
      <c r="Y174" s="155"/>
      <c r="Z174" s="155"/>
      <c r="AA174" s="155"/>
      <c r="AB174" s="200">
        <v>416</v>
      </c>
    </row>
    <row r="175" spans="1:28" ht="12.6" customHeight="1" x14ac:dyDescent="0.2">
      <c r="A175" s="25"/>
      <c r="B175" s="685" t="s">
        <v>549</v>
      </c>
      <c r="C175" s="686"/>
      <c r="D175" s="686"/>
      <c r="E175" s="686"/>
      <c r="F175" s="336">
        <v>183</v>
      </c>
      <c r="G175" s="573"/>
      <c r="H175" s="394"/>
      <c r="I175" s="737"/>
      <c r="J175" s="737"/>
      <c r="K175" s="737"/>
      <c r="L175" s="737"/>
      <c r="M175" s="738"/>
      <c r="N175" s="514">
        <f>F175+154</f>
        <v>337</v>
      </c>
      <c r="O175" s="300">
        <f t="shared" si="315"/>
        <v>337</v>
      </c>
      <c r="P175" s="514">
        <f>F175+137</f>
        <v>320</v>
      </c>
      <c r="Q175" s="300">
        <f t="shared" si="316"/>
        <v>320</v>
      </c>
      <c r="R175" s="514">
        <f>F175+127</f>
        <v>310</v>
      </c>
      <c r="S175" s="300">
        <f t="shared" si="317"/>
        <v>310</v>
      </c>
      <c r="T175" s="514">
        <f>F175+105</f>
        <v>288</v>
      </c>
      <c r="U175" s="300">
        <f t="shared" si="318"/>
        <v>288</v>
      </c>
      <c r="V175" s="514">
        <f>F175+94</f>
        <v>277</v>
      </c>
      <c r="W175" s="300">
        <f t="shared" si="319"/>
        <v>277</v>
      </c>
      <c r="X175" s="165"/>
      <c r="Y175" s="155"/>
      <c r="Z175" s="155"/>
      <c r="AA175" s="155"/>
      <c r="AB175" s="200">
        <v>417</v>
      </c>
    </row>
    <row r="176" spans="1:28" ht="12.6" customHeight="1" x14ac:dyDescent="0.2">
      <c r="A176" s="25"/>
      <c r="B176" s="663" t="s">
        <v>550</v>
      </c>
      <c r="C176" s="693"/>
      <c r="D176" s="693"/>
      <c r="E176" s="693"/>
      <c r="F176" s="322">
        <v>183</v>
      </c>
      <c r="G176" s="571"/>
      <c r="H176" s="395"/>
      <c r="I176" s="739"/>
      <c r="J176" s="739"/>
      <c r="K176" s="739"/>
      <c r="L176" s="739"/>
      <c r="M176" s="740"/>
      <c r="N176" s="624">
        <f>F176+154</f>
        <v>337</v>
      </c>
      <c r="O176" s="299">
        <f t="shared" si="315"/>
        <v>337</v>
      </c>
      <c r="P176" s="624">
        <f>F176+137</f>
        <v>320</v>
      </c>
      <c r="Q176" s="299">
        <f t="shared" si="316"/>
        <v>320</v>
      </c>
      <c r="R176" s="624">
        <f>F176+127</f>
        <v>310</v>
      </c>
      <c r="S176" s="299">
        <f t="shared" si="317"/>
        <v>310</v>
      </c>
      <c r="T176" s="624">
        <f>F176+105</f>
        <v>288</v>
      </c>
      <c r="U176" s="299">
        <f t="shared" si="318"/>
        <v>288</v>
      </c>
      <c r="V176" s="624">
        <f>F176+94</f>
        <v>277</v>
      </c>
      <c r="W176" s="299">
        <f t="shared" si="319"/>
        <v>277</v>
      </c>
      <c r="X176" s="165"/>
      <c r="Y176" s="155"/>
      <c r="Z176" s="155"/>
      <c r="AA176" s="155"/>
      <c r="AB176" s="200">
        <v>418</v>
      </c>
    </row>
    <row r="177" spans="1:28" ht="12.6" customHeight="1" x14ac:dyDescent="0.2">
      <c r="A177" s="25"/>
      <c r="B177" s="685" t="s">
        <v>189</v>
      </c>
      <c r="C177" s="686"/>
      <c r="D177" s="686"/>
      <c r="E177" s="686"/>
      <c r="F177" s="412">
        <v>870</v>
      </c>
      <c r="G177" s="336">
        <f t="shared" ref="G177:G188" si="320">+F177*$X$1</f>
        <v>870</v>
      </c>
      <c r="H177" s="298"/>
      <c r="I177" s="372"/>
      <c r="J177" s="123"/>
      <c r="K177" s="572"/>
      <c r="L177" s="103">
        <f>F177+75</f>
        <v>945</v>
      </c>
      <c r="M177" s="321">
        <f t="shared" ref="M177:M178" si="321">+L177*$X$1</f>
        <v>945</v>
      </c>
      <c r="N177" s="103">
        <f>F177+55</f>
        <v>925</v>
      </c>
      <c r="O177" s="336">
        <f>+N177*$X$1</f>
        <v>925</v>
      </c>
      <c r="P177" s="103">
        <f>F177+49</f>
        <v>919</v>
      </c>
      <c r="Q177" s="336">
        <f>+P177*$X$1</f>
        <v>919</v>
      </c>
      <c r="R177" s="514">
        <f>F177+42</f>
        <v>912</v>
      </c>
      <c r="S177" s="300">
        <f>+R177*$X$1</f>
        <v>912</v>
      </c>
      <c r="T177" s="514">
        <f>F177+34</f>
        <v>904</v>
      </c>
      <c r="U177" s="300">
        <f>+T177*$X$1</f>
        <v>904</v>
      </c>
      <c r="V177" s="514">
        <f>F177+30</f>
        <v>900</v>
      </c>
      <c r="W177" s="300">
        <f>+V177*$X$1</f>
        <v>900</v>
      </c>
      <c r="X177" s="934"/>
      <c r="Y177" s="935"/>
      <c r="Z177" s="935"/>
      <c r="AA177" s="936"/>
      <c r="AB177" s="448">
        <v>421</v>
      </c>
    </row>
    <row r="178" spans="1:28" ht="12.6" customHeight="1" x14ac:dyDescent="0.2">
      <c r="A178" s="25"/>
      <c r="B178" s="689" t="s">
        <v>607</v>
      </c>
      <c r="C178" s="690"/>
      <c r="D178" s="690"/>
      <c r="E178" s="690"/>
      <c r="F178" s="413">
        <v>790</v>
      </c>
      <c r="G178" s="322">
        <f t="shared" si="320"/>
        <v>790</v>
      </c>
      <c r="H178" s="941" t="s">
        <v>644</v>
      </c>
      <c r="I178" s="942"/>
      <c r="J178" s="942"/>
      <c r="K178" s="943"/>
      <c r="L178" s="624">
        <f>F178+200</f>
        <v>990</v>
      </c>
      <c r="M178" s="299">
        <f t="shared" si="321"/>
        <v>990</v>
      </c>
      <c r="N178" s="624">
        <f>F178+110</f>
        <v>900</v>
      </c>
      <c r="O178" s="299">
        <f t="shared" ref="O178" si="322">+N178*$X$1</f>
        <v>900</v>
      </c>
      <c r="P178" s="624">
        <f>F178+80</f>
        <v>870</v>
      </c>
      <c r="Q178" s="299">
        <f t="shared" ref="Q178" si="323">+P178*$X$1</f>
        <v>870</v>
      </c>
      <c r="R178" s="624">
        <f>F178+70</f>
        <v>860</v>
      </c>
      <c r="S178" s="299">
        <f t="shared" ref="S178" si="324">+R178*$X$1</f>
        <v>860</v>
      </c>
      <c r="T178" s="104">
        <f>F178+63</f>
        <v>853</v>
      </c>
      <c r="U178" s="264">
        <f t="shared" ref="U178" si="325">+T178*$X$1</f>
        <v>853</v>
      </c>
      <c r="V178" s="624">
        <f>F178+57</f>
        <v>847</v>
      </c>
      <c r="W178" s="299">
        <f t="shared" ref="W178" si="326">+V178*$X$1</f>
        <v>847</v>
      </c>
      <c r="X178" s="934"/>
      <c r="Y178" s="935"/>
      <c r="Z178" s="935"/>
      <c r="AA178" s="936"/>
      <c r="AB178" s="448" t="s">
        <v>751</v>
      </c>
    </row>
    <row r="179" spans="1:28" ht="12.6" customHeight="1" x14ac:dyDescent="0.2">
      <c r="A179" s="25"/>
      <c r="B179" s="689" t="s">
        <v>604</v>
      </c>
      <c r="C179" s="690"/>
      <c r="D179" s="690"/>
      <c r="E179" s="690"/>
      <c r="F179" s="412">
        <v>790</v>
      </c>
      <c r="G179" s="336">
        <f t="shared" si="320"/>
        <v>790</v>
      </c>
      <c r="H179" s="944"/>
      <c r="I179" s="945"/>
      <c r="J179" s="945"/>
      <c r="K179" s="946"/>
      <c r="L179" s="514">
        <f>F179+200</f>
        <v>990</v>
      </c>
      <c r="M179" s="300">
        <f t="shared" ref="M179:M181" si="327">+L179*$X$1</f>
        <v>990</v>
      </c>
      <c r="N179" s="514">
        <f>F179+110</f>
        <v>900</v>
      </c>
      <c r="O179" s="300">
        <f t="shared" ref="O179:O181" si="328">+N179*$X$1</f>
        <v>900</v>
      </c>
      <c r="P179" s="514">
        <f>F179+80</f>
        <v>870</v>
      </c>
      <c r="Q179" s="300">
        <f t="shared" ref="Q179:Q181" si="329">+P179*$X$1</f>
        <v>870</v>
      </c>
      <c r="R179" s="514">
        <f>F179+70</f>
        <v>860</v>
      </c>
      <c r="S179" s="300">
        <f t="shared" ref="S179:S181" si="330">+R179*$X$1</f>
        <v>860</v>
      </c>
      <c r="T179" s="103">
        <f>F179+63</f>
        <v>853</v>
      </c>
      <c r="U179" s="321">
        <f t="shared" ref="U179:U181" si="331">+T179*$X$1</f>
        <v>853</v>
      </c>
      <c r="V179" s="514">
        <f>F179+57</f>
        <v>847</v>
      </c>
      <c r="W179" s="300">
        <f t="shared" ref="W179:W181" si="332">+V179*$X$1</f>
        <v>847</v>
      </c>
      <c r="X179" s="934"/>
      <c r="Y179" s="935"/>
      <c r="Z179" s="935"/>
      <c r="AA179" s="936"/>
      <c r="AB179" s="448" t="s">
        <v>746</v>
      </c>
    </row>
    <row r="180" spans="1:28" ht="12.6" customHeight="1" x14ac:dyDescent="0.2">
      <c r="A180" s="25"/>
      <c r="B180" s="689" t="s">
        <v>603</v>
      </c>
      <c r="C180" s="690"/>
      <c r="D180" s="690"/>
      <c r="E180" s="690"/>
      <c r="F180" s="413">
        <v>790</v>
      </c>
      <c r="G180" s="322">
        <f t="shared" si="320"/>
        <v>790</v>
      </c>
      <c r="H180" s="944"/>
      <c r="I180" s="945"/>
      <c r="J180" s="945"/>
      <c r="K180" s="946"/>
      <c r="L180" s="624">
        <f>F180+200</f>
        <v>990</v>
      </c>
      <c r="M180" s="299">
        <f t="shared" si="327"/>
        <v>990</v>
      </c>
      <c r="N180" s="624">
        <f>F180+110</f>
        <v>900</v>
      </c>
      <c r="O180" s="299">
        <f t="shared" si="328"/>
        <v>900</v>
      </c>
      <c r="P180" s="624">
        <f>F180+80</f>
        <v>870</v>
      </c>
      <c r="Q180" s="299">
        <f t="shared" si="329"/>
        <v>870</v>
      </c>
      <c r="R180" s="624">
        <f>F180+70</f>
        <v>860</v>
      </c>
      <c r="S180" s="299">
        <f t="shared" si="330"/>
        <v>860</v>
      </c>
      <c r="T180" s="104">
        <f>F180+63</f>
        <v>853</v>
      </c>
      <c r="U180" s="264">
        <f t="shared" si="331"/>
        <v>853</v>
      </c>
      <c r="V180" s="624">
        <f>F180+57</f>
        <v>847</v>
      </c>
      <c r="W180" s="299">
        <f t="shared" si="332"/>
        <v>847</v>
      </c>
      <c r="X180" s="934"/>
      <c r="Y180" s="935"/>
      <c r="Z180" s="935"/>
      <c r="AA180" s="936"/>
      <c r="AB180" s="448" t="s">
        <v>748</v>
      </c>
    </row>
    <row r="181" spans="1:28" ht="12.6" customHeight="1" x14ac:dyDescent="0.2">
      <c r="A181" s="25"/>
      <c r="B181" s="689" t="s">
        <v>606</v>
      </c>
      <c r="C181" s="690"/>
      <c r="D181" s="690"/>
      <c r="E181" s="690"/>
      <c r="F181" s="412">
        <v>790</v>
      </c>
      <c r="G181" s="336">
        <f t="shared" si="320"/>
        <v>790</v>
      </c>
      <c r="H181" s="944"/>
      <c r="I181" s="945"/>
      <c r="J181" s="945"/>
      <c r="K181" s="946"/>
      <c r="L181" s="514">
        <f>F181+200</f>
        <v>990</v>
      </c>
      <c r="M181" s="300">
        <f t="shared" si="327"/>
        <v>990</v>
      </c>
      <c r="N181" s="514">
        <f>F181+110</f>
        <v>900</v>
      </c>
      <c r="O181" s="300">
        <f t="shared" si="328"/>
        <v>900</v>
      </c>
      <c r="P181" s="514">
        <f>F181+80</f>
        <v>870</v>
      </c>
      <c r="Q181" s="300">
        <f t="shared" si="329"/>
        <v>870</v>
      </c>
      <c r="R181" s="514">
        <f>F181+70</f>
        <v>860</v>
      </c>
      <c r="S181" s="300">
        <f t="shared" si="330"/>
        <v>860</v>
      </c>
      <c r="T181" s="103">
        <f>F181+63</f>
        <v>853</v>
      </c>
      <c r="U181" s="321">
        <f t="shared" si="331"/>
        <v>853</v>
      </c>
      <c r="V181" s="514">
        <f>F181+57</f>
        <v>847</v>
      </c>
      <c r="W181" s="300">
        <f t="shared" si="332"/>
        <v>847</v>
      </c>
      <c r="X181" s="959"/>
      <c r="Y181" s="960"/>
      <c r="Z181" s="960"/>
      <c r="AA181" s="961"/>
      <c r="AB181" s="448" t="s">
        <v>747</v>
      </c>
    </row>
    <row r="182" spans="1:28" ht="12.6" customHeight="1" x14ac:dyDescent="0.2">
      <c r="A182" s="25"/>
      <c r="B182" s="689" t="s">
        <v>750</v>
      </c>
      <c r="C182" s="690"/>
      <c r="D182" s="690"/>
      <c r="E182" s="690"/>
      <c r="F182" s="413">
        <v>790</v>
      </c>
      <c r="G182" s="322">
        <f t="shared" ref="G182" si="333">+F182*$X$1</f>
        <v>790</v>
      </c>
      <c r="H182" s="944"/>
      <c r="I182" s="945"/>
      <c r="J182" s="945"/>
      <c r="K182" s="946"/>
      <c r="L182" s="624">
        <f>F182+200</f>
        <v>990</v>
      </c>
      <c r="M182" s="299">
        <f t="shared" ref="M182" si="334">+L182*$X$1</f>
        <v>990</v>
      </c>
      <c r="N182" s="624">
        <f>F182+110</f>
        <v>900</v>
      </c>
      <c r="O182" s="299">
        <f t="shared" ref="O182" si="335">+N182*$X$1</f>
        <v>900</v>
      </c>
      <c r="P182" s="624">
        <f>F182+80</f>
        <v>870</v>
      </c>
      <c r="Q182" s="299">
        <f t="shared" ref="Q182" si="336">+P182*$X$1</f>
        <v>870</v>
      </c>
      <c r="R182" s="624">
        <f>F182+70</f>
        <v>860</v>
      </c>
      <c r="S182" s="299">
        <f t="shared" ref="S182" si="337">+R182*$X$1</f>
        <v>860</v>
      </c>
      <c r="T182" s="104">
        <f>F182+63</f>
        <v>853</v>
      </c>
      <c r="U182" s="264">
        <f t="shared" ref="U182" si="338">+T182*$X$1</f>
        <v>853</v>
      </c>
      <c r="V182" s="624">
        <f>F182+57</f>
        <v>847</v>
      </c>
      <c r="W182" s="299">
        <f t="shared" ref="W182" si="339">+V182*$X$1</f>
        <v>847</v>
      </c>
      <c r="X182" s="934"/>
      <c r="Y182" s="935"/>
      <c r="Z182" s="935"/>
      <c r="AA182" s="936"/>
      <c r="AB182" s="448" t="s">
        <v>749</v>
      </c>
    </row>
    <row r="183" spans="1:28" ht="12.6" customHeight="1" x14ac:dyDescent="0.2">
      <c r="A183" s="25"/>
      <c r="B183" s="689" t="s">
        <v>605</v>
      </c>
      <c r="C183" s="690"/>
      <c r="D183" s="690"/>
      <c r="E183" s="690"/>
      <c r="F183" s="412">
        <v>880</v>
      </c>
      <c r="G183" s="336">
        <f t="shared" si="320"/>
        <v>880</v>
      </c>
      <c r="H183" s="947"/>
      <c r="I183" s="948"/>
      <c r="J183" s="948"/>
      <c r="K183" s="949"/>
      <c r="L183" s="514">
        <f>F183+230</f>
        <v>1110</v>
      </c>
      <c r="M183" s="300">
        <f t="shared" ref="M183" si="340">+L183*$X$1</f>
        <v>1110</v>
      </c>
      <c r="N183" s="514">
        <f>F183+130</f>
        <v>1010</v>
      </c>
      <c r="O183" s="300">
        <f t="shared" ref="O183" si="341">+N183*$X$1</f>
        <v>1010</v>
      </c>
      <c r="P183" s="514">
        <f>F183+100</f>
        <v>980</v>
      </c>
      <c r="Q183" s="300">
        <f t="shared" ref="Q183" si="342">+P183*$X$1</f>
        <v>980</v>
      </c>
      <c r="R183" s="514">
        <f>F183+90</f>
        <v>970</v>
      </c>
      <c r="S183" s="300">
        <f t="shared" ref="S183" si="343">+R183*$X$1</f>
        <v>970</v>
      </c>
      <c r="T183" s="103">
        <f>F183+83</f>
        <v>963</v>
      </c>
      <c r="U183" s="321">
        <f t="shared" ref="U183" si="344">+T183*$X$1</f>
        <v>963</v>
      </c>
      <c r="V183" s="514">
        <f>F183+77</f>
        <v>957</v>
      </c>
      <c r="W183" s="300">
        <f t="shared" ref="W183" si="345">+V183*$X$1</f>
        <v>957</v>
      </c>
      <c r="X183" s="934"/>
      <c r="Y183" s="935"/>
      <c r="Z183" s="935"/>
      <c r="AA183" s="936"/>
      <c r="AB183" s="448" t="s">
        <v>745</v>
      </c>
    </row>
    <row r="184" spans="1:28" ht="12.6" customHeight="1" x14ac:dyDescent="0.2">
      <c r="A184" s="107"/>
      <c r="B184" s="1000" t="s">
        <v>403</v>
      </c>
      <c r="C184" s="1001"/>
      <c r="D184" s="1001"/>
      <c r="E184" s="1001"/>
      <c r="F184" s="570">
        <f>0.9*X2</f>
        <v>913.5</v>
      </c>
      <c r="G184" s="492">
        <f t="shared" si="320"/>
        <v>913.5</v>
      </c>
      <c r="H184" s="423"/>
      <c r="I184" s="348"/>
      <c r="J184" s="423"/>
      <c r="K184" s="348"/>
      <c r="L184" s="624">
        <f>F184+120</f>
        <v>1033.5</v>
      </c>
      <c r="M184" s="299">
        <f>+L184*$X$1</f>
        <v>1033.5</v>
      </c>
      <c r="N184" s="624">
        <f>F184+63</f>
        <v>976.5</v>
      </c>
      <c r="O184" s="299">
        <f>+N184*$X$1</f>
        <v>976.5</v>
      </c>
      <c r="P184" s="624">
        <f>F184+54</f>
        <v>967.5</v>
      </c>
      <c r="Q184" s="299">
        <f>+P184*$X$1</f>
        <v>967.5</v>
      </c>
      <c r="R184" s="624">
        <f>F184+45</f>
        <v>958.5</v>
      </c>
      <c r="S184" s="299">
        <f>+R184*$X$1</f>
        <v>958.5</v>
      </c>
      <c r="T184" s="104">
        <f>F184+37</f>
        <v>950.5</v>
      </c>
      <c r="U184" s="264">
        <f>+T184*$X$1</f>
        <v>950.5</v>
      </c>
      <c r="V184" s="104">
        <f>F184+32</f>
        <v>945.5</v>
      </c>
      <c r="W184" s="264">
        <f>+V184*$X$1</f>
        <v>945.5</v>
      </c>
      <c r="X184" s="155"/>
      <c r="Y184" s="164"/>
      <c r="Z184" s="155"/>
      <c r="AA184" s="155"/>
      <c r="AB184" s="200">
        <v>425</v>
      </c>
    </row>
    <row r="185" spans="1:28" ht="12.6" customHeight="1" x14ac:dyDescent="0.2">
      <c r="A185" s="107"/>
      <c r="B185" s="689" t="s">
        <v>889</v>
      </c>
      <c r="C185" s="690"/>
      <c r="D185" s="690"/>
      <c r="E185" s="690"/>
      <c r="F185" s="408">
        <f>0.62*X2</f>
        <v>629.29999999999995</v>
      </c>
      <c r="G185" s="300">
        <f t="shared" ref="G185" si="346">+F185*$X$1</f>
        <v>629.29999999999995</v>
      </c>
      <c r="H185" s="101"/>
      <c r="I185" s="347"/>
      <c r="J185" s="101"/>
      <c r="K185" s="347"/>
      <c r="L185" s="514">
        <f>F185+120</f>
        <v>749.3</v>
      </c>
      <c r="M185" s="300">
        <f>+L185*$X$1</f>
        <v>749.3</v>
      </c>
      <c r="N185" s="514">
        <f>F185+63</f>
        <v>692.3</v>
      </c>
      <c r="O185" s="300">
        <f>+N185*$X$1</f>
        <v>692.3</v>
      </c>
      <c r="P185" s="514">
        <f>F185+54</f>
        <v>683.3</v>
      </c>
      <c r="Q185" s="300">
        <f>+P185*$X$1</f>
        <v>683.3</v>
      </c>
      <c r="R185" s="514">
        <f>F185+45</f>
        <v>674.3</v>
      </c>
      <c r="S185" s="300">
        <f>+R185*$X$1</f>
        <v>674.3</v>
      </c>
      <c r="T185" s="103">
        <f>F185+37</f>
        <v>666.3</v>
      </c>
      <c r="U185" s="321">
        <f>+T185*$X$1</f>
        <v>666.3</v>
      </c>
      <c r="V185" s="103">
        <f>F185+32</f>
        <v>661.3</v>
      </c>
      <c r="W185" s="321">
        <f>+V185*$X$1</f>
        <v>661.3</v>
      </c>
      <c r="X185" s="155"/>
      <c r="Y185" s="164"/>
      <c r="Z185" s="155"/>
      <c r="AA185" s="155"/>
      <c r="AB185" s="200">
        <v>426</v>
      </c>
    </row>
    <row r="186" spans="1:28" ht="12.6" customHeight="1" x14ac:dyDescent="0.2">
      <c r="A186" s="107"/>
      <c r="B186" s="663" t="s">
        <v>515</v>
      </c>
      <c r="C186" s="693"/>
      <c r="D186" s="693"/>
      <c r="E186" s="693"/>
      <c r="F186" s="407">
        <f>1.01*X2</f>
        <v>1025.1500000000001</v>
      </c>
      <c r="G186" s="299">
        <f t="shared" si="320"/>
        <v>1025.1500000000001</v>
      </c>
      <c r="H186" s="423"/>
      <c r="I186" s="348"/>
      <c r="J186" s="423"/>
      <c r="K186" s="348"/>
      <c r="L186" s="624">
        <f>F186+120</f>
        <v>1145.1500000000001</v>
      </c>
      <c r="M186" s="299">
        <f>+L186*$X$1</f>
        <v>1145.1500000000001</v>
      </c>
      <c r="N186" s="624">
        <f>F186+63</f>
        <v>1088.1500000000001</v>
      </c>
      <c r="O186" s="299">
        <f>+N186*$X$1</f>
        <v>1088.1500000000001</v>
      </c>
      <c r="P186" s="624">
        <f>F186+54</f>
        <v>1079.1500000000001</v>
      </c>
      <c r="Q186" s="299">
        <f>+P186*$X$1</f>
        <v>1079.1500000000001</v>
      </c>
      <c r="R186" s="624">
        <f>F186+45</f>
        <v>1070.1500000000001</v>
      </c>
      <c r="S186" s="299">
        <f>+R186*$X$1</f>
        <v>1070.1500000000001</v>
      </c>
      <c r="T186" s="104">
        <f>F186+37</f>
        <v>1062.1500000000001</v>
      </c>
      <c r="U186" s="264">
        <f>+T186*$X$1</f>
        <v>1062.1500000000001</v>
      </c>
      <c r="V186" s="104">
        <f>F186+32</f>
        <v>1057.1500000000001</v>
      </c>
      <c r="W186" s="264">
        <f>+V186*$X$1</f>
        <v>1057.1500000000001</v>
      </c>
      <c r="X186" s="155"/>
      <c r="Y186" s="164"/>
      <c r="Z186" s="155"/>
      <c r="AA186" s="155"/>
      <c r="AB186" s="200" t="s">
        <v>567</v>
      </c>
    </row>
    <row r="187" spans="1:28" ht="12.6" customHeight="1" x14ac:dyDescent="0.2">
      <c r="A187" s="107"/>
      <c r="B187" s="685" t="s">
        <v>505</v>
      </c>
      <c r="C187" s="686"/>
      <c r="D187" s="686"/>
      <c r="E187" s="686"/>
      <c r="F187" s="408">
        <f>0.98*X2</f>
        <v>994.69999999999993</v>
      </c>
      <c r="G187" s="300">
        <f t="shared" ref="G187" si="347">+F187*$X$1</f>
        <v>994.69999999999993</v>
      </c>
      <c r="H187" s="101"/>
      <c r="I187" s="347"/>
      <c r="J187" s="101"/>
      <c r="K187" s="347"/>
      <c r="L187" s="514">
        <f>F187+120</f>
        <v>1114.6999999999998</v>
      </c>
      <c r="M187" s="300">
        <f>+L187*$X$1</f>
        <v>1114.6999999999998</v>
      </c>
      <c r="N187" s="514">
        <f>F187+63</f>
        <v>1057.6999999999998</v>
      </c>
      <c r="O187" s="300">
        <f>+N187*$X$1</f>
        <v>1057.6999999999998</v>
      </c>
      <c r="P187" s="514">
        <f>F187+54</f>
        <v>1048.6999999999998</v>
      </c>
      <c r="Q187" s="300">
        <f>+P187*$X$1</f>
        <v>1048.6999999999998</v>
      </c>
      <c r="R187" s="514">
        <f>F187+45</f>
        <v>1039.6999999999998</v>
      </c>
      <c r="S187" s="300">
        <f>+R187*$X$1</f>
        <v>1039.6999999999998</v>
      </c>
      <c r="T187" s="103">
        <f>F187+37</f>
        <v>1031.6999999999998</v>
      </c>
      <c r="U187" s="321">
        <f>+T187*$X$1</f>
        <v>1031.6999999999998</v>
      </c>
      <c r="V187" s="103">
        <f>F187+32</f>
        <v>1026.6999999999998</v>
      </c>
      <c r="W187" s="321">
        <f>+V187*$X$1</f>
        <v>1026.6999999999998</v>
      </c>
      <c r="X187" s="155"/>
      <c r="Y187" s="164"/>
      <c r="Z187" s="155"/>
      <c r="AA187" s="155"/>
      <c r="AB187" s="200">
        <v>428</v>
      </c>
    </row>
    <row r="188" spans="1:28" ht="12.6" customHeight="1" x14ac:dyDescent="0.2">
      <c r="A188" s="18"/>
      <c r="B188" s="663" t="s">
        <v>190</v>
      </c>
      <c r="C188" s="693"/>
      <c r="D188" s="693"/>
      <c r="E188" s="693"/>
      <c r="F188" s="407">
        <f>1.527*X2</f>
        <v>1549.905</v>
      </c>
      <c r="G188" s="299">
        <f t="shared" si="320"/>
        <v>1549.905</v>
      </c>
      <c r="H188" s="423">
        <f>F188+420</f>
        <v>1969.905</v>
      </c>
      <c r="I188" s="299">
        <f>+H188*$X$1</f>
        <v>1969.905</v>
      </c>
      <c r="J188" s="624">
        <f>F188+180</f>
        <v>1729.905</v>
      </c>
      <c r="K188" s="299">
        <f t="shared" ref="K188" si="348">+J188*$X$1</f>
        <v>1729.905</v>
      </c>
      <c r="L188" s="624">
        <f>F188+120</f>
        <v>1669.905</v>
      </c>
      <c r="M188" s="299">
        <f>+L188*$X$1</f>
        <v>1669.905</v>
      </c>
      <c r="N188" s="624">
        <f>F188+63</f>
        <v>1612.905</v>
      </c>
      <c r="O188" s="299">
        <f>+N188*$X$1</f>
        <v>1612.905</v>
      </c>
      <c r="P188" s="624">
        <f>F188+54</f>
        <v>1603.905</v>
      </c>
      <c r="Q188" s="299">
        <f>+P188*$X$1</f>
        <v>1603.905</v>
      </c>
      <c r="R188" s="624">
        <f>F188+45</f>
        <v>1594.905</v>
      </c>
      <c r="S188" s="299">
        <f>+R188*$X$1</f>
        <v>1594.905</v>
      </c>
      <c r="T188" s="104">
        <f>F188+37</f>
        <v>1586.905</v>
      </c>
      <c r="U188" s="264">
        <f>+T188*$X$1</f>
        <v>1586.905</v>
      </c>
      <c r="V188" s="104">
        <f>F188+32</f>
        <v>1581.905</v>
      </c>
      <c r="W188" s="264">
        <f>+V188*$X$1</f>
        <v>1581.905</v>
      </c>
      <c r="X188" s="155"/>
      <c r="Y188" s="164"/>
      <c r="Z188" s="155"/>
      <c r="AA188" s="155"/>
      <c r="AB188" s="200">
        <v>442</v>
      </c>
    </row>
    <row r="189" spans="1:28" ht="12.6" customHeight="1" x14ac:dyDescent="0.2">
      <c r="A189" s="18"/>
      <c r="B189" s="687" t="s">
        <v>191</v>
      </c>
      <c r="C189" s="694"/>
      <c r="D189" s="694"/>
      <c r="E189" s="694"/>
      <c r="F189" s="398"/>
      <c r="G189" s="907" t="s">
        <v>878</v>
      </c>
      <c r="H189" s="908"/>
      <c r="I189" s="908"/>
      <c r="J189" s="908"/>
      <c r="K189" s="908"/>
      <c r="L189" s="908"/>
      <c r="M189" s="908"/>
      <c r="N189" s="908"/>
      <c r="O189" s="908"/>
      <c r="P189" s="921"/>
      <c r="Q189" s="921"/>
      <c r="R189" s="921"/>
      <c r="S189" s="922"/>
      <c r="T189" s="72"/>
      <c r="U189" s="300"/>
      <c r="V189" s="103"/>
      <c r="W189" s="321"/>
      <c r="X189" s="165"/>
      <c r="Y189" s="164"/>
      <c r="Z189" s="155"/>
      <c r="AA189" s="155"/>
      <c r="AB189" s="200">
        <v>450</v>
      </c>
    </row>
    <row r="190" spans="1:28" ht="12.6" customHeight="1" x14ac:dyDescent="0.2">
      <c r="A190" s="18"/>
      <c r="B190" s="663" t="s">
        <v>192</v>
      </c>
      <c r="C190" s="693"/>
      <c r="D190" s="693"/>
      <c r="E190" s="693"/>
      <c r="F190" s="131"/>
      <c r="G190" s="910"/>
      <c r="H190" s="911"/>
      <c r="I190" s="911"/>
      <c r="J190" s="911"/>
      <c r="K190" s="911"/>
      <c r="L190" s="911"/>
      <c r="M190" s="911"/>
      <c r="N190" s="911"/>
      <c r="O190" s="911"/>
      <c r="P190" s="923"/>
      <c r="Q190" s="924"/>
      <c r="R190" s="923"/>
      <c r="S190" s="925"/>
      <c r="T190" s="72"/>
      <c r="U190" s="299"/>
      <c r="V190" s="104"/>
      <c r="W190" s="264"/>
      <c r="X190" s="165"/>
      <c r="Y190" s="164"/>
      <c r="Z190" s="155"/>
      <c r="AA190" s="155"/>
      <c r="AB190" s="200">
        <v>451</v>
      </c>
    </row>
    <row r="191" spans="1:28" ht="12.6" customHeight="1" x14ac:dyDescent="0.2">
      <c r="A191" s="18"/>
      <c r="B191" s="685" t="s">
        <v>193</v>
      </c>
      <c r="C191" s="686"/>
      <c r="D191" s="686"/>
      <c r="E191" s="686"/>
      <c r="F191" s="92"/>
      <c r="G191" s="910"/>
      <c r="H191" s="911"/>
      <c r="I191" s="911"/>
      <c r="J191" s="911"/>
      <c r="K191" s="911"/>
      <c r="L191" s="911"/>
      <c r="M191" s="911"/>
      <c r="N191" s="911"/>
      <c r="O191" s="911"/>
      <c r="P191" s="923"/>
      <c r="Q191" s="924"/>
      <c r="R191" s="923"/>
      <c r="S191" s="925"/>
      <c r="T191" s="72"/>
      <c r="U191" s="300"/>
      <c r="V191" s="103"/>
      <c r="W191" s="321"/>
      <c r="X191" s="165"/>
      <c r="Y191" s="164"/>
      <c r="Z191" s="155"/>
      <c r="AA191" s="155"/>
      <c r="AB191" s="200">
        <v>452</v>
      </c>
    </row>
    <row r="192" spans="1:28" ht="12.6" customHeight="1" x14ac:dyDescent="0.2">
      <c r="A192" s="18"/>
      <c r="B192" s="663" t="s">
        <v>194</v>
      </c>
      <c r="C192" s="693"/>
      <c r="D192" s="693"/>
      <c r="E192" s="693"/>
      <c r="F192" s="131"/>
      <c r="G192" s="910"/>
      <c r="H192" s="911"/>
      <c r="I192" s="911"/>
      <c r="J192" s="911"/>
      <c r="K192" s="911"/>
      <c r="L192" s="911"/>
      <c r="M192" s="911"/>
      <c r="N192" s="911"/>
      <c r="O192" s="911"/>
      <c r="P192" s="923"/>
      <c r="Q192" s="924"/>
      <c r="R192" s="923"/>
      <c r="S192" s="925"/>
      <c r="T192" s="72"/>
      <c r="U192" s="299"/>
      <c r="V192" s="104"/>
      <c r="W192" s="264"/>
      <c r="X192" s="165"/>
      <c r="Y192" s="164"/>
      <c r="Z192" s="155"/>
      <c r="AA192" s="155"/>
      <c r="AB192" s="200">
        <v>453</v>
      </c>
    </row>
    <row r="193" spans="1:28" ht="12.6" customHeight="1" x14ac:dyDescent="0.2">
      <c r="A193" s="18"/>
      <c r="B193" s="685" t="s">
        <v>195</v>
      </c>
      <c r="C193" s="686"/>
      <c r="D193" s="686"/>
      <c r="E193" s="686"/>
      <c r="F193" s="92"/>
      <c r="G193" s="910"/>
      <c r="H193" s="911"/>
      <c r="I193" s="911"/>
      <c r="J193" s="911"/>
      <c r="K193" s="911"/>
      <c r="L193" s="911"/>
      <c r="M193" s="911"/>
      <c r="N193" s="911"/>
      <c r="O193" s="911"/>
      <c r="P193" s="923"/>
      <c r="Q193" s="924"/>
      <c r="R193" s="923"/>
      <c r="S193" s="925"/>
      <c r="T193" s="72"/>
      <c r="U193" s="300"/>
      <c r="V193" s="103"/>
      <c r="W193" s="321"/>
      <c r="X193" s="165"/>
      <c r="Y193" s="164"/>
      <c r="Z193" s="155"/>
      <c r="AA193" s="155"/>
      <c r="AB193" s="200">
        <v>454</v>
      </c>
    </row>
    <row r="194" spans="1:28" ht="12.6" customHeight="1" x14ac:dyDescent="0.2">
      <c r="A194" s="18"/>
      <c r="B194" s="663" t="s">
        <v>196</v>
      </c>
      <c r="C194" s="693"/>
      <c r="D194" s="693"/>
      <c r="E194" s="693"/>
      <c r="F194" s="397"/>
      <c r="G194" s="926"/>
      <c r="H194" s="912"/>
      <c r="I194" s="912"/>
      <c r="J194" s="912"/>
      <c r="K194" s="912"/>
      <c r="L194" s="912"/>
      <c r="M194" s="912"/>
      <c r="N194" s="912"/>
      <c r="O194" s="912"/>
      <c r="P194" s="927"/>
      <c r="Q194" s="927"/>
      <c r="R194" s="927"/>
      <c r="S194" s="928"/>
      <c r="T194" s="72"/>
      <c r="U194" s="299"/>
      <c r="V194" s="104"/>
      <c r="W194" s="264"/>
      <c r="X194" s="165"/>
      <c r="Y194" s="164"/>
      <c r="Z194" s="155"/>
      <c r="AA194" s="155"/>
      <c r="AB194" s="200">
        <v>460</v>
      </c>
    </row>
    <row r="195" spans="1:28" ht="12.6" customHeight="1" x14ac:dyDescent="0.2">
      <c r="A195" s="18"/>
      <c r="B195" s="685" t="s">
        <v>381</v>
      </c>
      <c r="C195" s="901"/>
      <c r="D195" s="901"/>
      <c r="E195" s="901"/>
      <c r="F195" s="408">
        <f>1.974*X2</f>
        <v>2003.61</v>
      </c>
      <c r="G195" s="575">
        <f t="shared" ref="G195:G197" si="349">+F195*$X$1</f>
        <v>2003.61</v>
      </c>
      <c r="H195" s="514"/>
      <c r="I195" s="300"/>
      <c r="J195" s="514">
        <f>F195+180</f>
        <v>2183.6099999999997</v>
      </c>
      <c r="K195" s="300">
        <f t="shared" ref="K195:K198" si="350">+J195*$X$1</f>
        <v>2183.6099999999997</v>
      </c>
      <c r="L195" s="514">
        <f>F195+120</f>
        <v>2123.6099999999997</v>
      </c>
      <c r="M195" s="300">
        <f>+L195*$X$1</f>
        <v>2123.6099999999997</v>
      </c>
      <c r="N195" s="514">
        <f>F195+63</f>
        <v>2066.6099999999997</v>
      </c>
      <c r="O195" s="300">
        <f>+N195*$X$1</f>
        <v>2066.6099999999997</v>
      </c>
      <c r="P195" s="514">
        <f>F195+54</f>
        <v>2057.6099999999997</v>
      </c>
      <c r="Q195" s="300">
        <f>+P195*$X$1</f>
        <v>2057.6099999999997</v>
      </c>
      <c r="R195" s="514">
        <f>F195+45</f>
        <v>2048.6099999999997</v>
      </c>
      <c r="S195" s="300">
        <f>+R195*$X$1</f>
        <v>2048.6099999999997</v>
      </c>
      <c r="T195" s="103">
        <f>F195+37</f>
        <v>2040.61</v>
      </c>
      <c r="U195" s="321">
        <f>+T195*$X$1</f>
        <v>2040.61</v>
      </c>
      <c r="V195" s="103">
        <f>F195+32</f>
        <v>2035.61</v>
      </c>
      <c r="W195" s="321">
        <f>+V195*$X$1</f>
        <v>2035.61</v>
      </c>
      <c r="X195" s="155"/>
      <c r="Y195" s="164"/>
      <c r="Z195" s="155"/>
      <c r="AA195" s="155"/>
      <c r="AB195" s="200">
        <v>465</v>
      </c>
    </row>
    <row r="196" spans="1:28" ht="12.6" customHeight="1" x14ac:dyDescent="0.2">
      <c r="A196" s="18"/>
      <c r="B196" s="689" t="s">
        <v>843</v>
      </c>
      <c r="C196" s="938"/>
      <c r="D196" s="938"/>
      <c r="E196" s="938"/>
      <c r="F196" s="407">
        <f>1.5*X2</f>
        <v>1522.5</v>
      </c>
      <c r="G196" s="359">
        <f t="shared" ref="G196" si="351">+F196*$X$1</f>
        <v>1522.5</v>
      </c>
      <c r="H196" s="624"/>
      <c r="I196" s="299"/>
      <c r="J196" s="624">
        <f>F196+180</f>
        <v>1702.5</v>
      </c>
      <c r="K196" s="299">
        <f t="shared" si="350"/>
        <v>1702.5</v>
      </c>
      <c r="L196" s="624">
        <f>F196+120</f>
        <v>1642.5</v>
      </c>
      <c r="M196" s="299">
        <f>+L196*$X$1</f>
        <v>1642.5</v>
      </c>
      <c r="N196" s="624">
        <f>F196+63</f>
        <v>1585.5</v>
      </c>
      <c r="O196" s="299">
        <f>+N196*$X$1</f>
        <v>1585.5</v>
      </c>
      <c r="P196" s="624">
        <f>F196+54</f>
        <v>1576.5</v>
      </c>
      <c r="Q196" s="299">
        <f>+P196*$X$1</f>
        <v>1576.5</v>
      </c>
      <c r="R196" s="624">
        <f>F196+45</f>
        <v>1567.5</v>
      </c>
      <c r="S196" s="299">
        <f>+R196*$X$1</f>
        <v>1567.5</v>
      </c>
      <c r="T196" s="104">
        <f>F196+37</f>
        <v>1559.5</v>
      </c>
      <c r="U196" s="264">
        <f>+T196*$X$1</f>
        <v>1559.5</v>
      </c>
      <c r="V196" s="104">
        <f>F196+32</f>
        <v>1554.5</v>
      </c>
      <c r="W196" s="264">
        <f>+V196*$X$1</f>
        <v>1554.5</v>
      </c>
      <c r="X196" s="155"/>
      <c r="Y196" s="164"/>
      <c r="Z196" s="155"/>
      <c r="AA196" s="155"/>
      <c r="AB196" s="200">
        <v>466</v>
      </c>
    </row>
    <row r="197" spans="1:28" ht="12.6" customHeight="1" x14ac:dyDescent="0.2">
      <c r="A197" s="18"/>
      <c r="B197" s="687" t="s">
        <v>651</v>
      </c>
      <c r="C197" s="688"/>
      <c r="D197" s="688"/>
      <c r="E197" s="688"/>
      <c r="F197" s="412">
        <f>1.1*X2</f>
        <v>1116.5</v>
      </c>
      <c r="G197" s="360">
        <f t="shared" si="349"/>
        <v>1116.5</v>
      </c>
      <c r="H197" s="514"/>
      <c r="I197" s="300"/>
      <c r="J197" s="514">
        <f>F197+180</f>
        <v>1296.5</v>
      </c>
      <c r="K197" s="300">
        <f t="shared" si="350"/>
        <v>1296.5</v>
      </c>
      <c r="L197" s="514">
        <f>F197+120</f>
        <v>1236.5</v>
      </c>
      <c r="M197" s="300">
        <f>+L197*$X$1</f>
        <v>1236.5</v>
      </c>
      <c r="N197" s="514">
        <f>F197+63</f>
        <v>1179.5</v>
      </c>
      <c r="O197" s="300">
        <f>+N197*$X$1</f>
        <v>1179.5</v>
      </c>
      <c r="P197" s="514">
        <f>F197+54</f>
        <v>1170.5</v>
      </c>
      <c r="Q197" s="300">
        <f>+P197*$X$1</f>
        <v>1170.5</v>
      </c>
      <c r="R197" s="514">
        <f>F197+45</f>
        <v>1161.5</v>
      </c>
      <c r="S197" s="300">
        <f>+R197*$X$1</f>
        <v>1161.5</v>
      </c>
      <c r="T197" s="103">
        <f>F197+37</f>
        <v>1153.5</v>
      </c>
      <c r="U197" s="321">
        <f>+T197*$X$1</f>
        <v>1153.5</v>
      </c>
      <c r="V197" s="103">
        <f>F197+32</f>
        <v>1148.5</v>
      </c>
      <c r="W197" s="321">
        <f>+V197*$X$1</f>
        <v>1148.5</v>
      </c>
      <c r="X197" s="155"/>
      <c r="Y197" s="155"/>
      <c r="Z197" s="155"/>
      <c r="AA197" s="155"/>
      <c r="AB197" s="200">
        <v>528</v>
      </c>
    </row>
    <row r="198" spans="1:28" ht="12.6" customHeight="1" x14ac:dyDescent="0.2">
      <c r="A198" s="18"/>
      <c r="B198" s="673" t="s">
        <v>382</v>
      </c>
      <c r="C198" s="695"/>
      <c r="D198" s="695"/>
      <c r="E198" s="696"/>
      <c r="F198" s="322">
        <v>3705</v>
      </c>
      <c r="G198" s="329">
        <f t="shared" ref="G198:G202" si="352">+F198*$X$1</f>
        <v>3705</v>
      </c>
      <c r="H198" s="624"/>
      <c r="I198" s="299"/>
      <c r="J198" s="624">
        <f>F198+180</f>
        <v>3885</v>
      </c>
      <c r="K198" s="299">
        <f t="shared" si="350"/>
        <v>3885</v>
      </c>
      <c r="L198" s="624">
        <f>F198+120</f>
        <v>3825</v>
      </c>
      <c r="M198" s="299">
        <f>+L198*$X$1</f>
        <v>3825</v>
      </c>
      <c r="N198" s="624">
        <f>F198+63</f>
        <v>3768</v>
      </c>
      <c r="O198" s="299">
        <f>+N198*$X$1</f>
        <v>3768</v>
      </c>
      <c r="P198" s="624">
        <f>F198+54</f>
        <v>3759</v>
      </c>
      <c r="Q198" s="299">
        <f>+P198*$X$1</f>
        <v>3759</v>
      </c>
      <c r="R198" s="624">
        <f>F198+45</f>
        <v>3750</v>
      </c>
      <c r="S198" s="299">
        <f>+R198*$X$1</f>
        <v>3750</v>
      </c>
      <c r="T198" s="104">
        <f>F198+37</f>
        <v>3742</v>
      </c>
      <c r="U198" s="264">
        <f>+T198*$X$1</f>
        <v>3742</v>
      </c>
      <c r="V198" s="104">
        <f>F198+32</f>
        <v>3737</v>
      </c>
      <c r="W198" s="264">
        <f>+V198*$X$1</f>
        <v>3737</v>
      </c>
      <c r="X198" s="155"/>
      <c r="Y198" s="155"/>
      <c r="Z198" s="155"/>
      <c r="AA198" s="155"/>
      <c r="AB198" s="200"/>
    </row>
    <row r="199" spans="1:28" ht="12.6" customHeight="1" x14ac:dyDescent="0.2">
      <c r="A199" s="18"/>
      <c r="B199" s="685" t="s">
        <v>839</v>
      </c>
      <c r="C199" s="901"/>
      <c r="D199" s="901"/>
      <c r="E199" s="901"/>
      <c r="F199" s="408">
        <f>1.2*X2</f>
        <v>1218</v>
      </c>
      <c r="G199" s="575">
        <f t="shared" si="352"/>
        <v>1218</v>
      </c>
      <c r="H199" s="514">
        <f>F199+420</f>
        <v>1638</v>
      </c>
      <c r="I199" s="300">
        <f>+H199*$X$1</f>
        <v>1638</v>
      </c>
      <c r="J199" s="514">
        <f>F199+180</f>
        <v>1398</v>
      </c>
      <c r="K199" s="300">
        <f t="shared" ref="K199:K200" si="353">+J199*$X$1</f>
        <v>1398</v>
      </c>
      <c r="L199" s="514">
        <f>F199+120</f>
        <v>1338</v>
      </c>
      <c r="M199" s="300">
        <f>+L199*$X$1</f>
        <v>1338</v>
      </c>
      <c r="N199" s="514">
        <f>F199+63</f>
        <v>1281</v>
      </c>
      <c r="O199" s="300">
        <f>+N199*$X$1</f>
        <v>1281</v>
      </c>
      <c r="P199" s="514">
        <f>F199+54</f>
        <v>1272</v>
      </c>
      <c r="Q199" s="300">
        <f>+P199*$X$1</f>
        <v>1272</v>
      </c>
      <c r="R199" s="514">
        <f>F199+45</f>
        <v>1263</v>
      </c>
      <c r="S199" s="300">
        <f>+R199*$X$1</f>
        <v>1263</v>
      </c>
      <c r="T199" s="103">
        <f>F199+37</f>
        <v>1255</v>
      </c>
      <c r="U199" s="321">
        <f>+T199*$X$1</f>
        <v>1255</v>
      </c>
      <c r="V199" s="103">
        <f>F199+32</f>
        <v>1250</v>
      </c>
      <c r="W199" s="321">
        <f>+V199*$X$1</f>
        <v>1250</v>
      </c>
      <c r="X199" s="155"/>
      <c r="Y199" s="164"/>
      <c r="Z199" s="155"/>
      <c r="AA199" s="155"/>
      <c r="AB199" s="200">
        <v>534</v>
      </c>
    </row>
    <row r="200" spans="1:28" ht="12.6" customHeight="1" x14ac:dyDescent="0.2">
      <c r="A200" s="18"/>
      <c r="B200" s="673" t="s">
        <v>383</v>
      </c>
      <c r="C200" s="676"/>
      <c r="D200" s="676"/>
      <c r="E200" s="677"/>
      <c r="F200" s="322">
        <v>1132</v>
      </c>
      <c r="G200" s="329">
        <f t="shared" si="352"/>
        <v>1132</v>
      </c>
      <c r="H200" s="291"/>
      <c r="I200" s="291"/>
      <c r="J200" s="624">
        <f>F200+180</f>
        <v>1312</v>
      </c>
      <c r="K200" s="299">
        <f t="shared" si="353"/>
        <v>1312</v>
      </c>
      <c r="L200" s="624">
        <f>F200+120</f>
        <v>1252</v>
      </c>
      <c r="M200" s="299">
        <f>+L200*$X$1</f>
        <v>1252</v>
      </c>
      <c r="N200" s="624">
        <f>F200+63</f>
        <v>1195</v>
      </c>
      <c r="O200" s="299">
        <f>+N200*$X$1</f>
        <v>1195</v>
      </c>
      <c r="P200" s="624">
        <f>F200+54</f>
        <v>1186</v>
      </c>
      <c r="Q200" s="299">
        <f>+P200*$X$1</f>
        <v>1186</v>
      </c>
      <c r="R200" s="624">
        <f>F200+45</f>
        <v>1177</v>
      </c>
      <c r="S200" s="299">
        <f>+R200*$X$1</f>
        <v>1177</v>
      </c>
      <c r="T200" s="104">
        <f>F200+37</f>
        <v>1169</v>
      </c>
      <c r="U200" s="264">
        <f>+T200*$X$1</f>
        <v>1169</v>
      </c>
      <c r="V200" s="104">
        <f>F200+32</f>
        <v>1164</v>
      </c>
      <c r="W200" s="264">
        <f>+V200*$X$1</f>
        <v>1164</v>
      </c>
      <c r="X200" s="155"/>
      <c r="Y200" s="155"/>
      <c r="Z200" s="155"/>
      <c r="AA200" s="155"/>
      <c r="AB200" s="200"/>
    </row>
    <row r="201" spans="1:28" ht="12.6" customHeight="1" x14ac:dyDescent="0.2">
      <c r="A201" s="18"/>
      <c r="B201" s="687" t="s">
        <v>197</v>
      </c>
      <c r="C201" s="694"/>
      <c r="D201" s="694"/>
      <c r="E201" s="694"/>
      <c r="F201" s="336">
        <v>210</v>
      </c>
      <c r="G201" s="374">
        <f>+F201*$X$1</f>
        <v>210</v>
      </c>
      <c r="H201" s="931" t="s">
        <v>373</v>
      </c>
      <c r="I201" s="931"/>
      <c r="J201" s="932"/>
      <c r="K201" s="932"/>
      <c r="L201" s="932"/>
      <c r="M201" s="933"/>
      <c r="N201" s="514">
        <f>F201+63</f>
        <v>273</v>
      </c>
      <c r="O201" s="300">
        <f>+N201*$X$1</f>
        <v>273</v>
      </c>
      <c r="P201" s="514">
        <f>F201+54</f>
        <v>264</v>
      </c>
      <c r="Q201" s="300">
        <f>+P201*$X$1</f>
        <v>264</v>
      </c>
      <c r="R201" s="514">
        <f>F201+45</f>
        <v>255</v>
      </c>
      <c r="S201" s="300">
        <f>+R201*$X$1</f>
        <v>255</v>
      </c>
      <c r="T201" s="103">
        <f>F201+37</f>
        <v>247</v>
      </c>
      <c r="U201" s="321">
        <f>+T201*$X$1</f>
        <v>247</v>
      </c>
      <c r="V201" s="103">
        <f>F201+32</f>
        <v>242</v>
      </c>
      <c r="W201" s="321">
        <f>+V201*$X$1</f>
        <v>242</v>
      </c>
      <c r="X201" s="155"/>
      <c r="Y201" s="155"/>
      <c r="Z201" s="155"/>
      <c r="AA201" s="155"/>
      <c r="AB201" s="200">
        <v>539</v>
      </c>
    </row>
    <row r="202" spans="1:28" ht="12.6" customHeight="1" x14ac:dyDescent="0.2">
      <c r="A202" s="18"/>
      <c r="B202" s="914" t="s">
        <v>498</v>
      </c>
      <c r="C202" s="920"/>
      <c r="D202" s="920"/>
      <c r="E202" s="920"/>
      <c r="F202" s="322">
        <v>451</v>
      </c>
      <c r="G202" s="323">
        <f t="shared" si="352"/>
        <v>451</v>
      </c>
      <c r="H202" s="291"/>
      <c r="I202" s="291"/>
      <c r="J202" s="72"/>
      <c r="K202" s="299"/>
      <c r="L202" s="624"/>
      <c r="M202" s="299"/>
      <c r="N202" s="624"/>
      <c r="O202" s="299"/>
      <c r="P202" s="624"/>
      <c r="Q202" s="299"/>
      <c r="R202" s="624"/>
      <c r="S202" s="299"/>
      <c r="T202" s="104">
        <f>F202+37</f>
        <v>488</v>
      </c>
      <c r="U202" s="264">
        <f>+T202*$X$1</f>
        <v>488</v>
      </c>
      <c r="V202" s="104">
        <f>F202+32</f>
        <v>483</v>
      </c>
      <c r="W202" s="264">
        <f>+V202*$X$1</f>
        <v>483</v>
      </c>
      <c r="X202" s="155"/>
      <c r="Y202" s="155"/>
      <c r="Z202" s="155"/>
      <c r="AA202" s="155"/>
      <c r="AB202" s="200">
        <v>540</v>
      </c>
    </row>
    <row r="203" spans="1:28" ht="12.6" customHeight="1" x14ac:dyDescent="0.2">
      <c r="A203" s="18"/>
      <c r="B203" s="687" t="s">
        <v>500</v>
      </c>
      <c r="C203" s="688"/>
      <c r="D203" s="688"/>
      <c r="E203" s="688"/>
      <c r="F203" s="336">
        <v>780</v>
      </c>
      <c r="G203" s="360">
        <f t="shared" ref="G203" si="354">+F203*$X$1</f>
        <v>780</v>
      </c>
      <c r="H203" s="290"/>
      <c r="I203" s="290"/>
      <c r="J203" s="90"/>
      <c r="K203" s="300"/>
      <c r="L203" s="514"/>
      <c r="M203" s="300"/>
      <c r="N203" s="514"/>
      <c r="O203" s="300"/>
      <c r="P203" s="514"/>
      <c r="Q203" s="300"/>
      <c r="R203" s="514"/>
      <c r="S203" s="300"/>
      <c r="T203" s="103">
        <f>F203+37</f>
        <v>817</v>
      </c>
      <c r="U203" s="321">
        <f>+T203*$X$1</f>
        <v>817</v>
      </c>
      <c r="V203" s="103">
        <f>F203+32</f>
        <v>812</v>
      </c>
      <c r="W203" s="321">
        <f>+V203*$X$1</f>
        <v>812</v>
      </c>
      <c r="X203" s="155"/>
      <c r="Y203" s="155"/>
      <c r="Z203" s="155"/>
      <c r="AA203" s="155"/>
      <c r="AB203" s="200" t="s">
        <v>584</v>
      </c>
    </row>
    <row r="204" spans="1:28" ht="12.6" customHeight="1" x14ac:dyDescent="0.2">
      <c r="A204" s="18"/>
      <c r="B204" s="673" t="s">
        <v>451</v>
      </c>
      <c r="C204" s="676"/>
      <c r="D204" s="676"/>
      <c r="E204" s="677"/>
      <c r="F204" s="413">
        <f>18.74*X2</f>
        <v>19021.099999999999</v>
      </c>
      <c r="G204" s="323">
        <f t="shared" ref="G204" si="355">+F204*$X$1</f>
        <v>19021.099999999999</v>
      </c>
      <c r="H204" s="624">
        <f>F204+420</f>
        <v>19441.099999999999</v>
      </c>
      <c r="I204" s="299">
        <f>+H204*$X$1</f>
        <v>19441.099999999999</v>
      </c>
      <c r="J204" s="624">
        <f>F204+180</f>
        <v>19201.099999999999</v>
      </c>
      <c r="K204" s="299">
        <f t="shared" ref="K204" si="356">+J204*$X$1</f>
        <v>19201.099999999999</v>
      </c>
      <c r="L204" s="624">
        <f>F204+120</f>
        <v>19141.099999999999</v>
      </c>
      <c r="M204" s="299">
        <f>+L204*$X$1</f>
        <v>19141.099999999999</v>
      </c>
      <c r="N204" s="624">
        <f>F204+63</f>
        <v>19084.099999999999</v>
      </c>
      <c r="O204" s="299">
        <f>+N204*$X$1</f>
        <v>19084.099999999999</v>
      </c>
      <c r="P204" s="624">
        <f>F204+54</f>
        <v>19075.099999999999</v>
      </c>
      <c r="Q204" s="299">
        <f>+P204*$X$1</f>
        <v>19075.099999999999</v>
      </c>
      <c r="R204" s="624">
        <f>F204+45</f>
        <v>19066.099999999999</v>
      </c>
      <c r="S204" s="299">
        <f>+R204*$X$1</f>
        <v>19066.099999999999</v>
      </c>
      <c r="T204" s="104">
        <f>F204+37</f>
        <v>19058.099999999999</v>
      </c>
      <c r="U204" s="264">
        <f>+T204*$X$1</f>
        <v>19058.099999999999</v>
      </c>
      <c r="V204" s="104">
        <f>F204+32</f>
        <v>19053.099999999999</v>
      </c>
      <c r="W204" s="264">
        <f>+V204*$X$1</f>
        <v>19053.099999999999</v>
      </c>
      <c r="X204" s="155"/>
      <c r="Y204" s="155"/>
      <c r="Z204" s="155"/>
      <c r="AA204" s="155"/>
      <c r="AB204" s="200">
        <v>542</v>
      </c>
    </row>
    <row r="205" spans="1:28" ht="12.6" customHeight="1" x14ac:dyDescent="0.2">
      <c r="A205" s="18"/>
      <c r="B205" s="685" t="s">
        <v>499</v>
      </c>
      <c r="C205" s="686"/>
      <c r="D205" s="686"/>
      <c r="E205" s="686"/>
      <c r="F205" s="300"/>
      <c r="G205" s="300"/>
      <c r="H205" s="514"/>
      <c r="I205" s="514"/>
      <c r="J205" s="514"/>
      <c r="K205" s="300"/>
      <c r="L205" s="514"/>
      <c r="M205" s="300"/>
      <c r="N205" s="514"/>
      <c r="O205" s="300"/>
      <c r="P205" s="514"/>
      <c r="Q205" s="300"/>
      <c r="R205" s="514"/>
      <c r="S205" s="300"/>
      <c r="T205" s="514"/>
      <c r="U205" s="300"/>
      <c r="V205" s="90"/>
      <c r="W205" s="366"/>
      <c r="X205" s="155"/>
      <c r="Y205" s="155"/>
      <c r="Z205" s="155"/>
      <c r="AA205" s="155"/>
      <c r="AB205" s="200">
        <v>544</v>
      </c>
    </row>
    <row r="206" spans="1:28" ht="12.6" customHeight="1" x14ac:dyDescent="0.2">
      <c r="A206" s="18"/>
      <c r="B206" s="880" t="s">
        <v>198</v>
      </c>
      <c r="C206" s="999"/>
      <c r="D206" s="999"/>
      <c r="E206" s="999"/>
      <c r="F206" s="358">
        <v>350</v>
      </c>
      <c r="G206" s="357">
        <f t="shared" ref="G206:G211" si="357">+F206*$X$1</f>
        <v>350</v>
      </c>
      <c r="H206" s="297"/>
      <c r="I206" s="297"/>
      <c r="J206" s="562">
        <f t="shared" ref="J206" si="358">F206+150</f>
        <v>500</v>
      </c>
      <c r="K206" s="357">
        <f t="shared" ref="K206:K212" si="359">+J206*$X$1</f>
        <v>500</v>
      </c>
      <c r="L206" s="562">
        <f t="shared" ref="L206" si="360">F206+90</f>
        <v>440</v>
      </c>
      <c r="M206" s="357">
        <f t="shared" ref="M206" si="361">+L206*$X$1</f>
        <v>440</v>
      </c>
      <c r="N206" s="562">
        <f t="shared" ref="N206" si="362">F206+55</f>
        <v>405</v>
      </c>
      <c r="O206" s="357">
        <f t="shared" ref="O206" si="363">+N206*$X$1</f>
        <v>405</v>
      </c>
      <c r="P206" s="105"/>
      <c r="Q206" s="956" t="s">
        <v>152</v>
      </c>
      <c r="R206" s="957"/>
      <c r="S206" s="957"/>
      <c r="T206" s="957"/>
      <c r="U206" s="957"/>
      <c r="V206" s="957"/>
      <c r="W206" s="958"/>
      <c r="X206" s="135"/>
      <c r="Y206" s="135"/>
      <c r="Z206" s="135"/>
      <c r="AA206" s="135"/>
      <c r="AB206" s="200">
        <v>547</v>
      </c>
    </row>
    <row r="207" spans="1:28" ht="12.6" customHeight="1" x14ac:dyDescent="0.2">
      <c r="A207" s="18"/>
      <c r="B207" s="670" t="s">
        <v>384</v>
      </c>
      <c r="C207" s="997"/>
      <c r="D207" s="997"/>
      <c r="E207" s="998"/>
      <c r="F207" s="300">
        <v>3607</v>
      </c>
      <c r="G207" s="300">
        <f t="shared" si="357"/>
        <v>3607</v>
      </c>
      <c r="H207" s="290"/>
      <c r="I207" s="290"/>
      <c r="J207" s="514">
        <f>F207+180</f>
        <v>3787</v>
      </c>
      <c r="K207" s="300">
        <f t="shared" si="359"/>
        <v>3787</v>
      </c>
      <c r="L207" s="514">
        <f>F207+120</f>
        <v>3727</v>
      </c>
      <c r="M207" s="300">
        <f>+L207*$X$1</f>
        <v>3727</v>
      </c>
      <c r="N207" s="514">
        <f>F207+63</f>
        <v>3670</v>
      </c>
      <c r="O207" s="300">
        <f>+N207*$X$1</f>
        <v>3670</v>
      </c>
      <c r="P207" s="514">
        <f>F207+54</f>
        <v>3661</v>
      </c>
      <c r="Q207" s="300">
        <f>+P207*$X$1</f>
        <v>3661</v>
      </c>
      <c r="R207" s="514">
        <f>F207+45</f>
        <v>3652</v>
      </c>
      <c r="S207" s="300">
        <f>+R207*$X$1</f>
        <v>3652</v>
      </c>
      <c r="T207" s="103">
        <f>F207+37</f>
        <v>3644</v>
      </c>
      <c r="U207" s="321">
        <f>+T207*$X$1</f>
        <v>3644</v>
      </c>
      <c r="V207" s="103">
        <f>F207+32</f>
        <v>3639</v>
      </c>
      <c r="W207" s="321">
        <f>+V207*$X$1</f>
        <v>3639</v>
      </c>
      <c r="X207" s="135"/>
      <c r="Y207" s="135"/>
      <c r="Z207" s="135"/>
      <c r="AA207" s="135"/>
      <c r="AB207" s="452"/>
    </row>
    <row r="208" spans="1:28" ht="12.6" customHeight="1" x14ac:dyDescent="0.2">
      <c r="A208" s="18"/>
      <c r="B208" s="673" t="s">
        <v>513</v>
      </c>
      <c r="C208" s="676"/>
      <c r="D208" s="676"/>
      <c r="E208" s="677"/>
      <c r="F208" s="322">
        <v>1014</v>
      </c>
      <c r="G208" s="299">
        <f t="shared" si="357"/>
        <v>1014</v>
      </c>
      <c r="H208" s="291"/>
      <c r="I208" s="291"/>
      <c r="J208" s="624">
        <f>F208+180</f>
        <v>1194</v>
      </c>
      <c r="K208" s="299">
        <f t="shared" si="359"/>
        <v>1194</v>
      </c>
      <c r="L208" s="624">
        <f>F208+120</f>
        <v>1134</v>
      </c>
      <c r="M208" s="299">
        <f>+L208*$X$1</f>
        <v>1134</v>
      </c>
      <c r="N208" s="624">
        <f>F208+63</f>
        <v>1077</v>
      </c>
      <c r="O208" s="299">
        <f>+N208*$X$1</f>
        <v>1077</v>
      </c>
      <c r="P208" s="624">
        <f>F208+54</f>
        <v>1068</v>
      </c>
      <c r="Q208" s="299">
        <f>+P208*$X$1</f>
        <v>1068</v>
      </c>
      <c r="R208" s="624">
        <f>F208+45</f>
        <v>1059</v>
      </c>
      <c r="S208" s="299">
        <f>+R208*$X$1</f>
        <v>1059</v>
      </c>
      <c r="T208" s="104">
        <f>F208+37</f>
        <v>1051</v>
      </c>
      <c r="U208" s="264">
        <f>+T208*$X$1</f>
        <v>1051</v>
      </c>
      <c r="V208" s="104">
        <f>F208+32</f>
        <v>1046</v>
      </c>
      <c r="W208" s="264">
        <f>+V208*$X$1</f>
        <v>1046</v>
      </c>
      <c r="X208" s="155"/>
      <c r="Y208" s="155"/>
      <c r="Z208" s="155"/>
      <c r="AA208" s="155"/>
      <c r="AB208" s="200"/>
    </row>
    <row r="209" spans="1:28" ht="12.6" customHeight="1" x14ac:dyDescent="0.2">
      <c r="A209" s="18"/>
      <c r="B209" s="670" t="s">
        <v>473</v>
      </c>
      <c r="C209" s="997"/>
      <c r="D209" s="997"/>
      <c r="E209" s="998"/>
      <c r="F209" s="300">
        <v>3490</v>
      </c>
      <c r="G209" s="300">
        <f t="shared" si="357"/>
        <v>3490</v>
      </c>
      <c r="H209" s="290"/>
      <c r="I209" s="290"/>
      <c r="J209" s="514">
        <f>F209+180</f>
        <v>3670</v>
      </c>
      <c r="K209" s="300">
        <f t="shared" si="359"/>
        <v>3670</v>
      </c>
      <c r="L209" s="514">
        <f>F209+120</f>
        <v>3610</v>
      </c>
      <c r="M209" s="300">
        <f>+L209*$X$1</f>
        <v>3610</v>
      </c>
      <c r="N209" s="514">
        <f>F209+63</f>
        <v>3553</v>
      </c>
      <c r="O209" s="300">
        <f>+N209*$X$1</f>
        <v>3553</v>
      </c>
      <c r="P209" s="514">
        <f>F209+54</f>
        <v>3544</v>
      </c>
      <c r="Q209" s="300">
        <f>+P209*$X$1</f>
        <v>3544</v>
      </c>
      <c r="R209" s="514">
        <f>F209+45</f>
        <v>3535</v>
      </c>
      <c r="S209" s="300">
        <f>+R209*$X$1</f>
        <v>3535</v>
      </c>
      <c r="T209" s="103">
        <f>F209+37</f>
        <v>3527</v>
      </c>
      <c r="U209" s="321">
        <f>+T209*$X$1</f>
        <v>3527</v>
      </c>
      <c r="V209" s="103">
        <f>F209+32</f>
        <v>3522</v>
      </c>
      <c r="W209" s="321">
        <f>+V209*$X$1</f>
        <v>3522</v>
      </c>
      <c r="X209" s="135"/>
      <c r="Y209" s="135"/>
      <c r="Z209" s="135"/>
      <c r="AA209" s="135"/>
      <c r="AB209" s="200">
        <v>551</v>
      </c>
    </row>
    <row r="210" spans="1:28" ht="12.6" customHeight="1" x14ac:dyDescent="0.2">
      <c r="A210" s="18"/>
      <c r="B210" s="727" t="s">
        <v>471</v>
      </c>
      <c r="C210" s="728"/>
      <c r="D210" s="728"/>
      <c r="E210" s="729"/>
      <c r="F210" s="322">
        <v>3880</v>
      </c>
      <c r="G210" s="299">
        <f t="shared" si="357"/>
        <v>3880</v>
      </c>
      <c r="H210" s="291"/>
      <c r="I210" s="291"/>
      <c r="J210" s="624">
        <f>F210+180</f>
        <v>4060</v>
      </c>
      <c r="K210" s="299">
        <f t="shared" si="359"/>
        <v>4060</v>
      </c>
      <c r="L210" s="624">
        <f>F210+120</f>
        <v>4000</v>
      </c>
      <c r="M210" s="299">
        <f>+L210*$X$1</f>
        <v>4000</v>
      </c>
      <c r="N210" s="624">
        <f>F210+63</f>
        <v>3943</v>
      </c>
      <c r="O210" s="299">
        <f>+N210*$X$1</f>
        <v>3943</v>
      </c>
      <c r="P210" s="624">
        <f>F210+54</f>
        <v>3934</v>
      </c>
      <c r="Q210" s="299">
        <f>+P210*$X$1</f>
        <v>3934</v>
      </c>
      <c r="R210" s="624">
        <f>F210+45</f>
        <v>3925</v>
      </c>
      <c r="S210" s="299">
        <f>+R210*$X$1</f>
        <v>3925</v>
      </c>
      <c r="T210" s="104">
        <f>F210+37</f>
        <v>3917</v>
      </c>
      <c r="U210" s="264">
        <f>+T210*$X$1</f>
        <v>3917</v>
      </c>
      <c r="V210" s="104">
        <f>F210+32</f>
        <v>3912</v>
      </c>
      <c r="W210" s="264">
        <f>+V210*$X$1</f>
        <v>3912</v>
      </c>
      <c r="X210" s="135"/>
      <c r="Y210" s="135"/>
      <c r="Z210" s="135"/>
      <c r="AA210" s="135"/>
      <c r="AB210" s="200" t="s">
        <v>470</v>
      </c>
    </row>
    <row r="211" spans="1:28" ht="12.6" customHeight="1" x14ac:dyDescent="0.2">
      <c r="A211" s="18"/>
      <c r="B211" s="953" t="s">
        <v>472</v>
      </c>
      <c r="C211" s="954"/>
      <c r="D211" s="954"/>
      <c r="E211" s="955"/>
      <c r="F211" s="336">
        <v>4172</v>
      </c>
      <c r="G211" s="300">
        <f t="shared" si="357"/>
        <v>4172</v>
      </c>
      <c r="H211" s="290"/>
      <c r="I211" s="290"/>
      <c r="J211" s="514">
        <f>F211+180</f>
        <v>4352</v>
      </c>
      <c r="K211" s="300">
        <f t="shared" si="359"/>
        <v>4352</v>
      </c>
      <c r="L211" s="514">
        <f>F211+120</f>
        <v>4292</v>
      </c>
      <c r="M211" s="300">
        <f>+L211*$X$1</f>
        <v>4292</v>
      </c>
      <c r="N211" s="514">
        <f>F211+63</f>
        <v>4235</v>
      </c>
      <c r="O211" s="300">
        <f>+N211*$X$1</f>
        <v>4235</v>
      </c>
      <c r="P211" s="514">
        <f>F211+54</f>
        <v>4226</v>
      </c>
      <c r="Q211" s="300">
        <f>+P211*$X$1</f>
        <v>4226</v>
      </c>
      <c r="R211" s="514">
        <f>F211+45</f>
        <v>4217</v>
      </c>
      <c r="S211" s="300">
        <f>+R211*$X$1</f>
        <v>4217</v>
      </c>
      <c r="T211" s="103">
        <f>F211+37</f>
        <v>4209</v>
      </c>
      <c r="U211" s="321">
        <f>+T211*$X$1</f>
        <v>4209</v>
      </c>
      <c r="V211" s="103">
        <f>F211+32</f>
        <v>4204</v>
      </c>
      <c r="W211" s="321">
        <f>+V211*$X$1</f>
        <v>4204</v>
      </c>
      <c r="X211" s="135"/>
      <c r="Y211" s="135"/>
      <c r="Z211" s="135"/>
      <c r="AA211" s="135"/>
      <c r="AB211" s="200" t="s">
        <v>474</v>
      </c>
    </row>
    <row r="212" spans="1:28" ht="12.6" customHeight="1" x14ac:dyDescent="0.2">
      <c r="A212" s="18"/>
      <c r="B212" s="663" t="s">
        <v>428</v>
      </c>
      <c r="C212" s="664"/>
      <c r="D212" s="664"/>
      <c r="E212" s="664"/>
      <c r="F212" s="299">
        <v>3705</v>
      </c>
      <c r="G212" s="299">
        <f t="shared" ref="G212" si="364">+F212*$X$1</f>
        <v>3705</v>
      </c>
      <c r="H212" s="291"/>
      <c r="I212" s="291"/>
      <c r="J212" s="624">
        <f>F212+180</f>
        <v>3885</v>
      </c>
      <c r="K212" s="299">
        <f t="shared" si="359"/>
        <v>3885</v>
      </c>
      <c r="L212" s="624">
        <f>F212+120</f>
        <v>3825</v>
      </c>
      <c r="M212" s="299">
        <f>+L212*$X$1</f>
        <v>3825</v>
      </c>
      <c r="N212" s="624">
        <f>F212+63</f>
        <v>3768</v>
      </c>
      <c r="O212" s="299">
        <f>+N212*$X$1</f>
        <v>3768</v>
      </c>
      <c r="P212" s="624">
        <f>F212+54</f>
        <v>3759</v>
      </c>
      <c r="Q212" s="299">
        <f>+P212*$X$1</f>
        <v>3759</v>
      </c>
      <c r="R212" s="624">
        <f>F212+45</f>
        <v>3750</v>
      </c>
      <c r="S212" s="299">
        <f>+R212*$X$1</f>
        <v>3750</v>
      </c>
      <c r="T212" s="104">
        <f>F212+37</f>
        <v>3742</v>
      </c>
      <c r="U212" s="264">
        <f>+T212*$X$1</f>
        <v>3742</v>
      </c>
      <c r="V212" s="104">
        <f>F212+32</f>
        <v>3737</v>
      </c>
      <c r="W212" s="264">
        <f>+V212*$X$1</f>
        <v>3737</v>
      </c>
      <c r="X212" s="135"/>
      <c r="Y212" s="135"/>
      <c r="Z212" s="135"/>
      <c r="AA212" s="135"/>
      <c r="AB212" s="200">
        <v>553</v>
      </c>
    </row>
    <row r="213" spans="1:28" ht="12.6" customHeight="1" x14ac:dyDescent="0.2">
      <c r="A213" s="18"/>
      <c r="B213" s="687" t="s">
        <v>650</v>
      </c>
      <c r="C213" s="688"/>
      <c r="D213" s="688"/>
      <c r="E213" s="688"/>
      <c r="F213" s="412">
        <f>7.391*X2</f>
        <v>7501.8649999999998</v>
      </c>
      <c r="G213" s="360">
        <f t="shared" ref="G213" si="365">+F213*$X$1</f>
        <v>7501.8649999999998</v>
      </c>
      <c r="H213" s="514">
        <f>F213+410</f>
        <v>7911.8649999999998</v>
      </c>
      <c r="I213" s="300">
        <f>+H213*$X$1</f>
        <v>7911.8649999999998</v>
      </c>
      <c r="J213" s="514">
        <f>F213+360</f>
        <v>7861.8649999999998</v>
      </c>
      <c r="K213" s="300">
        <f>+J213*$X$1</f>
        <v>7861.8649999999998</v>
      </c>
      <c r="L213" s="514">
        <f>F213+330</f>
        <v>7831.8649999999998</v>
      </c>
      <c r="M213" s="300">
        <f t="shared" ref="M213" si="366">+L213*$X$1</f>
        <v>7831.8649999999998</v>
      </c>
      <c r="N213" s="514">
        <f>F213+290</f>
        <v>7791.8649999999998</v>
      </c>
      <c r="O213" s="300">
        <f t="shared" ref="O213" si="367">+N213*$X$1</f>
        <v>7791.8649999999998</v>
      </c>
      <c r="P213" s="514">
        <f>F213+240</f>
        <v>7741.8649999999998</v>
      </c>
      <c r="Q213" s="300">
        <f t="shared" ref="Q213" si="368">+P213*$X$1</f>
        <v>7741.8649999999998</v>
      </c>
      <c r="R213" s="514">
        <f>F213+220</f>
        <v>7721.8649999999998</v>
      </c>
      <c r="S213" s="300">
        <f t="shared" ref="S213" si="369">+R213*$X$1</f>
        <v>7721.8649999999998</v>
      </c>
      <c r="T213" s="103">
        <f>F213+200</f>
        <v>7701.8649999999998</v>
      </c>
      <c r="U213" s="321">
        <f t="shared" ref="U213" si="370">+T213*$X$1</f>
        <v>7701.8649999999998</v>
      </c>
      <c r="V213" s="103">
        <f>F213+175</f>
        <v>7676.8649999999998</v>
      </c>
      <c r="W213" s="321">
        <f t="shared" ref="W213" si="371">+V213*$X$1</f>
        <v>7676.8649999999998</v>
      </c>
      <c r="X213" s="155"/>
      <c r="Y213" s="155"/>
      <c r="Z213" s="155"/>
      <c r="AA213" s="155"/>
      <c r="AB213" s="200">
        <v>616</v>
      </c>
    </row>
    <row r="214" spans="1:28" ht="12.6" customHeight="1" x14ac:dyDescent="0.2">
      <c r="A214" s="18"/>
      <c r="B214" s="732" t="s">
        <v>377</v>
      </c>
      <c r="C214" s="733"/>
      <c r="D214" s="733"/>
      <c r="E214" s="733"/>
      <c r="F214" s="357">
        <v>180</v>
      </c>
      <c r="G214" s="357">
        <f t="shared" ref="G214:G217" si="372">+F214*$X$1</f>
        <v>180</v>
      </c>
      <c r="H214" s="297"/>
      <c r="I214" s="363"/>
      <c r="J214" s="623">
        <f>F214+180</f>
        <v>360</v>
      </c>
      <c r="K214" s="357">
        <f t="shared" ref="K214" si="373">+J214*$X$1</f>
        <v>360</v>
      </c>
      <c r="L214" s="623">
        <f>F214+120</f>
        <v>300</v>
      </c>
      <c r="M214" s="357">
        <f>+L214*$X$1</f>
        <v>300</v>
      </c>
      <c r="N214" s="623">
        <f>F214+63</f>
        <v>243</v>
      </c>
      <c r="O214" s="357">
        <f>+N214*$X$1</f>
        <v>243</v>
      </c>
      <c r="P214" s="623"/>
      <c r="Q214" s="623"/>
      <c r="R214" s="562"/>
      <c r="S214" s="562"/>
      <c r="T214" s="562"/>
      <c r="U214" s="562"/>
      <c r="V214" s="105"/>
      <c r="W214" s="105"/>
      <c r="X214" s="155"/>
      <c r="Y214" s="155"/>
      <c r="Z214" s="155"/>
      <c r="AA214" s="155"/>
      <c r="AB214" s="200">
        <v>618</v>
      </c>
    </row>
    <row r="215" spans="1:28" ht="12.6" customHeight="1" x14ac:dyDescent="0.2">
      <c r="A215" s="107"/>
      <c r="B215" s="896" t="s">
        <v>508</v>
      </c>
      <c r="C215" s="897"/>
      <c r="D215" s="897"/>
      <c r="E215" s="897"/>
      <c r="F215" s="357">
        <v>500</v>
      </c>
      <c r="G215" s="357">
        <f t="shared" si="372"/>
        <v>500</v>
      </c>
      <c r="H215" s="562"/>
      <c r="I215" s="357"/>
      <c r="J215" s="297"/>
      <c r="K215" s="363"/>
      <c r="L215" s="623">
        <f>F215+130</f>
        <v>630</v>
      </c>
      <c r="M215" s="357">
        <f t="shared" ref="M215:M222" si="374">+L215*$X$1</f>
        <v>630</v>
      </c>
      <c r="N215" s="623"/>
      <c r="O215" s="357"/>
      <c r="P215" s="562">
        <f>F215+5.1</f>
        <v>505.1</v>
      </c>
      <c r="Q215" s="1003" t="s">
        <v>152</v>
      </c>
      <c r="R215" s="1004"/>
      <c r="S215" s="1004"/>
      <c r="T215" s="1004"/>
      <c r="U215" s="1004"/>
      <c r="V215" s="1004"/>
      <c r="W215" s="1004"/>
      <c r="X215" s="136"/>
      <c r="Y215" s="155"/>
      <c r="Z215" s="155"/>
      <c r="AA215" s="155"/>
      <c r="AB215" s="200">
        <v>621</v>
      </c>
    </row>
    <row r="216" spans="1:28" ht="12.6" customHeight="1" x14ac:dyDescent="0.2">
      <c r="A216" s="21"/>
      <c r="B216" s="663" t="s">
        <v>199</v>
      </c>
      <c r="C216" s="664"/>
      <c r="D216" s="664"/>
      <c r="E216" s="664"/>
      <c r="F216" s="407">
        <f>2.93*X2</f>
        <v>2973.9500000000003</v>
      </c>
      <c r="G216" s="299">
        <f>+F216*$X$1</f>
        <v>2973.9500000000003</v>
      </c>
      <c r="H216" s="335"/>
      <c r="I216" s="364"/>
      <c r="J216" s="624">
        <f>F216+180</f>
        <v>3153.9500000000003</v>
      </c>
      <c r="K216" s="299">
        <f t="shared" ref="K216:K221" si="375">+J216*$X$1</f>
        <v>3153.9500000000003</v>
      </c>
      <c r="L216" s="624">
        <f>F216+120</f>
        <v>3093.9500000000003</v>
      </c>
      <c r="M216" s="299">
        <f>+L216*$X$1</f>
        <v>3093.9500000000003</v>
      </c>
      <c r="N216" s="624">
        <f>F216+63</f>
        <v>3036.9500000000003</v>
      </c>
      <c r="O216" s="299">
        <f>+N216*$X$1</f>
        <v>3036.9500000000003</v>
      </c>
      <c r="P216" s="624">
        <f>F216+54</f>
        <v>3027.9500000000003</v>
      </c>
      <c r="Q216" s="299">
        <f>+P216*$X$1</f>
        <v>3027.9500000000003</v>
      </c>
      <c r="R216" s="624">
        <f>F216+45</f>
        <v>3018.9500000000003</v>
      </c>
      <c r="S216" s="299">
        <f>+R216*$X$1</f>
        <v>3018.9500000000003</v>
      </c>
      <c r="T216" s="104">
        <f>F216+37</f>
        <v>3010.9500000000003</v>
      </c>
      <c r="U216" s="264">
        <f>+T216*$X$1</f>
        <v>3010.9500000000003</v>
      </c>
      <c r="V216" s="104">
        <f>F216+32</f>
        <v>3005.9500000000003</v>
      </c>
      <c r="W216" s="264">
        <f>+V216*$X$1</f>
        <v>3005.9500000000003</v>
      </c>
      <c r="X216" s="155"/>
      <c r="Y216" s="164"/>
      <c r="Z216" s="155"/>
      <c r="AA216" s="155"/>
      <c r="AB216" s="200">
        <v>624</v>
      </c>
    </row>
    <row r="217" spans="1:28" ht="12.6" customHeight="1" x14ac:dyDescent="0.2">
      <c r="A217" s="21"/>
      <c r="B217" s="752" t="s">
        <v>200</v>
      </c>
      <c r="C217" s="801"/>
      <c r="D217" s="801"/>
      <c r="E217" s="801"/>
      <c r="F217" s="408">
        <f>5.057*X2</f>
        <v>5132.8550000000005</v>
      </c>
      <c r="G217" s="300">
        <f t="shared" si="372"/>
        <v>5132.8550000000005</v>
      </c>
      <c r="H217" s="298"/>
      <c r="I217" s="365"/>
      <c r="J217" s="514">
        <f>F217+180</f>
        <v>5312.8550000000005</v>
      </c>
      <c r="K217" s="300">
        <f t="shared" si="375"/>
        <v>5312.8550000000005</v>
      </c>
      <c r="L217" s="514">
        <f>F217+120</f>
        <v>5252.8550000000005</v>
      </c>
      <c r="M217" s="300">
        <f>+L217*$X$1</f>
        <v>5252.8550000000005</v>
      </c>
      <c r="N217" s="514">
        <f>F217+63</f>
        <v>5195.8550000000005</v>
      </c>
      <c r="O217" s="300">
        <f>+N217*$X$1</f>
        <v>5195.8550000000005</v>
      </c>
      <c r="P217" s="514">
        <f>F217+54</f>
        <v>5186.8550000000005</v>
      </c>
      <c r="Q217" s="300">
        <f>+P217*$X$1</f>
        <v>5186.8550000000005</v>
      </c>
      <c r="R217" s="514">
        <f>F217+45</f>
        <v>5177.8550000000005</v>
      </c>
      <c r="S217" s="300">
        <f>+R217*$X$1</f>
        <v>5177.8550000000005</v>
      </c>
      <c r="T217" s="103">
        <f>F217+37</f>
        <v>5169.8550000000005</v>
      </c>
      <c r="U217" s="321">
        <f>+T217*$X$1</f>
        <v>5169.8550000000005</v>
      </c>
      <c r="V217" s="103">
        <f>F217+32</f>
        <v>5164.8550000000005</v>
      </c>
      <c r="W217" s="321">
        <f>+V217*$X$1</f>
        <v>5164.8550000000005</v>
      </c>
      <c r="X217" s="155"/>
      <c r="Y217" s="164"/>
      <c r="Z217" s="155"/>
      <c r="AA217" s="155"/>
      <c r="AB217" s="200" t="s">
        <v>201</v>
      </c>
    </row>
    <row r="218" spans="1:28" ht="12.6" customHeight="1" x14ac:dyDescent="0.2">
      <c r="A218" s="21"/>
      <c r="B218" s="673" t="s">
        <v>202</v>
      </c>
      <c r="C218" s="676"/>
      <c r="D218" s="676"/>
      <c r="E218" s="677"/>
      <c r="F218" s="407">
        <f>5.595*X2</f>
        <v>5678.9250000000002</v>
      </c>
      <c r="G218" s="299">
        <f t="shared" ref="G218:G223" si="376">+F218*$X$1</f>
        <v>5678.9250000000002</v>
      </c>
      <c r="H218" s="335"/>
      <c r="I218" s="364"/>
      <c r="J218" s="624">
        <f>F218+180</f>
        <v>5858.9250000000002</v>
      </c>
      <c r="K218" s="299">
        <f t="shared" si="375"/>
        <v>5858.9250000000002</v>
      </c>
      <c r="L218" s="624">
        <f>F218+120</f>
        <v>5798.9250000000002</v>
      </c>
      <c r="M218" s="299">
        <f>+L218*$X$1</f>
        <v>5798.9250000000002</v>
      </c>
      <c r="N218" s="624">
        <f>F218+63</f>
        <v>5741.9250000000002</v>
      </c>
      <c r="O218" s="299">
        <f>+N218*$X$1</f>
        <v>5741.9250000000002</v>
      </c>
      <c r="P218" s="624">
        <f>F218+54</f>
        <v>5732.9250000000002</v>
      </c>
      <c r="Q218" s="299">
        <f>+P218*$X$1</f>
        <v>5732.9250000000002</v>
      </c>
      <c r="R218" s="624">
        <f>F218+45</f>
        <v>5723.9250000000002</v>
      </c>
      <c r="S218" s="299">
        <f>+R218*$X$1</f>
        <v>5723.9250000000002</v>
      </c>
      <c r="T218" s="104">
        <f>F218+37</f>
        <v>5715.9250000000002</v>
      </c>
      <c r="U218" s="264">
        <f>+T218*$X$1</f>
        <v>5715.9250000000002</v>
      </c>
      <c r="V218" s="104">
        <f>F218+32</f>
        <v>5710.9250000000002</v>
      </c>
      <c r="W218" s="264">
        <f>+V218*$X$1</f>
        <v>5710.9250000000002</v>
      </c>
      <c r="X218" s="155"/>
      <c r="Y218" s="164"/>
      <c r="Z218" s="155"/>
      <c r="AA218" s="155"/>
      <c r="AB218" s="200">
        <v>629</v>
      </c>
    </row>
    <row r="219" spans="1:28" ht="12.6" customHeight="1" x14ac:dyDescent="0.2">
      <c r="A219" s="21"/>
      <c r="B219" s="670" t="s">
        <v>434</v>
      </c>
      <c r="C219" s="679"/>
      <c r="D219" s="679"/>
      <c r="E219" s="680"/>
      <c r="F219" s="408">
        <f>10.631*X2</f>
        <v>10790.465</v>
      </c>
      <c r="G219" s="300">
        <f t="shared" si="376"/>
        <v>10790.465</v>
      </c>
      <c r="H219" s="298"/>
      <c r="I219" s="365"/>
      <c r="J219" s="514">
        <f>F219+180</f>
        <v>10970.465</v>
      </c>
      <c r="K219" s="300">
        <f t="shared" si="375"/>
        <v>10970.465</v>
      </c>
      <c r="L219" s="514">
        <f>F219+120</f>
        <v>10910.465</v>
      </c>
      <c r="M219" s="300">
        <f>+L219*$X$1</f>
        <v>10910.465</v>
      </c>
      <c r="N219" s="514">
        <f>F219+63</f>
        <v>10853.465</v>
      </c>
      <c r="O219" s="300">
        <f>+N219*$X$1</f>
        <v>10853.465</v>
      </c>
      <c r="P219" s="514">
        <f>F219+54</f>
        <v>10844.465</v>
      </c>
      <c r="Q219" s="300">
        <f>+P219*$X$1</f>
        <v>10844.465</v>
      </c>
      <c r="R219" s="514">
        <f>F219+45</f>
        <v>10835.465</v>
      </c>
      <c r="S219" s="300">
        <f>+R219*$X$1</f>
        <v>10835.465</v>
      </c>
      <c r="T219" s="103">
        <f>F219+37</f>
        <v>10827.465</v>
      </c>
      <c r="U219" s="321">
        <f>+T219*$X$1</f>
        <v>10827.465</v>
      </c>
      <c r="V219" s="103">
        <f>F219+32</f>
        <v>10822.465</v>
      </c>
      <c r="W219" s="321">
        <f>+V219*$X$1</f>
        <v>10822.465</v>
      </c>
      <c r="X219" s="155"/>
      <c r="Y219" s="164"/>
      <c r="Z219" s="155"/>
      <c r="AA219" s="155"/>
      <c r="AB219" s="200">
        <v>630</v>
      </c>
    </row>
    <row r="220" spans="1:28" ht="12.6" customHeight="1" x14ac:dyDescent="0.2">
      <c r="A220" s="21"/>
      <c r="B220" s="673" t="s">
        <v>563</v>
      </c>
      <c r="C220" s="676"/>
      <c r="D220" s="676"/>
      <c r="E220" s="677"/>
      <c r="F220" s="407">
        <f>1.05*X2</f>
        <v>1065.75</v>
      </c>
      <c r="G220" s="301">
        <f t="shared" ref="G220" si="377">+F220*$X$1</f>
        <v>1065.75</v>
      </c>
      <c r="H220" s="335"/>
      <c r="I220" s="371"/>
      <c r="J220" s="624">
        <f>F220+180</f>
        <v>1245.75</v>
      </c>
      <c r="K220" s="299">
        <f t="shared" si="375"/>
        <v>1245.75</v>
      </c>
      <c r="L220" s="624">
        <f>F220+120</f>
        <v>1185.75</v>
      </c>
      <c r="M220" s="299">
        <f>+L220*$X$1</f>
        <v>1185.75</v>
      </c>
      <c r="N220" s="624">
        <f>F220+63</f>
        <v>1128.75</v>
      </c>
      <c r="O220" s="299">
        <f>+N220*$X$1</f>
        <v>1128.75</v>
      </c>
      <c r="P220" s="624">
        <f>F220+54</f>
        <v>1119.75</v>
      </c>
      <c r="Q220" s="299">
        <f>+P220*$X$1</f>
        <v>1119.75</v>
      </c>
      <c r="R220" s="624">
        <f>F220+45</f>
        <v>1110.75</v>
      </c>
      <c r="S220" s="299">
        <f>+R220*$X$1</f>
        <v>1110.75</v>
      </c>
      <c r="T220" s="104">
        <f>F220+37</f>
        <v>1102.75</v>
      </c>
      <c r="U220" s="264">
        <f>+T220*$X$1</f>
        <v>1102.75</v>
      </c>
      <c r="V220" s="104">
        <f>F220+32</f>
        <v>1097.75</v>
      </c>
      <c r="W220" s="264">
        <f>+V220*$X$1</f>
        <v>1097.75</v>
      </c>
      <c r="X220" s="155"/>
      <c r="Y220" s="164"/>
      <c r="Z220" s="155"/>
      <c r="AA220" s="155"/>
      <c r="AB220" s="200">
        <v>631</v>
      </c>
    </row>
    <row r="221" spans="1:28" ht="12.6" customHeight="1" x14ac:dyDescent="0.2">
      <c r="A221" s="21"/>
      <c r="B221" s="670" t="s">
        <v>526</v>
      </c>
      <c r="C221" s="679"/>
      <c r="D221" s="679"/>
      <c r="E221" s="680"/>
      <c r="F221" s="408">
        <f>1.352*X2</f>
        <v>1372.2800000000002</v>
      </c>
      <c r="G221" s="302">
        <f t="shared" si="376"/>
        <v>1372.2800000000002</v>
      </c>
      <c r="H221" s="298"/>
      <c r="I221" s="372"/>
      <c r="J221" s="514">
        <f>F221+180</f>
        <v>1552.2800000000002</v>
      </c>
      <c r="K221" s="300">
        <f t="shared" si="375"/>
        <v>1552.2800000000002</v>
      </c>
      <c r="L221" s="514">
        <f>F221+120</f>
        <v>1492.2800000000002</v>
      </c>
      <c r="M221" s="300">
        <f>+L221*$X$1</f>
        <v>1492.2800000000002</v>
      </c>
      <c r="N221" s="514">
        <f>F221+63</f>
        <v>1435.2800000000002</v>
      </c>
      <c r="O221" s="300">
        <f>+N221*$X$1</f>
        <v>1435.2800000000002</v>
      </c>
      <c r="P221" s="514">
        <f>F221+54</f>
        <v>1426.2800000000002</v>
      </c>
      <c r="Q221" s="300">
        <f>+P221*$X$1</f>
        <v>1426.2800000000002</v>
      </c>
      <c r="R221" s="514">
        <f>F221+45</f>
        <v>1417.2800000000002</v>
      </c>
      <c r="S221" s="300">
        <f>+R221*$X$1</f>
        <v>1417.2800000000002</v>
      </c>
      <c r="T221" s="103">
        <f>F221+37</f>
        <v>1409.2800000000002</v>
      </c>
      <c r="U221" s="321">
        <f>+T221*$X$1</f>
        <v>1409.2800000000002</v>
      </c>
      <c r="V221" s="103">
        <f>F221+32</f>
        <v>1404.2800000000002</v>
      </c>
      <c r="W221" s="321">
        <f>+V221*$X$1</f>
        <v>1404.2800000000002</v>
      </c>
      <c r="X221" s="155"/>
      <c r="Y221" s="164"/>
      <c r="Z221" s="155"/>
      <c r="AA221" s="155"/>
      <c r="AB221" s="200">
        <v>640</v>
      </c>
    </row>
    <row r="222" spans="1:28" ht="12.6" customHeight="1" x14ac:dyDescent="0.2">
      <c r="A222" s="21"/>
      <c r="B222" s="673" t="s">
        <v>545</v>
      </c>
      <c r="C222" s="676"/>
      <c r="D222" s="676"/>
      <c r="E222" s="677"/>
      <c r="F222" s="407">
        <f>15.8*X2</f>
        <v>16037</v>
      </c>
      <c r="G222" s="301">
        <f t="shared" si="376"/>
        <v>16037</v>
      </c>
      <c r="H222" s="624">
        <f>F222+400</f>
        <v>16437</v>
      </c>
      <c r="I222" s="299">
        <f t="shared" ref="I222:I223" si="378">+H222*$X$1</f>
        <v>16437</v>
      </c>
      <c r="J222" s="624">
        <f>F222+170</f>
        <v>16207</v>
      </c>
      <c r="K222" s="299">
        <f t="shared" ref="K222:K223" si="379">+J222*$X$1</f>
        <v>16207</v>
      </c>
      <c r="L222" s="624">
        <f t="shared" ref="L222" si="380">F222+130</f>
        <v>16167</v>
      </c>
      <c r="M222" s="299">
        <f t="shared" si="374"/>
        <v>16167</v>
      </c>
      <c r="N222" s="624">
        <f t="shared" ref="N222" si="381">F222+100</f>
        <v>16137</v>
      </c>
      <c r="O222" s="299">
        <f t="shared" ref="O222" si="382">+N222*$X$1</f>
        <v>16137</v>
      </c>
      <c r="P222" s="624">
        <f t="shared" ref="P222" si="383">F222+80</f>
        <v>16117</v>
      </c>
      <c r="Q222" s="299">
        <f t="shared" ref="Q222" si="384">+P222*$X$1</f>
        <v>16117</v>
      </c>
      <c r="R222" s="624">
        <f t="shared" ref="R222" si="385">F222+74</f>
        <v>16111</v>
      </c>
      <c r="S222" s="299">
        <f t="shared" ref="S222" si="386">+R222*$X$1</f>
        <v>16111</v>
      </c>
      <c r="T222" s="624">
        <f t="shared" ref="T222" si="387">F222+67</f>
        <v>16104</v>
      </c>
      <c r="U222" s="299">
        <f t="shared" ref="U222" si="388">+T222*$X$1</f>
        <v>16104</v>
      </c>
      <c r="V222" s="624">
        <f t="shared" ref="V222" si="389">F222+55</f>
        <v>16092</v>
      </c>
      <c r="W222" s="299">
        <f t="shared" ref="W222" si="390">+V222*$X$1</f>
        <v>16092</v>
      </c>
      <c r="X222" s="155"/>
      <c r="Y222" s="164"/>
      <c r="Z222" s="155"/>
      <c r="AA222" s="155"/>
      <c r="AB222" s="200">
        <v>672</v>
      </c>
    </row>
    <row r="223" spans="1:28" ht="12.6" customHeight="1" x14ac:dyDescent="0.2">
      <c r="A223" s="18"/>
      <c r="B223" s="685" t="s">
        <v>203</v>
      </c>
      <c r="C223" s="686"/>
      <c r="D223" s="686"/>
      <c r="E223" s="686"/>
      <c r="F223" s="408">
        <f>6.848*X2</f>
        <v>6950.72</v>
      </c>
      <c r="G223" s="300">
        <f t="shared" si="376"/>
        <v>6950.72</v>
      </c>
      <c r="H223" s="90">
        <f t="shared" ref="H223" si="391">F223+400</f>
        <v>7350.72</v>
      </c>
      <c r="I223" s="300">
        <f t="shared" si="378"/>
        <v>7350.72</v>
      </c>
      <c r="J223" s="514">
        <f t="shared" ref="J223" si="392">F223+170</f>
        <v>7120.72</v>
      </c>
      <c r="K223" s="300">
        <f t="shared" si="379"/>
        <v>7120.72</v>
      </c>
      <c r="L223" s="514">
        <f t="shared" ref="L223" si="393">F223+130</f>
        <v>7080.72</v>
      </c>
      <c r="M223" s="300">
        <f t="shared" ref="M223" si="394">+L223*$X$1</f>
        <v>7080.72</v>
      </c>
      <c r="N223" s="514">
        <f t="shared" ref="N223" si="395">F223+100</f>
        <v>7050.72</v>
      </c>
      <c r="O223" s="300">
        <f t="shared" ref="O223" si="396">+N223*$X$1</f>
        <v>7050.72</v>
      </c>
      <c r="P223" s="514">
        <f t="shared" ref="P223" si="397">F223+80</f>
        <v>7030.72</v>
      </c>
      <c r="Q223" s="300">
        <f t="shared" ref="Q223" si="398">+P223*$X$1</f>
        <v>7030.72</v>
      </c>
      <c r="R223" s="514">
        <f t="shared" ref="R223" si="399">F223+74</f>
        <v>7024.72</v>
      </c>
      <c r="S223" s="300">
        <f t="shared" ref="S223" si="400">+R223*$X$1</f>
        <v>7024.72</v>
      </c>
      <c r="T223" s="514">
        <f t="shared" ref="T223" si="401">F223+67</f>
        <v>7017.72</v>
      </c>
      <c r="U223" s="300">
        <f t="shared" ref="U223" si="402">+T223*$X$1</f>
        <v>7017.72</v>
      </c>
      <c r="V223" s="514">
        <f t="shared" ref="V223" si="403">F223+55</f>
        <v>7005.72</v>
      </c>
      <c r="W223" s="300">
        <f t="shared" ref="W223" si="404">+V223*$X$1</f>
        <v>7005.72</v>
      </c>
      <c r="X223" s="681"/>
      <c r="Y223" s="666"/>
      <c r="Z223" s="666"/>
      <c r="AA223" s="667"/>
      <c r="AB223" s="200">
        <v>705</v>
      </c>
    </row>
    <row r="224" spans="1:28" ht="12.6" customHeight="1" x14ac:dyDescent="0.2">
      <c r="A224" s="18"/>
      <c r="B224" s="663" t="s">
        <v>539</v>
      </c>
      <c r="C224" s="693"/>
      <c r="D224" s="693"/>
      <c r="E224" s="693"/>
      <c r="F224" s="348">
        <v>10476</v>
      </c>
      <c r="G224" s="299">
        <f t="shared" ref="G224" si="405">+F224*$X$1</f>
        <v>10476</v>
      </c>
      <c r="H224" s="624">
        <f>F224+500</f>
        <v>10976</v>
      </c>
      <c r="I224" s="299">
        <f t="shared" ref="I224" si="406">+H224*$X$1</f>
        <v>10976</v>
      </c>
      <c r="J224" s="624">
        <f>F224+220</f>
        <v>10696</v>
      </c>
      <c r="K224" s="299">
        <f t="shared" ref="K224" si="407">+J224*$X$1</f>
        <v>10696</v>
      </c>
      <c r="L224" s="624">
        <f>F224+170</f>
        <v>10646</v>
      </c>
      <c r="M224" s="299">
        <f t="shared" ref="M224" si="408">+L224*$X$1</f>
        <v>10646</v>
      </c>
      <c r="N224" s="624">
        <f>F224+145</f>
        <v>10621</v>
      </c>
      <c r="O224" s="299">
        <f t="shared" ref="O224" si="409">+N224*$X$1</f>
        <v>10621</v>
      </c>
      <c r="P224" s="624">
        <f>F224+130</f>
        <v>10606</v>
      </c>
      <c r="Q224" s="299">
        <f t="shared" ref="Q224" si="410">+P224*$X$1</f>
        <v>10606</v>
      </c>
      <c r="R224" s="624">
        <f>F224+110</f>
        <v>10586</v>
      </c>
      <c r="S224" s="299">
        <f t="shared" ref="S224" si="411">+R224*$X$1</f>
        <v>10586</v>
      </c>
      <c r="T224" s="104">
        <f>F224+95</f>
        <v>10571</v>
      </c>
      <c r="U224" s="264">
        <f t="shared" ref="U224" si="412">+T224*$X$1</f>
        <v>10571</v>
      </c>
      <c r="V224" s="104">
        <f>F224+80</f>
        <v>10556</v>
      </c>
      <c r="W224" s="264">
        <f t="shared" ref="W224" si="413">+V224*$X$1</f>
        <v>10556</v>
      </c>
      <c r="X224" s="711"/>
      <c r="Y224" s="697"/>
      <c r="Z224" s="697"/>
      <c r="AA224" s="698"/>
      <c r="AB224" s="200">
        <v>815</v>
      </c>
    </row>
    <row r="225" spans="1:34" ht="12.6" customHeight="1" x14ac:dyDescent="0.2">
      <c r="A225" s="18"/>
      <c r="B225" s="685" t="s">
        <v>538</v>
      </c>
      <c r="C225" s="686"/>
      <c r="D225" s="686"/>
      <c r="E225" s="686"/>
      <c r="F225" s="347">
        <v>18042</v>
      </c>
      <c r="G225" s="300">
        <f t="shared" ref="G225" si="414">+F225*$X$1</f>
        <v>18042</v>
      </c>
      <c r="H225" s="514">
        <f>F225+500</f>
        <v>18542</v>
      </c>
      <c r="I225" s="300">
        <f t="shared" ref="I225:I234" si="415">+H225*$X$1</f>
        <v>18542</v>
      </c>
      <c r="J225" s="514">
        <f>F225+220</f>
        <v>18262</v>
      </c>
      <c r="K225" s="300">
        <f t="shared" ref="K225:K234" si="416">+J225*$X$1</f>
        <v>18262</v>
      </c>
      <c r="L225" s="514">
        <f>F225+170</f>
        <v>18212</v>
      </c>
      <c r="M225" s="300">
        <f t="shared" ref="M225:M234" si="417">+L225*$X$1</f>
        <v>18212</v>
      </c>
      <c r="N225" s="514">
        <f>F225+145</f>
        <v>18187</v>
      </c>
      <c r="O225" s="300">
        <f t="shared" ref="O225:O234" si="418">+N225*$X$1</f>
        <v>18187</v>
      </c>
      <c r="P225" s="514">
        <f>F225+130</f>
        <v>18172</v>
      </c>
      <c r="Q225" s="300">
        <f t="shared" ref="Q225:Q234" si="419">+P225*$X$1</f>
        <v>18172</v>
      </c>
      <c r="R225" s="514">
        <f>F225+110</f>
        <v>18152</v>
      </c>
      <c r="S225" s="300">
        <f t="shared" ref="S225:S234" si="420">+R225*$X$1</f>
        <v>18152</v>
      </c>
      <c r="T225" s="103">
        <f>F225+95</f>
        <v>18137</v>
      </c>
      <c r="U225" s="321">
        <f t="shared" ref="U225:U234" si="421">+T225*$X$1</f>
        <v>18137</v>
      </c>
      <c r="V225" s="103">
        <f>F225+80</f>
        <v>18122</v>
      </c>
      <c r="W225" s="321">
        <f t="shared" ref="W225:W234" si="422">+V225*$X$1</f>
        <v>18122</v>
      </c>
      <c r="X225" s="711"/>
      <c r="Y225" s="697"/>
      <c r="Z225" s="697"/>
      <c r="AA225" s="698"/>
      <c r="AB225" s="200">
        <v>819</v>
      </c>
    </row>
    <row r="226" spans="1:34" ht="12.6" customHeight="1" x14ac:dyDescent="0.2">
      <c r="A226" s="18"/>
      <c r="B226" s="663" t="s">
        <v>731</v>
      </c>
      <c r="C226" s="693"/>
      <c r="D226" s="693"/>
      <c r="E226" s="693"/>
      <c r="F226" s="407">
        <f>4.7*X2</f>
        <v>4770.5</v>
      </c>
      <c r="G226" s="299">
        <f>+F226*$X$1</f>
        <v>4770.5</v>
      </c>
      <c r="H226" s="624">
        <f>F226+500</f>
        <v>5270.5</v>
      </c>
      <c r="I226" s="299">
        <f t="shared" si="415"/>
        <v>5270.5</v>
      </c>
      <c r="J226" s="624">
        <f>F226+220</f>
        <v>4990.5</v>
      </c>
      <c r="K226" s="299">
        <f t="shared" si="416"/>
        <v>4990.5</v>
      </c>
      <c r="L226" s="624">
        <f>F226+170</f>
        <v>4940.5</v>
      </c>
      <c r="M226" s="299">
        <f t="shared" si="417"/>
        <v>4940.5</v>
      </c>
      <c r="N226" s="624">
        <f>F226+145</f>
        <v>4915.5</v>
      </c>
      <c r="O226" s="299">
        <f t="shared" si="418"/>
        <v>4915.5</v>
      </c>
      <c r="P226" s="624">
        <f>F226+130</f>
        <v>4900.5</v>
      </c>
      <c r="Q226" s="299">
        <f t="shared" si="419"/>
        <v>4900.5</v>
      </c>
      <c r="R226" s="624">
        <f>F226+110</f>
        <v>4880.5</v>
      </c>
      <c r="S226" s="299">
        <f t="shared" si="420"/>
        <v>4880.5</v>
      </c>
      <c r="T226" s="104">
        <f>F226+95</f>
        <v>4865.5</v>
      </c>
      <c r="U226" s="264">
        <f t="shared" si="421"/>
        <v>4865.5</v>
      </c>
      <c r="V226" s="104">
        <f>F226+80</f>
        <v>4850.5</v>
      </c>
      <c r="W226" s="264">
        <f t="shared" si="422"/>
        <v>4850.5</v>
      </c>
      <c r="X226" s="711"/>
      <c r="Y226" s="697"/>
      <c r="Z226" s="697"/>
      <c r="AA226" s="698"/>
      <c r="AB226" s="200">
        <v>821</v>
      </c>
    </row>
    <row r="227" spans="1:34" ht="12.6" customHeight="1" x14ac:dyDescent="0.2">
      <c r="A227" s="18"/>
      <c r="B227" s="685" t="s">
        <v>533</v>
      </c>
      <c r="C227" s="686"/>
      <c r="D227" s="686"/>
      <c r="E227" s="686"/>
      <c r="F227" s="347">
        <v>15132</v>
      </c>
      <c r="G227" s="300">
        <f t="shared" ref="G227:G232" si="423">+F227*$X$1</f>
        <v>15132</v>
      </c>
      <c r="H227" s="514">
        <f>F227+500</f>
        <v>15632</v>
      </c>
      <c r="I227" s="300">
        <f t="shared" si="415"/>
        <v>15632</v>
      </c>
      <c r="J227" s="514">
        <f>F227+220</f>
        <v>15352</v>
      </c>
      <c r="K227" s="300">
        <f t="shared" si="416"/>
        <v>15352</v>
      </c>
      <c r="L227" s="514">
        <f>F227+170</f>
        <v>15302</v>
      </c>
      <c r="M227" s="300">
        <f t="shared" si="417"/>
        <v>15302</v>
      </c>
      <c r="N227" s="514">
        <f>F227+145</f>
        <v>15277</v>
      </c>
      <c r="O227" s="300">
        <f t="shared" si="418"/>
        <v>15277</v>
      </c>
      <c r="P227" s="514">
        <f>F227+130</f>
        <v>15262</v>
      </c>
      <c r="Q227" s="300">
        <f t="shared" si="419"/>
        <v>15262</v>
      </c>
      <c r="R227" s="514">
        <f>F227+110</f>
        <v>15242</v>
      </c>
      <c r="S227" s="300">
        <f t="shared" si="420"/>
        <v>15242</v>
      </c>
      <c r="T227" s="103">
        <f>F227+95</f>
        <v>15227</v>
      </c>
      <c r="U227" s="321">
        <f t="shared" si="421"/>
        <v>15227</v>
      </c>
      <c r="V227" s="103">
        <f>F227+80</f>
        <v>15212</v>
      </c>
      <c r="W227" s="321">
        <f t="shared" si="422"/>
        <v>15212</v>
      </c>
      <c r="X227" s="711"/>
      <c r="Y227" s="697"/>
      <c r="Z227" s="697"/>
      <c r="AA227" s="698"/>
      <c r="AB227" s="200">
        <v>823</v>
      </c>
    </row>
    <row r="228" spans="1:34" ht="12.6" customHeight="1" x14ac:dyDescent="0.2">
      <c r="A228" s="18"/>
      <c r="B228" s="663" t="s">
        <v>880</v>
      </c>
      <c r="C228" s="693"/>
      <c r="D228" s="693"/>
      <c r="E228" s="693"/>
      <c r="F228" s="407">
        <f>3.18*X2</f>
        <v>3227.7000000000003</v>
      </c>
      <c r="G228" s="299">
        <f>+F228*$X$1</f>
        <v>3227.7000000000003</v>
      </c>
      <c r="H228" s="624">
        <f>F228+500</f>
        <v>3727.7000000000003</v>
      </c>
      <c r="I228" s="299">
        <f t="shared" si="415"/>
        <v>3727.7000000000003</v>
      </c>
      <c r="J228" s="624">
        <f>F228+220</f>
        <v>3447.7000000000003</v>
      </c>
      <c r="K228" s="299">
        <f t="shared" si="416"/>
        <v>3447.7000000000003</v>
      </c>
      <c r="L228" s="624">
        <f>F228+170</f>
        <v>3397.7000000000003</v>
      </c>
      <c r="M228" s="299">
        <f t="shared" si="417"/>
        <v>3397.7000000000003</v>
      </c>
      <c r="N228" s="624">
        <f>F228+145</f>
        <v>3372.7000000000003</v>
      </c>
      <c r="O228" s="299">
        <f t="shared" si="418"/>
        <v>3372.7000000000003</v>
      </c>
      <c r="P228" s="624">
        <f>F228+130</f>
        <v>3357.7000000000003</v>
      </c>
      <c r="Q228" s="299">
        <f t="shared" si="419"/>
        <v>3357.7000000000003</v>
      </c>
      <c r="R228" s="624">
        <f>F228+110</f>
        <v>3337.7000000000003</v>
      </c>
      <c r="S228" s="299">
        <f t="shared" si="420"/>
        <v>3337.7000000000003</v>
      </c>
      <c r="T228" s="104">
        <f>F228+95</f>
        <v>3322.7000000000003</v>
      </c>
      <c r="U228" s="264">
        <f t="shared" si="421"/>
        <v>3322.7000000000003</v>
      </c>
      <c r="V228" s="104">
        <f>F228+80</f>
        <v>3307.7000000000003</v>
      </c>
      <c r="W228" s="264">
        <f t="shared" si="422"/>
        <v>3307.7000000000003</v>
      </c>
      <c r="X228" s="711"/>
      <c r="Y228" s="697"/>
      <c r="Z228" s="697"/>
      <c r="AA228" s="698"/>
      <c r="AB228" s="200">
        <v>825</v>
      </c>
    </row>
    <row r="229" spans="1:34" ht="12.6" customHeight="1" x14ac:dyDescent="0.2">
      <c r="A229" s="18"/>
      <c r="B229" s="685" t="s">
        <v>726</v>
      </c>
      <c r="C229" s="686"/>
      <c r="D229" s="686"/>
      <c r="E229" s="686"/>
      <c r="F229" s="408">
        <f>7.52*X2</f>
        <v>7632.7999999999993</v>
      </c>
      <c r="G229" s="300">
        <f>+F229*$X$1</f>
        <v>7632.7999999999993</v>
      </c>
      <c r="H229" s="514">
        <f>F229+500</f>
        <v>8132.7999999999993</v>
      </c>
      <c r="I229" s="300">
        <f t="shared" si="415"/>
        <v>8132.7999999999993</v>
      </c>
      <c r="J229" s="514">
        <f>F229+220</f>
        <v>7852.7999999999993</v>
      </c>
      <c r="K229" s="300">
        <f t="shared" si="416"/>
        <v>7852.7999999999993</v>
      </c>
      <c r="L229" s="514">
        <f>F229+170</f>
        <v>7802.7999999999993</v>
      </c>
      <c r="M229" s="300">
        <f t="shared" si="417"/>
        <v>7802.7999999999993</v>
      </c>
      <c r="N229" s="514">
        <f>F229+145</f>
        <v>7777.7999999999993</v>
      </c>
      <c r="O229" s="300">
        <f t="shared" si="418"/>
        <v>7777.7999999999993</v>
      </c>
      <c r="P229" s="514">
        <f>F229+130</f>
        <v>7762.7999999999993</v>
      </c>
      <c r="Q229" s="300">
        <f t="shared" si="419"/>
        <v>7762.7999999999993</v>
      </c>
      <c r="R229" s="514">
        <f>F229+110</f>
        <v>7742.7999999999993</v>
      </c>
      <c r="S229" s="300">
        <f t="shared" si="420"/>
        <v>7742.7999999999993</v>
      </c>
      <c r="T229" s="103">
        <f>F229+95</f>
        <v>7727.7999999999993</v>
      </c>
      <c r="U229" s="321">
        <f t="shared" si="421"/>
        <v>7727.7999999999993</v>
      </c>
      <c r="V229" s="103">
        <f>F229+80</f>
        <v>7712.7999999999993</v>
      </c>
      <c r="W229" s="321">
        <f t="shared" si="422"/>
        <v>7712.7999999999993</v>
      </c>
      <c r="X229" s="711"/>
      <c r="Y229" s="697"/>
      <c r="Z229" s="697"/>
      <c r="AA229" s="698"/>
      <c r="AB229" s="200">
        <v>826</v>
      </c>
    </row>
    <row r="230" spans="1:34" ht="12.6" customHeight="1" x14ac:dyDescent="0.2">
      <c r="A230" s="18"/>
      <c r="B230" s="951" t="s">
        <v>915</v>
      </c>
      <c r="C230" s="690"/>
      <c r="D230" s="690"/>
      <c r="E230" s="690"/>
      <c r="F230" s="407">
        <f>2.9*X2</f>
        <v>2943.5</v>
      </c>
      <c r="G230" s="299">
        <f t="shared" ref="G230" si="424">+F230*$X$1</f>
        <v>2943.5</v>
      </c>
      <c r="H230" s="624">
        <f>F230+500</f>
        <v>3443.5</v>
      </c>
      <c r="I230" s="299">
        <f t="shared" si="415"/>
        <v>3443.5</v>
      </c>
      <c r="J230" s="624">
        <f>F230+220</f>
        <v>3163.5</v>
      </c>
      <c r="K230" s="299">
        <f t="shared" si="416"/>
        <v>3163.5</v>
      </c>
      <c r="L230" s="624">
        <f>F230+170</f>
        <v>3113.5</v>
      </c>
      <c r="M230" s="299">
        <f t="shared" si="417"/>
        <v>3113.5</v>
      </c>
      <c r="N230" s="624">
        <f>F230+145</f>
        <v>3088.5</v>
      </c>
      <c r="O230" s="299">
        <f t="shared" si="418"/>
        <v>3088.5</v>
      </c>
      <c r="P230" s="624">
        <f>F230+130</f>
        <v>3073.5</v>
      </c>
      <c r="Q230" s="299">
        <f t="shared" si="419"/>
        <v>3073.5</v>
      </c>
      <c r="R230" s="624">
        <f>F230+110</f>
        <v>3053.5</v>
      </c>
      <c r="S230" s="299">
        <f t="shared" si="420"/>
        <v>3053.5</v>
      </c>
      <c r="T230" s="104">
        <f>F230+95</f>
        <v>3038.5</v>
      </c>
      <c r="U230" s="264">
        <f t="shared" si="421"/>
        <v>3038.5</v>
      </c>
      <c r="V230" s="104">
        <f>F230+80</f>
        <v>3023.5</v>
      </c>
      <c r="W230" s="264">
        <f t="shared" si="422"/>
        <v>3023.5</v>
      </c>
      <c r="X230" s="711"/>
      <c r="Y230" s="697"/>
      <c r="Z230" s="697"/>
      <c r="AA230" s="698"/>
      <c r="AB230" s="200">
        <v>827</v>
      </c>
    </row>
    <row r="231" spans="1:34" ht="12.6" customHeight="1" x14ac:dyDescent="0.2">
      <c r="A231" s="18"/>
      <c r="B231" s="685" t="s">
        <v>727</v>
      </c>
      <c r="C231" s="686"/>
      <c r="D231" s="686"/>
      <c r="E231" s="686"/>
      <c r="F231" s="408">
        <f>8.75*X2</f>
        <v>8881.25</v>
      </c>
      <c r="G231" s="300">
        <f>+F231*$X$1</f>
        <v>8881.25</v>
      </c>
      <c r="H231" s="514">
        <f>F231+500</f>
        <v>9381.25</v>
      </c>
      <c r="I231" s="300">
        <f t="shared" si="415"/>
        <v>9381.25</v>
      </c>
      <c r="J231" s="514">
        <f>F231+220</f>
        <v>9101.25</v>
      </c>
      <c r="K231" s="300">
        <f t="shared" si="416"/>
        <v>9101.25</v>
      </c>
      <c r="L231" s="514">
        <f>F231+170</f>
        <v>9051.25</v>
      </c>
      <c r="M231" s="300">
        <f t="shared" si="417"/>
        <v>9051.25</v>
      </c>
      <c r="N231" s="514">
        <f>F231+145</f>
        <v>9026.25</v>
      </c>
      <c r="O231" s="300">
        <f t="shared" si="418"/>
        <v>9026.25</v>
      </c>
      <c r="P231" s="514">
        <f>F231+130</f>
        <v>9011.25</v>
      </c>
      <c r="Q231" s="300">
        <f t="shared" si="419"/>
        <v>9011.25</v>
      </c>
      <c r="R231" s="514">
        <f>F231+110</f>
        <v>8991.25</v>
      </c>
      <c r="S231" s="300">
        <f t="shared" si="420"/>
        <v>8991.25</v>
      </c>
      <c r="T231" s="103">
        <f>F231+95</f>
        <v>8976.25</v>
      </c>
      <c r="U231" s="321">
        <f t="shared" si="421"/>
        <v>8976.25</v>
      </c>
      <c r="V231" s="103">
        <f>F231+80</f>
        <v>8961.25</v>
      </c>
      <c r="W231" s="321">
        <f t="shared" si="422"/>
        <v>8961.25</v>
      </c>
      <c r="X231" s="711"/>
      <c r="Y231" s="697"/>
      <c r="Z231" s="697"/>
      <c r="AA231" s="698"/>
      <c r="AB231" s="200">
        <v>828</v>
      </c>
    </row>
    <row r="232" spans="1:34" ht="12.6" customHeight="1" x14ac:dyDescent="0.2">
      <c r="A232" s="18"/>
      <c r="B232" s="663" t="s">
        <v>647</v>
      </c>
      <c r="C232" s="693"/>
      <c r="D232" s="693"/>
      <c r="E232" s="693"/>
      <c r="F232" s="407">
        <f>3.612*X2</f>
        <v>3666.1800000000003</v>
      </c>
      <c r="G232" s="299">
        <f t="shared" si="423"/>
        <v>3666.1800000000003</v>
      </c>
      <c r="H232" s="624">
        <f>F232+500</f>
        <v>4166.18</v>
      </c>
      <c r="I232" s="299">
        <f t="shared" si="415"/>
        <v>4166.18</v>
      </c>
      <c r="J232" s="624">
        <f>F232+220</f>
        <v>3886.1800000000003</v>
      </c>
      <c r="K232" s="299">
        <f t="shared" si="416"/>
        <v>3886.1800000000003</v>
      </c>
      <c r="L232" s="624">
        <f>F232+170</f>
        <v>3836.1800000000003</v>
      </c>
      <c r="M232" s="299">
        <f t="shared" si="417"/>
        <v>3836.1800000000003</v>
      </c>
      <c r="N232" s="624">
        <f>F232+145</f>
        <v>3811.1800000000003</v>
      </c>
      <c r="O232" s="299">
        <f t="shared" si="418"/>
        <v>3811.1800000000003</v>
      </c>
      <c r="P232" s="624">
        <f>F232+130</f>
        <v>3796.1800000000003</v>
      </c>
      <c r="Q232" s="299">
        <f t="shared" si="419"/>
        <v>3796.1800000000003</v>
      </c>
      <c r="R232" s="624">
        <f>F232+110</f>
        <v>3776.1800000000003</v>
      </c>
      <c r="S232" s="299">
        <f t="shared" si="420"/>
        <v>3776.1800000000003</v>
      </c>
      <c r="T232" s="104">
        <f>F232+95</f>
        <v>3761.1800000000003</v>
      </c>
      <c r="U232" s="264">
        <f t="shared" si="421"/>
        <v>3761.1800000000003</v>
      </c>
      <c r="V232" s="104">
        <f>F232+80</f>
        <v>3746.1800000000003</v>
      </c>
      <c r="W232" s="264">
        <f t="shared" si="422"/>
        <v>3746.1800000000003</v>
      </c>
      <c r="X232" s="711"/>
      <c r="Y232" s="697"/>
      <c r="Z232" s="697"/>
      <c r="AA232" s="698"/>
      <c r="AB232" s="200">
        <v>829</v>
      </c>
    </row>
    <row r="233" spans="1:34" ht="12.6" customHeight="1" x14ac:dyDescent="0.2">
      <c r="A233" s="18"/>
      <c r="B233" s="685" t="s">
        <v>881</v>
      </c>
      <c r="C233" s="686"/>
      <c r="D233" s="686"/>
      <c r="E233" s="686"/>
      <c r="F233" s="408">
        <f>9.6*X2</f>
        <v>9744</v>
      </c>
      <c r="G233" s="300">
        <f>+F233*$X$1</f>
        <v>9744</v>
      </c>
      <c r="H233" s="514">
        <f>F233+500</f>
        <v>10244</v>
      </c>
      <c r="I233" s="300">
        <f t="shared" si="415"/>
        <v>10244</v>
      </c>
      <c r="J233" s="514">
        <f>F233+220</f>
        <v>9964</v>
      </c>
      <c r="K233" s="300">
        <f t="shared" si="416"/>
        <v>9964</v>
      </c>
      <c r="L233" s="514">
        <f>F233+170</f>
        <v>9914</v>
      </c>
      <c r="M233" s="300">
        <f t="shared" si="417"/>
        <v>9914</v>
      </c>
      <c r="N233" s="514">
        <f>F233+145</f>
        <v>9889</v>
      </c>
      <c r="O233" s="300">
        <f t="shared" si="418"/>
        <v>9889</v>
      </c>
      <c r="P233" s="514">
        <f>F233+130</f>
        <v>9874</v>
      </c>
      <c r="Q233" s="300">
        <f t="shared" si="419"/>
        <v>9874</v>
      </c>
      <c r="R233" s="514">
        <f>F233+110</f>
        <v>9854</v>
      </c>
      <c r="S233" s="300">
        <f t="shared" si="420"/>
        <v>9854</v>
      </c>
      <c r="T233" s="103">
        <f>F233+95</f>
        <v>9839</v>
      </c>
      <c r="U233" s="321">
        <f t="shared" si="421"/>
        <v>9839</v>
      </c>
      <c r="V233" s="103">
        <f>F233+80</f>
        <v>9824</v>
      </c>
      <c r="W233" s="321">
        <f t="shared" si="422"/>
        <v>9824</v>
      </c>
      <c r="X233" s="711"/>
      <c r="Y233" s="697"/>
      <c r="Z233" s="697"/>
      <c r="AA233" s="698"/>
      <c r="AB233" s="200">
        <v>831</v>
      </c>
    </row>
    <row r="234" spans="1:34" ht="12.6" customHeight="1" x14ac:dyDescent="0.2">
      <c r="A234" s="18"/>
      <c r="B234" s="663" t="s">
        <v>589</v>
      </c>
      <c r="C234" s="693"/>
      <c r="D234" s="693"/>
      <c r="E234" s="693"/>
      <c r="F234" s="407">
        <f>11.8*X2</f>
        <v>11977</v>
      </c>
      <c r="G234" s="299">
        <f t="shared" ref="G234" si="425">+F234*$X$1</f>
        <v>11977</v>
      </c>
      <c r="H234" s="624">
        <f>F234+500</f>
        <v>12477</v>
      </c>
      <c r="I234" s="299">
        <f t="shared" si="415"/>
        <v>12477</v>
      </c>
      <c r="J234" s="624">
        <f>F234+220</f>
        <v>12197</v>
      </c>
      <c r="K234" s="299">
        <f t="shared" si="416"/>
        <v>12197</v>
      </c>
      <c r="L234" s="624">
        <f>F234+170</f>
        <v>12147</v>
      </c>
      <c r="M234" s="299">
        <f t="shared" si="417"/>
        <v>12147</v>
      </c>
      <c r="N234" s="624">
        <f>F234+145</f>
        <v>12122</v>
      </c>
      <c r="O234" s="299">
        <f t="shared" si="418"/>
        <v>12122</v>
      </c>
      <c r="P234" s="624">
        <f>F234+130</f>
        <v>12107</v>
      </c>
      <c r="Q234" s="299">
        <f t="shared" si="419"/>
        <v>12107</v>
      </c>
      <c r="R234" s="624">
        <f>F234+110</f>
        <v>12087</v>
      </c>
      <c r="S234" s="299">
        <f t="shared" si="420"/>
        <v>12087</v>
      </c>
      <c r="T234" s="104">
        <f>F234+95</f>
        <v>12072</v>
      </c>
      <c r="U234" s="264">
        <f t="shared" si="421"/>
        <v>12072</v>
      </c>
      <c r="V234" s="104">
        <f>F234+80</f>
        <v>12057</v>
      </c>
      <c r="W234" s="264">
        <f t="shared" si="422"/>
        <v>12057</v>
      </c>
      <c r="X234" s="711"/>
      <c r="Y234" s="697"/>
      <c r="Z234" s="697"/>
      <c r="AA234" s="698"/>
      <c r="AB234" s="200">
        <v>833</v>
      </c>
    </row>
    <row r="235" spans="1:34" ht="12" customHeight="1" x14ac:dyDescent="0.2">
      <c r="A235" s="18"/>
      <c r="B235" s="3"/>
      <c r="C235" s="3"/>
      <c r="D235" s="3"/>
      <c r="E235" s="3"/>
      <c r="F235" s="4"/>
      <c r="G235" s="4"/>
      <c r="H235" s="3"/>
      <c r="I235" s="3"/>
      <c r="J235" s="3"/>
      <c r="K235" s="174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AB235" s="100"/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4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AB236" s="4"/>
    </row>
    <row r="237" spans="1:34" ht="12.6" customHeight="1" x14ac:dyDescent="0.2">
      <c r="A237" s="18"/>
      <c r="B237" s="3"/>
      <c r="C237" s="3"/>
      <c r="D237" s="3"/>
      <c r="E237" s="76"/>
      <c r="F237" s="1002"/>
      <c r="G237" s="1002"/>
      <c r="H237" s="1002"/>
      <c r="I237" s="1002"/>
      <c r="J237" s="1002"/>
      <c r="K237" s="286"/>
      <c r="L237" s="285"/>
      <c r="M237" s="28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AB237" s="4"/>
    </row>
    <row r="238" spans="1:34" ht="15.75" customHeight="1" x14ac:dyDescent="0.2">
      <c r="A238" s="18"/>
      <c r="B238" s="937" t="s">
        <v>11</v>
      </c>
      <c r="C238" s="1076" t="s">
        <v>12</v>
      </c>
      <c r="D238" s="1077"/>
      <c r="E238" s="1077"/>
      <c r="F238" s="651" t="s">
        <v>13</v>
      </c>
      <c r="G238" s="651" t="s">
        <v>13</v>
      </c>
      <c r="H238" s="653" t="s">
        <v>844</v>
      </c>
      <c r="I238" s="653"/>
      <c r="J238" s="654"/>
      <c r="K238" s="654"/>
      <c r="L238" s="654"/>
      <c r="M238" s="654"/>
      <c r="N238" s="654"/>
      <c r="O238" s="654"/>
      <c r="P238" s="654"/>
      <c r="Q238" s="654"/>
      <c r="R238" s="654"/>
      <c r="S238" s="654"/>
      <c r="T238" s="654"/>
      <c r="U238" s="654"/>
      <c r="V238" s="654"/>
      <c r="W238" s="654"/>
      <c r="X238" s="637" t="s">
        <v>14</v>
      </c>
      <c r="Y238" s="638"/>
      <c r="Z238" s="638"/>
      <c r="AA238" s="639"/>
      <c r="AB238" s="643" t="s">
        <v>15</v>
      </c>
      <c r="AF238" s="625" t="s">
        <v>3</v>
      </c>
      <c r="AG238" s="626"/>
      <c r="AH238" s="626"/>
    </row>
    <row r="239" spans="1:34" ht="11.25" customHeight="1" x14ac:dyDescent="0.2">
      <c r="A239" s="18"/>
      <c r="B239" s="937"/>
      <c r="C239" s="1077"/>
      <c r="D239" s="1077"/>
      <c r="E239" s="1077"/>
      <c r="F239" s="652"/>
      <c r="G239" s="652"/>
      <c r="H239" s="539"/>
      <c r="I239" s="531" t="s">
        <v>297</v>
      </c>
      <c r="J239" s="533"/>
      <c r="K239" s="531" t="s">
        <v>17</v>
      </c>
      <c r="L239" s="534"/>
      <c r="M239" s="534" t="s">
        <v>18</v>
      </c>
      <c r="N239" s="534"/>
      <c r="O239" s="531" t="s">
        <v>19</v>
      </c>
      <c r="P239" s="534"/>
      <c r="Q239" s="534" t="s">
        <v>299</v>
      </c>
      <c r="R239" s="534"/>
      <c r="S239" s="534" t="s">
        <v>20</v>
      </c>
      <c r="T239" s="534"/>
      <c r="U239" s="534" t="s">
        <v>21</v>
      </c>
      <c r="V239" s="534"/>
      <c r="W239" s="534" t="s">
        <v>22</v>
      </c>
      <c r="X239" s="640"/>
      <c r="Y239" s="641"/>
      <c r="Z239" s="641"/>
      <c r="AA239" s="642"/>
      <c r="AB239" s="644"/>
    </row>
    <row r="240" spans="1:34" ht="12.6" customHeight="1" x14ac:dyDescent="0.2">
      <c r="A240" s="18"/>
      <c r="B240" s="685" t="s">
        <v>643</v>
      </c>
      <c r="C240" s="686"/>
      <c r="D240" s="686"/>
      <c r="E240" s="686"/>
      <c r="F240" s="408">
        <f>7.8*X2</f>
        <v>7917</v>
      </c>
      <c r="G240" s="300">
        <f t="shared" ref="G240" si="426">+F240*$X$1</f>
        <v>7917</v>
      </c>
      <c r="H240" s="514">
        <f>F240+500</f>
        <v>8417</v>
      </c>
      <c r="I240" s="300">
        <f t="shared" ref="I240:I248" si="427">+H240*$X$1</f>
        <v>8417</v>
      </c>
      <c r="J240" s="514">
        <f>F240+220</f>
        <v>8137</v>
      </c>
      <c r="K240" s="300">
        <f t="shared" ref="K240:K248" si="428">+J240*$X$1</f>
        <v>8137</v>
      </c>
      <c r="L240" s="514">
        <f>F240+170</f>
        <v>8087</v>
      </c>
      <c r="M240" s="300">
        <f t="shared" ref="M240:M248" si="429">+L240*$X$1</f>
        <v>8087</v>
      </c>
      <c r="N240" s="514">
        <f>F240+145</f>
        <v>8062</v>
      </c>
      <c r="O240" s="300">
        <f t="shared" ref="O240:O248" si="430">+N240*$X$1</f>
        <v>8062</v>
      </c>
      <c r="P240" s="514">
        <f>F240+130</f>
        <v>8047</v>
      </c>
      <c r="Q240" s="300">
        <f t="shared" ref="Q240:Q248" si="431">+P240*$X$1</f>
        <v>8047</v>
      </c>
      <c r="R240" s="514">
        <f>F240+110</f>
        <v>8027</v>
      </c>
      <c r="S240" s="300">
        <f t="shared" ref="S240:S248" si="432">+R240*$X$1</f>
        <v>8027</v>
      </c>
      <c r="T240" s="103">
        <f>F240+95</f>
        <v>8012</v>
      </c>
      <c r="U240" s="321">
        <f t="shared" ref="U240:U248" si="433">+T240*$X$1</f>
        <v>8012</v>
      </c>
      <c r="V240" s="103">
        <f>F240+80</f>
        <v>7997</v>
      </c>
      <c r="W240" s="321">
        <f t="shared" ref="W240:W248" si="434">+V240*$X$1</f>
        <v>7997</v>
      </c>
      <c r="X240" s="711"/>
      <c r="Y240" s="697"/>
      <c r="Z240" s="697"/>
      <c r="AA240" s="698"/>
      <c r="AB240" s="200">
        <v>834</v>
      </c>
    </row>
    <row r="241" spans="1:28" ht="12.6" customHeight="1" x14ac:dyDescent="0.2">
      <c r="A241" s="18"/>
      <c r="B241" s="663" t="s">
        <v>645</v>
      </c>
      <c r="C241" s="693"/>
      <c r="D241" s="693"/>
      <c r="E241" s="693"/>
      <c r="F241" s="407">
        <f>7.19*X2</f>
        <v>7297.85</v>
      </c>
      <c r="G241" s="299">
        <f>+F241*$X$1</f>
        <v>7297.85</v>
      </c>
      <c r="H241" s="624">
        <f>F241+500</f>
        <v>7797.85</v>
      </c>
      <c r="I241" s="299">
        <f t="shared" si="427"/>
        <v>7797.85</v>
      </c>
      <c r="J241" s="624">
        <f>F241+220</f>
        <v>7517.85</v>
      </c>
      <c r="K241" s="299">
        <f t="shared" si="428"/>
        <v>7517.85</v>
      </c>
      <c r="L241" s="624">
        <f>F241+170</f>
        <v>7467.85</v>
      </c>
      <c r="M241" s="299">
        <f t="shared" si="429"/>
        <v>7467.85</v>
      </c>
      <c r="N241" s="624">
        <f>F241+145</f>
        <v>7442.85</v>
      </c>
      <c r="O241" s="299">
        <f t="shared" si="430"/>
        <v>7442.85</v>
      </c>
      <c r="P241" s="624">
        <f>F241+130</f>
        <v>7427.85</v>
      </c>
      <c r="Q241" s="299">
        <f t="shared" si="431"/>
        <v>7427.85</v>
      </c>
      <c r="R241" s="624">
        <f>F241+110</f>
        <v>7407.85</v>
      </c>
      <c r="S241" s="299">
        <f t="shared" si="432"/>
        <v>7407.85</v>
      </c>
      <c r="T241" s="104">
        <f>F241+95</f>
        <v>7392.85</v>
      </c>
      <c r="U241" s="264">
        <f t="shared" si="433"/>
        <v>7392.85</v>
      </c>
      <c r="V241" s="104">
        <f>F241+80</f>
        <v>7377.85</v>
      </c>
      <c r="W241" s="264">
        <f t="shared" si="434"/>
        <v>7377.85</v>
      </c>
      <c r="X241" s="711"/>
      <c r="Y241" s="697"/>
      <c r="Z241" s="697"/>
      <c r="AA241" s="698"/>
      <c r="AB241" s="200">
        <v>836</v>
      </c>
    </row>
    <row r="242" spans="1:28" ht="12.6" customHeight="1" x14ac:dyDescent="0.2">
      <c r="A242" s="18"/>
      <c r="B242" s="951" t="s">
        <v>905</v>
      </c>
      <c r="C242" s="690"/>
      <c r="D242" s="690"/>
      <c r="E242" s="690"/>
      <c r="F242" s="408">
        <f>4.76*X2</f>
        <v>4831.3999999999996</v>
      </c>
      <c r="G242" s="300">
        <f t="shared" ref="G242" si="435">+F242*$X$1</f>
        <v>4831.3999999999996</v>
      </c>
      <c r="H242" s="514">
        <f>F242+500</f>
        <v>5331.4</v>
      </c>
      <c r="I242" s="300">
        <f t="shared" si="427"/>
        <v>5331.4</v>
      </c>
      <c r="J242" s="514">
        <f>F242+220</f>
        <v>5051.3999999999996</v>
      </c>
      <c r="K242" s="300">
        <f t="shared" si="428"/>
        <v>5051.3999999999996</v>
      </c>
      <c r="L242" s="514">
        <f>F242+170</f>
        <v>5001.3999999999996</v>
      </c>
      <c r="M242" s="300">
        <f t="shared" si="429"/>
        <v>5001.3999999999996</v>
      </c>
      <c r="N242" s="514">
        <f>F242+145</f>
        <v>4976.3999999999996</v>
      </c>
      <c r="O242" s="300">
        <f t="shared" si="430"/>
        <v>4976.3999999999996</v>
      </c>
      <c r="P242" s="514">
        <f>F242+130</f>
        <v>4961.3999999999996</v>
      </c>
      <c r="Q242" s="300">
        <f t="shared" si="431"/>
        <v>4961.3999999999996</v>
      </c>
      <c r="R242" s="514">
        <f>F242+110</f>
        <v>4941.3999999999996</v>
      </c>
      <c r="S242" s="300">
        <f t="shared" si="432"/>
        <v>4941.3999999999996</v>
      </c>
      <c r="T242" s="103">
        <f>F242+95</f>
        <v>4926.3999999999996</v>
      </c>
      <c r="U242" s="321">
        <f t="shared" si="433"/>
        <v>4926.3999999999996</v>
      </c>
      <c r="V242" s="103">
        <f>F242+80</f>
        <v>4911.3999999999996</v>
      </c>
      <c r="W242" s="321">
        <f t="shared" si="434"/>
        <v>4911.3999999999996</v>
      </c>
      <c r="X242" s="711"/>
      <c r="Y242" s="697"/>
      <c r="Z242" s="697"/>
      <c r="AA242" s="698"/>
      <c r="AB242" s="200">
        <v>837</v>
      </c>
    </row>
    <row r="243" spans="1:28" ht="12.6" customHeight="1" x14ac:dyDescent="0.2">
      <c r="A243" s="18"/>
      <c r="B243" s="914" t="s">
        <v>514</v>
      </c>
      <c r="C243" s="891"/>
      <c r="D243" s="891"/>
      <c r="E243" s="891"/>
      <c r="F243" s="413">
        <f>7.63*X2</f>
        <v>7744.45</v>
      </c>
      <c r="G243" s="322">
        <f>+F243*$X$1</f>
        <v>7744.45</v>
      </c>
      <c r="H243" s="624">
        <f>F243+500</f>
        <v>8244.4500000000007</v>
      </c>
      <c r="I243" s="299">
        <f t="shared" si="427"/>
        <v>8244.4500000000007</v>
      </c>
      <c r="J243" s="624">
        <f>F243+220</f>
        <v>7964.45</v>
      </c>
      <c r="K243" s="299">
        <f t="shared" si="428"/>
        <v>7964.45</v>
      </c>
      <c r="L243" s="624">
        <f>F243+170</f>
        <v>7914.45</v>
      </c>
      <c r="M243" s="299">
        <f t="shared" si="429"/>
        <v>7914.45</v>
      </c>
      <c r="N243" s="624">
        <f>F243+145</f>
        <v>7889.45</v>
      </c>
      <c r="O243" s="299">
        <f t="shared" si="430"/>
        <v>7889.45</v>
      </c>
      <c r="P243" s="624">
        <f>F243+130</f>
        <v>7874.45</v>
      </c>
      <c r="Q243" s="299">
        <f t="shared" si="431"/>
        <v>7874.45</v>
      </c>
      <c r="R243" s="624">
        <f>F243+110</f>
        <v>7854.45</v>
      </c>
      <c r="S243" s="299">
        <f t="shared" si="432"/>
        <v>7854.45</v>
      </c>
      <c r="T243" s="104">
        <f>F243+95</f>
        <v>7839.45</v>
      </c>
      <c r="U243" s="264">
        <f t="shared" si="433"/>
        <v>7839.45</v>
      </c>
      <c r="V243" s="104">
        <f>F243+80</f>
        <v>7824.45</v>
      </c>
      <c r="W243" s="264">
        <f t="shared" si="434"/>
        <v>7824.45</v>
      </c>
      <c r="X243" s="711"/>
      <c r="Y243" s="697"/>
      <c r="Z243" s="697"/>
      <c r="AA243" s="698"/>
      <c r="AB243" s="437">
        <v>916</v>
      </c>
    </row>
    <row r="244" spans="1:28" ht="12.6" customHeight="1" x14ac:dyDescent="0.2">
      <c r="A244" s="18"/>
      <c r="B244" s="685" t="s">
        <v>829</v>
      </c>
      <c r="C244" s="686"/>
      <c r="D244" s="686"/>
      <c r="E244" s="686"/>
      <c r="F244" s="408">
        <f>6.4*X2</f>
        <v>6496</v>
      </c>
      <c r="G244" s="300">
        <f>+F244*$X$1</f>
        <v>6496</v>
      </c>
      <c r="H244" s="514">
        <f>F244+500</f>
        <v>6996</v>
      </c>
      <c r="I244" s="300">
        <f t="shared" si="427"/>
        <v>6996</v>
      </c>
      <c r="J244" s="514">
        <f>F244+220</f>
        <v>6716</v>
      </c>
      <c r="K244" s="300">
        <f t="shared" si="428"/>
        <v>6716</v>
      </c>
      <c r="L244" s="514">
        <f>F244+170</f>
        <v>6666</v>
      </c>
      <c r="M244" s="300">
        <f t="shared" si="429"/>
        <v>6666</v>
      </c>
      <c r="N244" s="514">
        <f>F244+145</f>
        <v>6641</v>
      </c>
      <c r="O244" s="300">
        <f t="shared" si="430"/>
        <v>6641</v>
      </c>
      <c r="P244" s="514">
        <f>F244+130</f>
        <v>6626</v>
      </c>
      <c r="Q244" s="300">
        <f t="shared" si="431"/>
        <v>6626</v>
      </c>
      <c r="R244" s="514">
        <f>F244+110</f>
        <v>6606</v>
      </c>
      <c r="S244" s="300">
        <f t="shared" si="432"/>
        <v>6606</v>
      </c>
      <c r="T244" s="103">
        <f>F244+95</f>
        <v>6591</v>
      </c>
      <c r="U244" s="321">
        <f t="shared" si="433"/>
        <v>6591</v>
      </c>
      <c r="V244" s="103">
        <f>F244+80</f>
        <v>6576</v>
      </c>
      <c r="W244" s="321">
        <f t="shared" si="434"/>
        <v>6576</v>
      </c>
      <c r="X244" s="711"/>
      <c r="Y244" s="697"/>
      <c r="Z244" s="697"/>
      <c r="AA244" s="698"/>
      <c r="AB244" s="200">
        <v>917</v>
      </c>
    </row>
    <row r="245" spans="1:28" ht="12.6" customHeight="1" x14ac:dyDescent="0.2">
      <c r="A245" s="18"/>
      <c r="B245" s="663" t="s">
        <v>204</v>
      </c>
      <c r="C245" s="693"/>
      <c r="D245" s="693"/>
      <c r="E245" s="693"/>
      <c r="F245" s="407">
        <f>10.34*X2</f>
        <v>10495.1</v>
      </c>
      <c r="G245" s="299">
        <f>+F245*$X$1</f>
        <v>10495.1</v>
      </c>
      <c r="H245" s="624">
        <f>F245+500</f>
        <v>10995.1</v>
      </c>
      <c r="I245" s="299">
        <f t="shared" si="427"/>
        <v>10995.1</v>
      </c>
      <c r="J245" s="624">
        <f>F245+220</f>
        <v>10715.1</v>
      </c>
      <c r="K245" s="299">
        <f t="shared" si="428"/>
        <v>10715.1</v>
      </c>
      <c r="L245" s="624">
        <f>F245+170</f>
        <v>10665.1</v>
      </c>
      <c r="M245" s="299">
        <f t="shared" si="429"/>
        <v>10665.1</v>
      </c>
      <c r="N245" s="624">
        <f>F245+145</f>
        <v>10640.1</v>
      </c>
      <c r="O245" s="299">
        <f t="shared" si="430"/>
        <v>10640.1</v>
      </c>
      <c r="P245" s="624">
        <f>F245+130</f>
        <v>10625.1</v>
      </c>
      <c r="Q245" s="299">
        <f t="shared" si="431"/>
        <v>10625.1</v>
      </c>
      <c r="R245" s="624">
        <f>F245+110</f>
        <v>10605.1</v>
      </c>
      <c r="S245" s="299">
        <f t="shared" si="432"/>
        <v>10605.1</v>
      </c>
      <c r="T245" s="104">
        <f>F245+95</f>
        <v>10590.1</v>
      </c>
      <c r="U245" s="264">
        <f t="shared" si="433"/>
        <v>10590.1</v>
      </c>
      <c r="V245" s="104">
        <f>F245+80</f>
        <v>10575.1</v>
      </c>
      <c r="W245" s="264">
        <f t="shared" si="434"/>
        <v>10575.1</v>
      </c>
      <c r="X245" s="1078"/>
      <c r="Y245" s="1079"/>
      <c r="Z245" s="1079"/>
      <c r="AA245" s="1080"/>
      <c r="AB245" s="448">
        <v>918</v>
      </c>
    </row>
    <row r="246" spans="1:28" ht="12.6" customHeight="1" x14ac:dyDescent="0.2">
      <c r="A246" s="18"/>
      <c r="B246" s="685" t="s">
        <v>462</v>
      </c>
      <c r="C246" s="686"/>
      <c r="D246" s="686"/>
      <c r="E246" s="686"/>
      <c r="F246" s="408">
        <f>8.9*X2</f>
        <v>9033.5</v>
      </c>
      <c r="G246" s="300">
        <f>+F246*$X$1</f>
        <v>9033.5</v>
      </c>
      <c r="H246" s="514">
        <f>F246+500</f>
        <v>9533.5</v>
      </c>
      <c r="I246" s="300">
        <f t="shared" si="427"/>
        <v>9533.5</v>
      </c>
      <c r="J246" s="514">
        <f>F246+220</f>
        <v>9253.5</v>
      </c>
      <c r="K246" s="300">
        <f t="shared" si="428"/>
        <v>9253.5</v>
      </c>
      <c r="L246" s="514">
        <f>F246+170</f>
        <v>9203.5</v>
      </c>
      <c r="M246" s="300">
        <f t="shared" si="429"/>
        <v>9203.5</v>
      </c>
      <c r="N246" s="514">
        <f>F246+145</f>
        <v>9178.5</v>
      </c>
      <c r="O246" s="300">
        <f t="shared" si="430"/>
        <v>9178.5</v>
      </c>
      <c r="P246" s="514">
        <f>F246+130</f>
        <v>9163.5</v>
      </c>
      <c r="Q246" s="300">
        <f t="shared" si="431"/>
        <v>9163.5</v>
      </c>
      <c r="R246" s="514">
        <f>F246+110</f>
        <v>9143.5</v>
      </c>
      <c r="S246" s="300">
        <f t="shared" si="432"/>
        <v>9143.5</v>
      </c>
      <c r="T246" s="103">
        <f>F246+95</f>
        <v>9128.5</v>
      </c>
      <c r="U246" s="321">
        <f t="shared" si="433"/>
        <v>9128.5</v>
      </c>
      <c r="V246" s="103">
        <f>F246+80</f>
        <v>9113.5</v>
      </c>
      <c r="W246" s="321">
        <f t="shared" si="434"/>
        <v>9113.5</v>
      </c>
      <c r="X246" s="711"/>
      <c r="Y246" s="743"/>
      <c r="Z246" s="743"/>
      <c r="AA246" s="698"/>
      <c r="AB246" s="200">
        <v>919</v>
      </c>
    </row>
    <row r="247" spans="1:28" ht="12.6" customHeight="1" x14ac:dyDescent="0.2">
      <c r="A247" s="18"/>
      <c r="B247" s="663" t="s">
        <v>852</v>
      </c>
      <c r="C247" s="693"/>
      <c r="D247" s="693"/>
      <c r="E247" s="693"/>
      <c r="F247" s="407">
        <f>7.55*X2</f>
        <v>7663.25</v>
      </c>
      <c r="G247" s="299">
        <f t="shared" ref="G247:G251" si="436">+F247*$X$1</f>
        <v>7663.25</v>
      </c>
      <c r="H247" s="624">
        <f>F247+500</f>
        <v>8163.25</v>
      </c>
      <c r="I247" s="299">
        <f t="shared" si="427"/>
        <v>8163.25</v>
      </c>
      <c r="J247" s="624">
        <f>F247+220</f>
        <v>7883.25</v>
      </c>
      <c r="K247" s="299">
        <f t="shared" si="428"/>
        <v>7883.25</v>
      </c>
      <c r="L247" s="624">
        <f>F247+170</f>
        <v>7833.25</v>
      </c>
      <c r="M247" s="299">
        <f t="shared" si="429"/>
        <v>7833.25</v>
      </c>
      <c r="N247" s="624">
        <f>F247+145</f>
        <v>7808.25</v>
      </c>
      <c r="O247" s="299">
        <f t="shared" si="430"/>
        <v>7808.25</v>
      </c>
      <c r="P247" s="624">
        <f>F247+130</f>
        <v>7793.25</v>
      </c>
      <c r="Q247" s="299">
        <f t="shared" si="431"/>
        <v>7793.25</v>
      </c>
      <c r="R247" s="624">
        <f>F247+110</f>
        <v>7773.25</v>
      </c>
      <c r="S247" s="299">
        <f t="shared" si="432"/>
        <v>7773.25</v>
      </c>
      <c r="T247" s="104">
        <f>F247+95</f>
        <v>7758.25</v>
      </c>
      <c r="U247" s="264">
        <f t="shared" si="433"/>
        <v>7758.25</v>
      </c>
      <c r="V247" s="104">
        <f>F247+80</f>
        <v>7743.25</v>
      </c>
      <c r="W247" s="264">
        <f t="shared" si="434"/>
        <v>7743.25</v>
      </c>
      <c r="X247" s="711"/>
      <c r="Y247" s="697"/>
      <c r="Z247" s="697"/>
      <c r="AA247" s="698"/>
      <c r="AB247" s="200">
        <v>920</v>
      </c>
    </row>
    <row r="248" spans="1:28" ht="12.6" customHeight="1" x14ac:dyDescent="0.2">
      <c r="A248" s="18"/>
      <c r="B248" s="685" t="s">
        <v>851</v>
      </c>
      <c r="C248" s="686"/>
      <c r="D248" s="686"/>
      <c r="E248" s="686"/>
      <c r="F248" s="408">
        <f>7.55*X2</f>
        <v>7663.25</v>
      </c>
      <c r="G248" s="300">
        <f t="shared" ref="G248" si="437">+F248*$X$1</f>
        <v>7663.25</v>
      </c>
      <c r="H248" s="514">
        <f>F248+500</f>
        <v>8163.25</v>
      </c>
      <c r="I248" s="300">
        <f t="shared" si="427"/>
        <v>8163.25</v>
      </c>
      <c r="J248" s="514">
        <f>F248+220</f>
        <v>7883.25</v>
      </c>
      <c r="K248" s="300">
        <f t="shared" si="428"/>
        <v>7883.25</v>
      </c>
      <c r="L248" s="514">
        <f>F248+170</f>
        <v>7833.25</v>
      </c>
      <c r="M248" s="300">
        <f t="shared" si="429"/>
        <v>7833.25</v>
      </c>
      <c r="N248" s="514">
        <f>F248+145</f>
        <v>7808.25</v>
      </c>
      <c r="O248" s="300">
        <f t="shared" si="430"/>
        <v>7808.25</v>
      </c>
      <c r="P248" s="514">
        <f>F248+130</f>
        <v>7793.25</v>
      </c>
      <c r="Q248" s="300">
        <f t="shared" si="431"/>
        <v>7793.25</v>
      </c>
      <c r="R248" s="514">
        <f>F248+110</f>
        <v>7773.25</v>
      </c>
      <c r="S248" s="300">
        <f t="shared" si="432"/>
        <v>7773.25</v>
      </c>
      <c r="T248" s="103">
        <f>F248+95</f>
        <v>7758.25</v>
      </c>
      <c r="U248" s="321">
        <f t="shared" si="433"/>
        <v>7758.25</v>
      </c>
      <c r="V248" s="103">
        <f>F248+80</f>
        <v>7743.25</v>
      </c>
      <c r="W248" s="321">
        <f t="shared" si="434"/>
        <v>7743.25</v>
      </c>
      <c r="X248" s="711"/>
      <c r="Y248" s="697"/>
      <c r="Z248" s="697"/>
      <c r="AA248" s="698"/>
      <c r="AB248" s="200" t="s">
        <v>853</v>
      </c>
    </row>
    <row r="249" spans="1:28" ht="12.6" customHeight="1" x14ac:dyDescent="0.2">
      <c r="A249" s="18"/>
      <c r="B249" s="663" t="s">
        <v>857</v>
      </c>
      <c r="C249" s="693"/>
      <c r="D249" s="693"/>
      <c r="E249" s="693"/>
      <c r="F249" s="407"/>
      <c r="G249" s="299"/>
      <c r="H249" s="624"/>
      <c r="I249" s="299"/>
      <c r="J249" s="624"/>
      <c r="K249" s="299"/>
      <c r="L249" s="624"/>
      <c r="M249" s="299"/>
      <c r="N249" s="624"/>
      <c r="O249" s="299"/>
      <c r="P249" s="624"/>
      <c r="Q249" s="299"/>
      <c r="R249" s="624"/>
      <c r="S249" s="299"/>
      <c r="T249" s="104"/>
      <c r="U249" s="264"/>
      <c r="V249" s="104"/>
      <c r="W249" s="264"/>
      <c r="X249" s="711"/>
      <c r="Y249" s="697"/>
      <c r="Z249" s="697"/>
      <c r="AA249" s="698"/>
      <c r="AB249" s="200">
        <v>921</v>
      </c>
    </row>
    <row r="250" spans="1:28" ht="12.6" customHeight="1" x14ac:dyDescent="0.2">
      <c r="A250" s="18"/>
      <c r="B250" s="685" t="s">
        <v>906</v>
      </c>
      <c r="C250" s="686"/>
      <c r="D250" s="686"/>
      <c r="E250" s="686"/>
      <c r="F250" s="408">
        <f>7.4*X2</f>
        <v>7511</v>
      </c>
      <c r="G250" s="300">
        <f t="shared" ref="G250" si="438">+F250*$X$1</f>
        <v>7511</v>
      </c>
      <c r="H250" s="514">
        <f>F250+500</f>
        <v>8011</v>
      </c>
      <c r="I250" s="300">
        <f t="shared" ref="I250:I259" si="439">+H250*$X$1</f>
        <v>8011</v>
      </c>
      <c r="J250" s="514">
        <f>F250+220</f>
        <v>7731</v>
      </c>
      <c r="K250" s="300">
        <f t="shared" ref="K250:K259" si="440">+J250*$X$1</f>
        <v>7731</v>
      </c>
      <c r="L250" s="514">
        <f>F250+170</f>
        <v>7681</v>
      </c>
      <c r="M250" s="300">
        <f t="shared" ref="M250:M259" si="441">+L250*$X$1</f>
        <v>7681</v>
      </c>
      <c r="N250" s="514">
        <f>F250+145</f>
        <v>7656</v>
      </c>
      <c r="O250" s="300">
        <f t="shared" ref="O250:O259" si="442">+N250*$X$1</f>
        <v>7656</v>
      </c>
      <c r="P250" s="514">
        <f>F250+130</f>
        <v>7641</v>
      </c>
      <c r="Q250" s="300">
        <f t="shared" ref="Q250:Q259" si="443">+P250*$X$1</f>
        <v>7641</v>
      </c>
      <c r="R250" s="514">
        <f>F250+110</f>
        <v>7621</v>
      </c>
      <c r="S250" s="300">
        <f t="shared" ref="S250:S259" si="444">+R250*$X$1</f>
        <v>7621</v>
      </c>
      <c r="T250" s="103">
        <f>F250+95</f>
        <v>7606</v>
      </c>
      <c r="U250" s="321">
        <f t="shared" ref="U250:U259" si="445">+T250*$X$1</f>
        <v>7606</v>
      </c>
      <c r="V250" s="103">
        <f>F250+80</f>
        <v>7591</v>
      </c>
      <c r="W250" s="321">
        <f t="shared" ref="W250:W259" si="446">+V250*$X$1</f>
        <v>7591</v>
      </c>
      <c r="X250" s="711"/>
      <c r="Y250" s="697"/>
      <c r="Z250" s="697"/>
      <c r="AA250" s="698"/>
      <c r="AB250" s="200" t="s">
        <v>907</v>
      </c>
    </row>
    <row r="251" spans="1:28" ht="12.6" customHeight="1" x14ac:dyDescent="0.2">
      <c r="A251" s="18"/>
      <c r="B251" s="663" t="s">
        <v>830</v>
      </c>
      <c r="C251" s="693"/>
      <c r="D251" s="693"/>
      <c r="E251" s="693"/>
      <c r="F251" s="407">
        <f>5.71*X2</f>
        <v>5795.65</v>
      </c>
      <c r="G251" s="299">
        <f t="shared" si="436"/>
        <v>5795.65</v>
      </c>
      <c r="H251" s="624">
        <f>F251+500</f>
        <v>6295.65</v>
      </c>
      <c r="I251" s="299">
        <f t="shared" si="439"/>
        <v>6295.65</v>
      </c>
      <c r="J251" s="624">
        <f>F251+220</f>
        <v>6015.65</v>
      </c>
      <c r="K251" s="299">
        <f t="shared" si="440"/>
        <v>6015.65</v>
      </c>
      <c r="L251" s="624">
        <f>F251+170</f>
        <v>5965.65</v>
      </c>
      <c r="M251" s="299">
        <f t="shared" si="441"/>
        <v>5965.65</v>
      </c>
      <c r="N251" s="624">
        <f>F251+145</f>
        <v>5940.65</v>
      </c>
      <c r="O251" s="299">
        <f t="shared" si="442"/>
        <v>5940.65</v>
      </c>
      <c r="P251" s="624">
        <f>F251+130</f>
        <v>5925.65</v>
      </c>
      <c r="Q251" s="299">
        <f t="shared" si="443"/>
        <v>5925.65</v>
      </c>
      <c r="R251" s="624">
        <f>F251+110</f>
        <v>5905.65</v>
      </c>
      <c r="S251" s="299">
        <f t="shared" si="444"/>
        <v>5905.65</v>
      </c>
      <c r="T251" s="104">
        <f>F251+95</f>
        <v>5890.65</v>
      </c>
      <c r="U251" s="264">
        <f t="shared" si="445"/>
        <v>5890.65</v>
      </c>
      <c r="V251" s="104">
        <f>F251+80</f>
        <v>5875.65</v>
      </c>
      <c r="W251" s="264">
        <f t="shared" si="446"/>
        <v>5875.65</v>
      </c>
      <c r="X251" s="681"/>
      <c r="Y251" s="666"/>
      <c r="Z251" s="666"/>
      <c r="AA251" s="667"/>
      <c r="AB251" s="200" t="s">
        <v>831</v>
      </c>
    </row>
    <row r="252" spans="1:28" ht="12.6" customHeight="1" x14ac:dyDescent="0.2">
      <c r="A252" s="107"/>
      <c r="B252" s="685" t="s">
        <v>450</v>
      </c>
      <c r="C252" s="686"/>
      <c r="D252" s="686"/>
      <c r="E252" s="686"/>
      <c r="F252" s="408">
        <f>7*X2</f>
        <v>7105</v>
      </c>
      <c r="G252" s="300">
        <f t="shared" ref="G252:G255" si="447">+F252*$X$1</f>
        <v>7105</v>
      </c>
      <c r="H252" s="514">
        <f>F252+500</f>
        <v>7605</v>
      </c>
      <c r="I252" s="300">
        <f t="shared" si="439"/>
        <v>7605</v>
      </c>
      <c r="J252" s="514">
        <f>F252+220</f>
        <v>7325</v>
      </c>
      <c r="K252" s="300">
        <f t="shared" si="440"/>
        <v>7325</v>
      </c>
      <c r="L252" s="514">
        <f>F252+170</f>
        <v>7275</v>
      </c>
      <c r="M252" s="300">
        <f t="shared" si="441"/>
        <v>7275</v>
      </c>
      <c r="N252" s="514">
        <f>F252+145</f>
        <v>7250</v>
      </c>
      <c r="O252" s="300">
        <f t="shared" si="442"/>
        <v>7250</v>
      </c>
      <c r="P252" s="514">
        <f>F252+130</f>
        <v>7235</v>
      </c>
      <c r="Q252" s="300">
        <f t="shared" si="443"/>
        <v>7235</v>
      </c>
      <c r="R252" s="514">
        <f>F252+110</f>
        <v>7215</v>
      </c>
      <c r="S252" s="300">
        <f t="shared" si="444"/>
        <v>7215</v>
      </c>
      <c r="T252" s="103">
        <f>F252+95</f>
        <v>7200</v>
      </c>
      <c r="U252" s="321">
        <f t="shared" si="445"/>
        <v>7200</v>
      </c>
      <c r="V252" s="103">
        <f>F252+80</f>
        <v>7185</v>
      </c>
      <c r="W252" s="321">
        <f t="shared" si="446"/>
        <v>7185</v>
      </c>
      <c r="X252" s="711"/>
      <c r="Y252" s="697"/>
      <c r="Z252" s="697"/>
      <c r="AA252" s="698"/>
      <c r="AB252" s="200">
        <v>928</v>
      </c>
    </row>
    <row r="253" spans="1:28" ht="12.6" customHeight="1" x14ac:dyDescent="0.2">
      <c r="A253" s="18"/>
      <c r="B253" s="663" t="s">
        <v>410</v>
      </c>
      <c r="C253" s="693"/>
      <c r="D253" s="693"/>
      <c r="E253" s="693"/>
      <c r="F253" s="407">
        <f>8.6*X2</f>
        <v>8729</v>
      </c>
      <c r="G253" s="299">
        <f t="shared" si="447"/>
        <v>8729</v>
      </c>
      <c r="H253" s="624">
        <f>F253+500</f>
        <v>9229</v>
      </c>
      <c r="I253" s="299">
        <f t="shared" si="439"/>
        <v>9229</v>
      </c>
      <c r="J253" s="624">
        <f>F253+220</f>
        <v>8949</v>
      </c>
      <c r="K253" s="299">
        <f t="shared" si="440"/>
        <v>8949</v>
      </c>
      <c r="L253" s="624">
        <f>F253+170</f>
        <v>8899</v>
      </c>
      <c r="M253" s="299">
        <f t="shared" si="441"/>
        <v>8899</v>
      </c>
      <c r="N253" s="624">
        <f>F253+145</f>
        <v>8874</v>
      </c>
      <c r="O253" s="299">
        <f t="shared" si="442"/>
        <v>8874</v>
      </c>
      <c r="P253" s="624">
        <f>F253+130</f>
        <v>8859</v>
      </c>
      <c r="Q253" s="299">
        <f t="shared" si="443"/>
        <v>8859</v>
      </c>
      <c r="R253" s="624">
        <f>F253+110</f>
        <v>8839</v>
      </c>
      <c r="S253" s="299">
        <f t="shared" si="444"/>
        <v>8839</v>
      </c>
      <c r="T253" s="104">
        <f>F253+95</f>
        <v>8824</v>
      </c>
      <c r="U253" s="264">
        <f t="shared" si="445"/>
        <v>8824</v>
      </c>
      <c r="V253" s="104">
        <f>F253+80</f>
        <v>8809</v>
      </c>
      <c r="W253" s="264">
        <f t="shared" si="446"/>
        <v>8809</v>
      </c>
      <c r="X253" s="711"/>
      <c r="Y253" s="743"/>
      <c r="Z253" s="743"/>
      <c r="AA253" s="698"/>
      <c r="AB253" s="200">
        <v>931</v>
      </c>
    </row>
    <row r="254" spans="1:28" ht="12.6" customHeight="1" x14ac:dyDescent="0.2">
      <c r="A254" s="18"/>
      <c r="B254" s="685" t="s">
        <v>828</v>
      </c>
      <c r="C254" s="686"/>
      <c r="D254" s="686"/>
      <c r="E254" s="686"/>
      <c r="F254" s="408">
        <f>2.98*X2</f>
        <v>3024.7</v>
      </c>
      <c r="G254" s="300">
        <f t="shared" si="447"/>
        <v>3024.7</v>
      </c>
      <c r="H254" s="514">
        <f>F254+500</f>
        <v>3524.7</v>
      </c>
      <c r="I254" s="300">
        <f t="shared" si="439"/>
        <v>3524.7</v>
      </c>
      <c r="J254" s="514">
        <f>F254+220</f>
        <v>3244.7</v>
      </c>
      <c r="K254" s="300">
        <f t="shared" si="440"/>
        <v>3244.7</v>
      </c>
      <c r="L254" s="514">
        <f>F254+170</f>
        <v>3194.7</v>
      </c>
      <c r="M254" s="300">
        <f t="shared" si="441"/>
        <v>3194.7</v>
      </c>
      <c r="N254" s="514">
        <f>F254+145</f>
        <v>3169.7</v>
      </c>
      <c r="O254" s="300">
        <f t="shared" si="442"/>
        <v>3169.7</v>
      </c>
      <c r="P254" s="514">
        <f>F254+130</f>
        <v>3154.7</v>
      </c>
      <c r="Q254" s="300">
        <f t="shared" si="443"/>
        <v>3154.7</v>
      </c>
      <c r="R254" s="514">
        <f>F254+110</f>
        <v>3134.7</v>
      </c>
      <c r="S254" s="300">
        <f t="shared" si="444"/>
        <v>3134.7</v>
      </c>
      <c r="T254" s="103">
        <f>F254+95</f>
        <v>3119.7</v>
      </c>
      <c r="U254" s="321">
        <f t="shared" si="445"/>
        <v>3119.7</v>
      </c>
      <c r="V254" s="103">
        <f>F254+80</f>
        <v>3104.7</v>
      </c>
      <c r="W254" s="321">
        <f t="shared" si="446"/>
        <v>3104.7</v>
      </c>
      <c r="X254" s="711"/>
      <c r="Y254" s="743"/>
      <c r="Z254" s="743"/>
      <c r="AA254" s="698"/>
      <c r="AB254" s="200">
        <v>933</v>
      </c>
    </row>
    <row r="255" spans="1:28" ht="12.6" customHeight="1" x14ac:dyDescent="0.2">
      <c r="A255" s="18"/>
      <c r="B255" s="663" t="s">
        <v>613</v>
      </c>
      <c r="C255" s="693"/>
      <c r="D255" s="693"/>
      <c r="E255" s="693"/>
      <c r="F255" s="407">
        <f>7.6*X2</f>
        <v>7714</v>
      </c>
      <c r="G255" s="299">
        <f t="shared" si="447"/>
        <v>7714</v>
      </c>
      <c r="H255" s="624">
        <f>F255+500</f>
        <v>8214</v>
      </c>
      <c r="I255" s="299">
        <f t="shared" si="439"/>
        <v>8214</v>
      </c>
      <c r="J255" s="624">
        <f>F255+220</f>
        <v>7934</v>
      </c>
      <c r="K255" s="299">
        <f t="shared" si="440"/>
        <v>7934</v>
      </c>
      <c r="L255" s="624">
        <f>F255+170</f>
        <v>7884</v>
      </c>
      <c r="M255" s="299">
        <f t="shared" si="441"/>
        <v>7884</v>
      </c>
      <c r="N255" s="624">
        <f>F255+145</f>
        <v>7859</v>
      </c>
      <c r="O255" s="299">
        <f t="shared" si="442"/>
        <v>7859</v>
      </c>
      <c r="P255" s="624">
        <f>F255+130</f>
        <v>7844</v>
      </c>
      <c r="Q255" s="299">
        <f t="shared" si="443"/>
        <v>7844</v>
      </c>
      <c r="R255" s="624">
        <f>F255+110</f>
        <v>7824</v>
      </c>
      <c r="S255" s="299">
        <f t="shared" si="444"/>
        <v>7824</v>
      </c>
      <c r="T255" s="104">
        <f>F255+95</f>
        <v>7809</v>
      </c>
      <c r="U255" s="264">
        <f t="shared" si="445"/>
        <v>7809</v>
      </c>
      <c r="V255" s="104">
        <f>F255+80</f>
        <v>7794</v>
      </c>
      <c r="W255" s="264">
        <f t="shared" si="446"/>
        <v>7794</v>
      </c>
      <c r="X255" s="403"/>
      <c r="Y255" s="403"/>
      <c r="Z255" s="403"/>
      <c r="AA255" s="403"/>
      <c r="AB255" s="200">
        <v>935</v>
      </c>
    </row>
    <row r="256" spans="1:28" ht="12.6" customHeight="1" x14ac:dyDescent="0.2">
      <c r="A256" s="18"/>
      <c r="B256" s="685" t="s">
        <v>646</v>
      </c>
      <c r="C256" s="686"/>
      <c r="D256" s="686"/>
      <c r="E256" s="686"/>
      <c r="F256" s="408">
        <f>10*X2</f>
        <v>10150</v>
      </c>
      <c r="G256" s="300">
        <f t="shared" ref="G256" si="448">+F256*$X$1</f>
        <v>10150</v>
      </c>
      <c r="H256" s="514">
        <f>F256+500</f>
        <v>10650</v>
      </c>
      <c r="I256" s="300">
        <f t="shared" si="439"/>
        <v>10650</v>
      </c>
      <c r="J256" s="514">
        <f>F256+220</f>
        <v>10370</v>
      </c>
      <c r="K256" s="300">
        <f t="shared" si="440"/>
        <v>10370</v>
      </c>
      <c r="L256" s="514">
        <f>F256+170</f>
        <v>10320</v>
      </c>
      <c r="M256" s="300">
        <f t="shared" si="441"/>
        <v>10320</v>
      </c>
      <c r="N256" s="514">
        <f>F256+145</f>
        <v>10295</v>
      </c>
      <c r="O256" s="300">
        <f t="shared" si="442"/>
        <v>10295</v>
      </c>
      <c r="P256" s="514">
        <f>F256+130</f>
        <v>10280</v>
      </c>
      <c r="Q256" s="300">
        <f t="shared" si="443"/>
        <v>10280</v>
      </c>
      <c r="R256" s="514">
        <f>F256+110</f>
        <v>10260</v>
      </c>
      <c r="S256" s="300">
        <f t="shared" si="444"/>
        <v>10260</v>
      </c>
      <c r="T256" s="103">
        <f>F256+95</f>
        <v>10245</v>
      </c>
      <c r="U256" s="321">
        <f t="shared" si="445"/>
        <v>10245</v>
      </c>
      <c r="V256" s="103">
        <f>F256+80</f>
        <v>10230</v>
      </c>
      <c r="W256" s="321">
        <f t="shared" si="446"/>
        <v>10230</v>
      </c>
      <c r="X256" s="711"/>
      <c r="Y256" s="697"/>
      <c r="Z256" s="697"/>
      <c r="AA256" s="698"/>
      <c r="AB256" s="200">
        <v>936</v>
      </c>
    </row>
    <row r="257" spans="1:38" ht="12.6" customHeight="1" x14ac:dyDescent="0.2">
      <c r="A257" s="18"/>
      <c r="B257" s="689" t="s">
        <v>899</v>
      </c>
      <c r="C257" s="690"/>
      <c r="D257" s="690"/>
      <c r="E257" s="690"/>
      <c r="F257" s="407">
        <f>4.9*X2</f>
        <v>4973.5</v>
      </c>
      <c r="G257" s="299">
        <f t="shared" ref="G257" si="449">+F257*$X$1</f>
        <v>4973.5</v>
      </c>
      <c r="H257" s="624">
        <f>F257+500</f>
        <v>5473.5</v>
      </c>
      <c r="I257" s="299">
        <f t="shared" si="439"/>
        <v>5473.5</v>
      </c>
      <c r="J257" s="624">
        <f>F257+220</f>
        <v>5193.5</v>
      </c>
      <c r="K257" s="299">
        <f t="shared" si="440"/>
        <v>5193.5</v>
      </c>
      <c r="L257" s="624">
        <f>F257+170</f>
        <v>5143.5</v>
      </c>
      <c r="M257" s="299">
        <f t="shared" si="441"/>
        <v>5143.5</v>
      </c>
      <c r="N257" s="624">
        <f>F257+145</f>
        <v>5118.5</v>
      </c>
      <c r="O257" s="299">
        <f t="shared" si="442"/>
        <v>5118.5</v>
      </c>
      <c r="P257" s="624">
        <f>F257+130</f>
        <v>5103.5</v>
      </c>
      <c r="Q257" s="299">
        <f t="shared" si="443"/>
        <v>5103.5</v>
      </c>
      <c r="R257" s="624">
        <f>F257+110</f>
        <v>5083.5</v>
      </c>
      <c r="S257" s="299">
        <f t="shared" si="444"/>
        <v>5083.5</v>
      </c>
      <c r="T257" s="104">
        <f>F257+95</f>
        <v>5068.5</v>
      </c>
      <c r="U257" s="264">
        <f t="shared" si="445"/>
        <v>5068.5</v>
      </c>
      <c r="V257" s="104">
        <f>F257+80</f>
        <v>5053.5</v>
      </c>
      <c r="W257" s="264">
        <f t="shared" si="446"/>
        <v>5053.5</v>
      </c>
      <c r="X257" s="711"/>
      <c r="Y257" s="697"/>
      <c r="Z257" s="697"/>
      <c r="AA257" s="698"/>
      <c r="AB257" s="200">
        <v>940</v>
      </c>
    </row>
    <row r="258" spans="1:38" ht="12.6" customHeight="1" x14ac:dyDescent="0.2">
      <c r="A258" s="18"/>
      <c r="B258" s="670" t="s">
        <v>205</v>
      </c>
      <c r="C258" s="671"/>
      <c r="D258" s="671"/>
      <c r="E258" s="672"/>
      <c r="F258" s="408">
        <f>5.483*X2</f>
        <v>5565.2449999999999</v>
      </c>
      <c r="G258" s="300">
        <f t="shared" ref="G258:G263" si="450">+F258*$X$1</f>
        <v>5565.2449999999999</v>
      </c>
      <c r="H258" s="514">
        <f>F258+500</f>
        <v>6065.2449999999999</v>
      </c>
      <c r="I258" s="300">
        <f t="shared" si="439"/>
        <v>6065.2449999999999</v>
      </c>
      <c r="J258" s="514">
        <f>F258+220</f>
        <v>5785.2449999999999</v>
      </c>
      <c r="K258" s="300">
        <f t="shared" si="440"/>
        <v>5785.2449999999999</v>
      </c>
      <c r="L258" s="514">
        <f>F258+170</f>
        <v>5735.2449999999999</v>
      </c>
      <c r="M258" s="300">
        <f t="shared" si="441"/>
        <v>5735.2449999999999</v>
      </c>
      <c r="N258" s="514">
        <f>F258+145</f>
        <v>5710.2449999999999</v>
      </c>
      <c r="O258" s="300">
        <f t="shared" si="442"/>
        <v>5710.2449999999999</v>
      </c>
      <c r="P258" s="514">
        <f>F258+130</f>
        <v>5695.2449999999999</v>
      </c>
      <c r="Q258" s="300">
        <f t="shared" si="443"/>
        <v>5695.2449999999999</v>
      </c>
      <c r="R258" s="514">
        <f>F258+110</f>
        <v>5675.2449999999999</v>
      </c>
      <c r="S258" s="300">
        <f t="shared" si="444"/>
        <v>5675.2449999999999</v>
      </c>
      <c r="T258" s="103">
        <f>F258+95</f>
        <v>5660.2449999999999</v>
      </c>
      <c r="U258" s="321">
        <f t="shared" si="445"/>
        <v>5660.2449999999999</v>
      </c>
      <c r="V258" s="103">
        <f>F258+80</f>
        <v>5645.2449999999999</v>
      </c>
      <c r="W258" s="321">
        <f t="shared" si="446"/>
        <v>5645.2449999999999</v>
      </c>
      <c r="X258" s="138"/>
      <c r="Y258" s="140"/>
      <c r="Z258" s="135"/>
      <c r="AA258" s="135"/>
      <c r="AB258" s="200">
        <v>945</v>
      </c>
      <c r="AD258" s="66"/>
      <c r="AE258" s="66"/>
      <c r="AF258" s="66"/>
      <c r="AG258" s="66"/>
    </row>
    <row r="259" spans="1:38" ht="12.6" customHeight="1" x14ac:dyDescent="0.2">
      <c r="A259" s="18"/>
      <c r="B259" s="663" t="s">
        <v>504</v>
      </c>
      <c r="C259" s="693"/>
      <c r="D259" s="693"/>
      <c r="E259" s="693"/>
      <c r="F259" s="407">
        <f>4.502*X2</f>
        <v>4569.53</v>
      </c>
      <c r="G259" s="299">
        <f t="shared" ref="G259" si="451">+F259*$X$1</f>
        <v>4569.53</v>
      </c>
      <c r="H259" s="624">
        <f>F259+500</f>
        <v>5069.53</v>
      </c>
      <c r="I259" s="299">
        <f t="shared" si="439"/>
        <v>5069.53</v>
      </c>
      <c r="J259" s="624">
        <f>F259+220</f>
        <v>4789.53</v>
      </c>
      <c r="K259" s="299">
        <f t="shared" si="440"/>
        <v>4789.53</v>
      </c>
      <c r="L259" s="624">
        <f>F259+170</f>
        <v>4739.53</v>
      </c>
      <c r="M259" s="299">
        <f t="shared" si="441"/>
        <v>4739.53</v>
      </c>
      <c r="N259" s="624">
        <f>F259+145</f>
        <v>4714.53</v>
      </c>
      <c r="O259" s="299">
        <f t="shared" si="442"/>
        <v>4714.53</v>
      </c>
      <c r="P259" s="624">
        <f>F259+130</f>
        <v>4699.53</v>
      </c>
      <c r="Q259" s="299">
        <f t="shared" si="443"/>
        <v>4699.53</v>
      </c>
      <c r="R259" s="624">
        <f>F259+110</f>
        <v>4679.53</v>
      </c>
      <c r="S259" s="299">
        <f t="shared" si="444"/>
        <v>4679.53</v>
      </c>
      <c r="T259" s="104">
        <f>F259+95</f>
        <v>4664.53</v>
      </c>
      <c r="U259" s="264">
        <f t="shared" si="445"/>
        <v>4664.53</v>
      </c>
      <c r="V259" s="104">
        <f>F259+80</f>
        <v>4649.53</v>
      </c>
      <c r="W259" s="264">
        <f t="shared" si="446"/>
        <v>4649.53</v>
      </c>
      <c r="X259" s="159"/>
      <c r="Y259" s="159"/>
      <c r="Z259" s="159"/>
      <c r="AA259" s="159"/>
      <c r="AB259" s="200">
        <v>946</v>
      </c>
    </row>
    <row r="260" spans="1:38" ht="12.6" customHeight="1" x14ac:dyDescent="0.2">
      <c r="A260" s="18"/>
      <c r="B260" s="708" t="s">
        <v>206</v>
      </c>
      <c r="C260" s="709"/>
      <c r="D260" s="709"/>
      <c r="E260" s="710"/>
      <c r="F260" s="408">
        <f>5.1*X2</f>
        <v>5176.5</v>
      </c>
      <c r="G260" s="300">
        <f t="shared" si="450"/>
        <v>5176.5</v>
      </c>
      <c r="H260" s="514">
        <f>F260+500</f>
        <v>5676.5</v>
      </c>
      <c r="I260" s="300">
        <f t="shared" ref="I260" si="452">+H260*$X$1</f>
        <v>5676.5</v>
      </c>
      <c r="J260" s="514"/>
      <c r="K260" s="300"/>
      <c r="L260" s="514"/>
      <c r="M260" s="300"/>
      <c r="N260" s="514"/>
      <c r="O260" s="300"/>
      <c r="P260" s="514"/>
      <c r="Q260" s="300"/>
      <c r="R260" s="514"/>
      <c r="S260" s="300"/>
      <c r="T260" s="103"/>
      <c r="U260" s="321"/>
      <c r="V260" s="103"/>
      <c r="W260" s="321"/>
      <c r="X260" s="711"/>
      <c r="Y260" s="743"/>
      <c r="Z260" s="743"/>
      <c r="AA260" s="698"/>
      <c r="AB260" s="448">
        <v>949</v>
      </c>
    </row>
    <row r="261" spans="1:38" ht="12.6" customHeight="1" x14ac:dyDescent="0.2">
      <c r="A261" s="18"/>
      <c r="B261" s="663" t="s">
        <v>207</v>
      </c>
      <c r="C261" s="693"/>
      <c r="D261" s="693"/>
      <c r="E261" s="693"/>
      <c r="F261" s="407"/>
      <c r="G261" s="299"/>
      <c r="H261" s="624"/>
      <c r="I261" s="299"/>
      <c r="J261" s="624"/>
      <c r="K261" s="299"/>
      <c r="L261" s="624"/>
      <c r="M261" s="299"/>
      <c r="N261" s="624"/>
      <c r="O261" s="299"/>
      <c r="P261" s="624"/>
      <c r="Q261" s="299"/>
      <c r="R261" s="624"/>
      <c r="S261" s="299"/>
      <c r="T261" s="104"/>
      <c r="U261" s="264"/>
      <c r="V261" s="104"/>
      <c r="W261" s="264"/>
      <c r="X261" s="711"/>
      <c r="Y261" s="743"/>
      <c r="Z261" s="743"/>
      <c r="AA261" s="698"/>
      <c r="AB261" s="200">
        <v>950</v>
      </c>
    </row>
    <row r="262" spans="1:38" ht="12.6" customHeight="1" x14ac:dyDescent="0.2">
      <c r="A262" s="18"/>
      <c r="B262" s="685" t="s">
        <v>614</v>
      </c>
      <c r="C262" s="686"/>
      <c r="D262" s="686"/>
      <c r="E262" s="686"/>
      <c r="F262" s="408">
        <f>6*X2</f>
        <v>6090</v>
      </c>
      <c r="G262" s="300">
        <f t="shared" si="450"/>
        <v>6090</v>
      </c>
      <c r="H262" s="514">
        <f>F262+500</f>
        <v>6590</v>
      </c>
      <c r="I262" s="300">
        <f t="shared" ref="I262:I263" si="453">+H262*$X$1</f>
        <v>6590</v>
      </c>
      <c r="J262" s="514">
        <f>F262+220</f>
        <v>6310</v>
      </c>
      <c r="K262" s="300">
        <f t="shared" ref="K262:K264" si="454">+J262*$X$1</f>
        <v>6310</v>
      </c>
      <c r="L262" s="514">
        <f>F262+170</f>
        <v>6260</v>
      </c>
      <c r="M262" s="300">
        <f t="shared" ref="M262:M263" si="455">+L262*$X$1</f>
        <v>6260</v>
      </c>
      <c r="N262" s="514">
        <f>F262+145</f>
        <v>6235</v>
      </c>
      <c r="O262" s="300">
        <f t="shared" ref="O262:O263" si="456">+N262*$X$1</f>
        <v>6235</v>
      </c>
      <c r="P262" s="514">
        <f>F262+130</f>
        <v>6220</v>
      </c>
      <c r="Q262" s="300">
        <f t="shared" ref="Q262:Q263" si="457">+P262*$X$1</f>
        <v>6220</v>
      </c>
      <c r="R262" s="514">
        <f>F262+110</f>
        <v>6200</v>
      </c>
      <c r="S262" s="300">
        <f t="shared" ref="S262:S263" si="458">+R262*$X$1</f>
        <v>6200</v>
      </c>
      <c r="T262" s="103">
        <f>F262+95</f>
        <v>6185</v>
      </c>
      <c r="U262" s="321">
        <f t="shared" ref="U262:U263" si="459">+T262*$X$1</f>
        <v>6185</v>
      </c>
      <c r="V262" s="103">
        <f>F262+80</f>
        <v>6170</v>
      </c>
      <c r="W262" s="321">
        <f t="shared" ref="W262:W263" si="460">+V262*$X$1</f>
        <v>6170</v>
      </c>
      <c r="X262" s="660"/>
      <c r="Y262" s="661"/>
      <c r="Z262" s="661"/>
      <c r="AA262" s="662"/>
      <c r="AB262" s="200">
        <v>962</v>
      </c>
    </row>
    <row r="263" spans="1:38" ht="12.6" customHeight="1" x14ac:dyDescent="0.2">
      <c r="A263" s="18"/>
      <c r="B263" s="689" t="s">
        <v>888</v>
      </c>
      <c r="C263" s="690"/>
      <c r="D263" s="690"/>
      <c r="E263" s="690"/>
      <c r="F263" s="407">
        <f>10.94*X2</f>
        <v>11104.1</v>
      </c>
      <c r="G263" s="299">
        <f t="shared" si="450"/>
        <v>11104.1</v>
      </c>
      <c r="H263" s="624">
        <f>F263+500</f>
        <v>11604.1</v>
      </c>
      <c r="I263" s="299">
        <f t="shared" si="453"/>
        <v>11604.1</v>
      </c>
      <c r="J263" s="624">
        <f>F263+220</f>
        <v>11324.1</v>
      </c>
      <c r="K263" s="299">
        <f t="shared" si="454"/>
        <v>11324.1</v>
      </c>
      <c r="L263" s="624">
        <f>F263+170</f>
        <v>11274.1</v>
      </c>
      <c r="M263" s="299">
        <f t="shared" si="455"/>
        <v>11274.1</v>
      </c>
      <c r="N263" s="624">
        <f>F263+145</f>
        <v>11249.1</v>
      </c>
      <c r="O263" s="299">
        <f t="shared" si="456"/>
        <v>11249.1</v>
      </c>
      <c r="P263" s="624">
        <f>F263+130</f>
        <v>11234.1</v>
      </c>
      <c r="Q263" s="299">
        <f t="shared" si="457"/>
        <v>11234.1</v>
      </c>
      <c r="R263" s="624">
        <f>F263+110</f>
        <v>11214.1</v>
      </c>
      <c r="S263" s="299">
        <f t="shared" si="458"/>
        <v>11214.1</v>
      </c>
      <c r="T263" s="104">
        <f>F263+95</f>
        <v>11199.1</v>
      </c>
      <c r="U263" s="264">
        <f t="shared" si="459"/>
        <v>11199.1</v>
      </c>
      <c r="V263" s="104">
        <f>F263+80</f>
        <v>11184.1</v>
      </c>
      <c r="W263" s="264">
        <f t="shared" si="460"/>
        <v>11184.1</v>
      </c>
      <c r="X263" s="511"/>
      <c r="Y263" s="511"/>
      <c r="Z263" s="511"/>
      <c r="AA263" s="511"/>
      <c r="AB263" s="200">
        <v>963</v>
      </c>
    </row>
    <row r="264" spans="1:38" s="1" customFormat="1" ht="12.6" customHeight="1" x14ac:dyDescent="0.2">
      <c r="A264" s="19"/>
      <c r="B264" s="685" t="s">
        <v>392</v>
      </c>
      <c r="C264" s="686"/>
      <c r="D264" s="686"/>
      <c r="E264" s="686"/>
      <c r="F264" s="300">
        <v>396</v>
      </c>
      <c r="G264" s="300">
        <f>+F264*$X$1</f>
        <v>396</v>
      </c>
      <c r="H264" s="290"/>
      <c r="I264" s="290"/>
      <c r="J264" s="514">
        <f>F264+180</f>
        <v>576</v>
      </c>
      <c r="K264" s="300">
        <f t="shared" si="454"/>
        <v>576</v>
      </c>
      <c r="L264" s="514">
        <f>F264+120</f>
        <v>516</v>
      </c>
      <c r="M264" s="300">
        <f>+L264*$X$1</f>
        <v>516</v>
      </c>
      <c r="N264" s="514">
        <f>F264+63</f>
        <v>459</v>
      </c>
      <c r="O264" s="300">
        <f>+N264*$X$1</f>
        <v>459</v>
      </c>
      <c r="P264" s="514">
        <f>F264+54</f>
        <v>450</v>
      </c>
      <c r="Q264" s="300">
        <f>+P264*$X$1</f>
        <v>450</v>
      </c>
      <c r="R264" s="514">
        <f>F264+45</f>
        <v>441</v>
      </c>
      <c r="S264" s="300">
        <f>+R264*$X$1</f>
        <v>441</v>
      </c>
      <c r="T264" s="103">
        <f>F264+37</f>
        <v>433</v>
      </c>
      <c r="U264" s="321">
        <f>+T264*$X$1</f>
        <v>433</v>
      </c>
      <c r="V264" s="103">
        <f>F264+32</f>
        <v>428</v>
      </c>
      <c r="W264" s="321">
        <f>+V264*$X$1</f>
        <v>428</v>
      </c>
      <c r="X264" s="156"/>
      <c r="Y264" s="156"/>
      <c r="Z264" s="156"/>
      <c r="AA264" s="156"/>
      <c r="AB264" s="200">
        <v>998</v>
      </c>
      <c r="AC264" s="76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19"/>
      <c r="B265" s="673" t="s">
        <v>217</v>
      </c>
      <c r="C265" s="695"/>
      <c r="D265" s="695"/>
      <c r="E265" s="696"/>
      <c r="F265" s="299">
        <v>1400</v>
      </c>
      <c r="G265" s="322">
        <f t="shared" ref="G265" si="461">+F265*$X$1</f>
        <v>1400</v>
      </c>
      <c r="H265" s="716" t="s">
        <v>415</v>
      </c>
      <c r="I265" s="717"/>
      <c r="J265" s="717"/>
      <c r="K265" s="717"/>
      <c r="L265" s="717"/>
      <c r="M265" s="718"/>
      <c r="N265" s="561">
        <f>F265+100</f>
        <v>1500</v>
      </c>
      <c r="O265" s="299">
        <f t="shared" ref="O265" si="462">+N265*$X$1</f>
        <v>1500</v>
      </c>
      <c r="P265" s="561">
        <f>F265+80</f>
        <v>1480</v>
      </c>
      <c r="Q265" s="299">
        <f t="shared" ref="Q265" si="463">+P265*$X$1</f>
        <v>1480</v>
      </c>
      <c r="R265" s="561">
        <f>F265+63</f>
        <v>1463</v>
      </c>
      <c r="S265" s="299">
        <f t="shared" ref="S265" si="464">+R265*$X$1</f>
        <v>1463</v>
      </c>
      <c r="T265" s="561">
        <f>F265+55</f>
        <v>1455</v>
      </c>
      <c r="U265" s="299">
        <f t="shared" ref="U265" si="465">+T265*$X$1</f>
        <v>1455</v>
      </c>
      <c r="V265" s="561">
        <f>F265+50</f>
        <v>1450</v>
      </c>
      <c r="W265" s="299">
        <f t="shared" ref="W265" si="466">+V265*$X$1</f>
        <v>1450</v>
      </c>
      <c r="X265" s="665"/>
      <c r="Y265" s="681"/>
      <c r="Z265" s="681"/>
      <c r="AA265" s="667"/>
      <c r="AB265" s="200">
        <v>1001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19"/>
      <c r="B266" s="670" t="s">
        <v>218</v>
      </c>
      <c r="C266" s="929"/>
      <c r="D266" s="929"/>
      <c r="E266" s="930"/>
      <c r="F266" s="336">
        <v>1400</v>
      </c>
      <c r="G266" s="300">
        <f t="shared" ref="G266:G274" si="467">+F266*$X$1</f>
        <v>1400</v>
      </c>
      <c r="H266" s="719"/>
      <c r="I266" s="720"/>
      <c r="J266" s="720"/>
      <c r="K266" s="717"/>
      <c r="L266" s="720"/>
      <c r="M266" s="718"/>
      <c r="N266" s="561">
        <f>F266+100</f>
        <v>1500</v>
      </c>
      <c r="O266" s="300">
        <f t="shared" ref="O266:O269" si="468">+N266*$X$1</f>
        <v>1500</v>
      </c>
      <c r="P266" s="514">
        <f>F266+80</f>
        <v>1480</v>
      </c>
      <c r="Q266" s="300">
        <f t="shared" ref="Q266:Q269" si="469">+P266*$X$1</f>
        <v>1480</v>
      </c>
      <c r="R266" s="514">
        <f>F266+63</f>
        <v>1463</v>
      </c>
      <c r="S266" s="300">
        <f t="shared" ref="S266:S269" si="470">+R266*$X$1</f>
        <v>1463</v>
      </c>
      <c r="T266" s="514">
        <f>F266+55</f>
        <v>1455</v>
      </c>
      <c r="U266" s="300">
        <f t="shared" ref="U266:U269" si="471">+T266*$X$1</f>
        <v>1455</v>
      </c>
      <c r="V266" s="514">
        <f>F266+50</f>
        <v>1450</v>
      </c>
      <c r="W266" s="300">
        <f t="shared" ref="W266:W269" si="472">+V266*$X$1</f>
        <v>1450</v>
      </c>
      <c r="X266" s="665"/>
      <c r="Y266" s="681"/>
      <c r="Z266" s="681"/>
      <c r="AA266" s="667"/>
      <c r="AB266" s="200">
        <v>1002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19"/>
      <c r="B267" s="673" t="s">
        <v>662</v>
      </c>
      <c r="C267" s="695"/>
      <c r="D267" s="695"/>
      <c r="E267" s="696"/>
      <c r="F267" s="299">
        <v>1400</v>
      </c>
      <c r="G267" s="299">
        <f t="shared" si="467"/>
        <v>1400</v>
      </c>
      <c r="H267" s="719"/>
      <c r="I267" s="720"/>
      <c r="J267" s="720"/>
      <c r="K267" s="717"/>
      <c r="L267" s="720"/>
      <c r="M267" s="718"/>
      <c r="N267" s="561">
        <f>F267+100</f>
        <v>1500</v>
      </c>
      <c r="O267" s="299">
        <f t="shared" si="468"/>
        <v>1500</v>
      </c>
      <c r="P267" s="561">
        <f>F267+80</f>
        <v>1480</v>
      </c>
      <c r="Q267" s="299">
        <f t="shared" si="469"/>
        <v>1480</v>
      </c>
      <c r="R267" s="561">
        <f>F267+63</f>
        <v>1463</v>
      </c>
      <c r="S267" s="299">
        <f t="shared" si="470"/>
        <v>1463</v>
      </c>
      <c r="T267" s="561">
        <f>F267+55</f>
        <v>1455</v>
      </c>
      <c r="U267" s="299">
        <f t="shared" si="471"/>
        <v>1455</v>
      </c>
      <c r="V267" s="561">
        <f>F267+50</f>
        <v>1450</v>
      </c>
      <c r="W267" s="299">
        <f t="shared" si="472"/>
        <v>1450</v>
      </c>
      <c r="X267" s="665"/>
      <c r="Y267" s="681"/>
      <c r="Z267" s="681"/>
      <c r="AA267" s="667"/>
      <c r="AB267" s="200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19"/>
      <c r="B268" s="685" t="s">
        <v>720</v>
      </c>
      <c r="C268" s="686"/>
      <c r="D268" s="686"/>
      <c r="E268" s="686"/>
      <c r="F268" s="300">
        <v>1650</v>
      </c>
      <c r="G268" s="300">
        <f t="shared" si="467"/>
        <v>1650</v>
      </c>
      <c r="H268" s="719"/>
      <c r="I268" s="720"/>
      <c r="J268" s="720"/>
      <c r="K268" s="717"/>
      <c r="L268" s="720"/>
      <c r="M268" s="718"/>
      <c r="N268" s="561">
        <f>F268+100</f>
        <v>1750</v>
      </c>
      <c r="O268" s="300">
        <f t="shared" si="468"/>
        <v>1750</v>
      </c>
      <c r="P268" s="514">
        <f>F268+80</f>
        <v>1730</v>
      </c>
      <c r="Q268" s="300">
        <f t="shared" si="469"/>
        <v>1730</v>
      </c>
      <c r="R268" s="514">
        <f>F268+63</f>
        <v>1713</v>
      </c>
      <c r="S268" s="300">
        <f t="shared" si="470"/>
        <v>1713</v>
      </c>
      <c r="T268" s="514">
        <f>F268+55</f>
        <v>1705</v>
      </c>
      <c r="U268" s="300">
        <f t="shared" si="471"/>
        <v>1705</v>
      </c>
      <c r="V268" s="514">
        <f>F268+50</f>
        <v>1700</v>
      </c>
      <c r="W268" s="300">
        <f t="shared" si="472"/>
        <v>1700</v>
      </c>
      <c r="X268" s="665"/>
      <c r="Y268" s="666"/>
      <c r="Z268" s="666"/>
      <c r="AA268" s="667"/>
      <c r="AB268" s="200">
        <v>1004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19"/>
      <c r="B269" s="673" t="s">
        <v>719</v>
      </c>
      <c r="C269" s="695"/>
      <c r="D269" s="695"/>
      <c r="E269" s="696"/>
      <c r="F269" s="299">
        <v>1650</v>
      </c>
      <c r="G269" s="299">
        <f t="shared" si="467"/>
        <v>1650</v>
      </c>
      <c r="H269" s="719"/>
      <c r="I269" s="720"/>
      <c r="J269" s="720"/>
      <c r="K269" s="717"/>
      <c r="L269" s="720"/>
      <c r="M269" s="718"/>
      <c r="N269" s="561">
        <f>F269+100</f>
        <v>1750</v>
      </c>
      <c r="O269" s="299">
        <f t="shared" si="468"/>
        <v>1750</v>
      </c>
      <c r="P269" s="561">
        <f>F269+80</f>
        <v>1730</v>
      </c>
      <c r="Q269" s="299">
        <f t="shared" si="469"/>
        <v>1730</v>
      </c>
      <c r="R269" s="561">
        <f>F269+63</f>
        <v>1713</v>
      </c>
      <c r="S269" s="299">
        <f t="shared" si="470"/>
        <v>1713</v>
      </c>
      <c r="T269" s="561">
        <f>F269+55</f>
        <v>1705</v>
      </c>
      <c r="U269" s="299">
        <f t="shared" si="471"/>
        <v>1705</v>
      </c>
      <c r="V269" s="561">
        <f>F269+50</f>
        <v>1700</v>
      </c>
      <c r="W269" s="299">
        <f t="shared" si="472"/>
        <v>1700</v>
      </c>
      <c r="X269" s="665"/>
      <c r="Y269" s="681"/>
      <c r="Z269" s="681"/>
      <c r="AA269" s="667"/>
      <c r="AB269" s="200">
        <v>1005</v>
      </c>
      <c r="AC269" s="4"/>
      <c r="AD269" s="4"/>
      <c r="AE269" s="4"/>
      <c r="AF269" s="4"/>
      <c r="AG269" s="4"/>
      <c r="AH269" s="132"/>
      <c r="AI269" s="4"/>
      <c r="AJ269" s="4"/>
      <c r="AK269" s="4"/>
      <c r="AL269" s="4"/>
    </row>
    <row r="270" spans="1:38" s="1" customFormat="1" ht="12.6" customHeight="1" x14ac:dyDescent="0.2">
      <c r="A270" s="19"/>
      <c r="B270" s="670" t="s">
        <v>219</v>
      </c>
      <c r="C270" s="679"/>
      <c r="D270" s="679"/>
      <c r="E270" s="680"/>
      <c r="F270" s="300"/>
      <c r="G270" s="300"/>
      <c r="H270" s="721"/>
      <c r="I270" s="722"/>
      <c r="J270" s="722"/>
      <c r="K270" s="722"/>
      <c r="L270" s="722"/>
      <c r="M270" s="723"/>
      <c r="N270" s="514"/>
      <c r="O270" s="300"/>
      <c r="P270" s="514"/>
      <c r="Q270" s="300"/>
      <c r="R270" s="514"/>
      <c r="S270" s="300"/>
      <c r="T270" s="514"/>
      <c r="U270" s="300"/>
      <c r="V270" s="514"/>
      <c r="W270" s="300"/>
      <c r="X270" s="665"/>
      <c r="Y270" s="681"/>
      <c r="Z270" s="681"/>
      <c r="AA270" s="667"/>
      <c r="AB270" s="200">
        <v>1006</v>
      </c>
      <c r="AC270" s="4"/>
      <c r="AD270" s="4"/>
      <c r="AE270" s="4"/>
      <c r="AF270" s="4"/>
      <c r="AG270" s="4"/>
      <c r="AH270" s="132"/>
      <c r="AI270" s="4"/>
      <c r="AJ270" s="4"/>
      <c r="AK270" s="4"/>
      <c r="AL270" s="4"/>
    </row>
    <row r="271" spans="1:38" s="1" customFormat="1" ht="12.6" customHeight="1" x14ac:dyDescent="0.2">
      <c r="A271" s="19"/>
      <c r="B271" s="673" t="s">
        <v>877</v>
      </c>
      <c r="C271" s="676"/>
      <c r="D271" s="676"/>
      <c r="E271" s="677"/>
      <c r="F271" s="407">
        <f>2.8*X2</f>
        <v>2842</v>
      </c>
      <c r="G271" s="299">
        <f>+F271*$X$1</f>
        <v>2842</v>
      </c>
      <c r="H271" s="72">
        <f>F271+480</f>
        <v>3322</v>
      </c>
      <c r="I271" s="299">
        <f t="shared" ref="I271:I272" si="473">+H271*$X$1</f>
        <v>3322</v>
      </c>
      <c r="J271" s="624">
        <f>F271+210</f>
        <v>3052</v>
      </c>
      <c r="K271" s="299">
        <f>+J271*$X$1</f>
        <v>3052</v>
      </c>
      <c r="L271" s="624">
        <f>F271+170</f>
        <v>3012</v>
      </c>
      <c r="M271" s="299">
        <f>+L271*$X$1</f>
        <v>3012</v>
      </c>
      <c r="N271" s="72">
        <f>F271+130</f>
        <v>2972</v>
      </c>
      <c r="O271" s="299">
        <f t="shared" ref="O271:O272" si="474">+N271*$X$1</f>
        <v>2972</v>
      </c>
      <c r="P271" s="72">
        <f>F271+110</f>
        <v>2952</v>
      </c>
      <c r="Q271" s="299">
        <f t="shared" ref="Q271:Q272" si="475">+P271*$X$1</f>
        <v>2952</v>
      </c>
      <c r="R271" s="624">
        <f>F271+100</f>
        <v>2942</v>
      </c>
      <c r="S271" s="299">
        <f t="shared" ref="S271:S272" si="476">+R271*$X$1</f>
        <v>2942</v>
      </c>
      <c r="T271" s="624">
        <f>F271+93</f>
        <v>2935</v>
      </c>
      <c r="U271" s="299">
        <f t="shared" ref="U271:U272" si="477">+T271*$X$1</f>
        <v>2935</v>
      </c>
      <c r="V271" s="624">
        <f>F271+84</f>
        <v>2926</v>
      </c>
      <c r="W271" s="299">
        <f t="shared" ref="W271:W272" si="478">+V271*$X$1</f>
        <v>2926</v>
      </c>
      <c r="X271" s="552"/>
      <c r="Y271" s="550"/>
      <c r="Z271" s="550"/>
      <c r="AA271" s="551"/>
      <c r="AB271" s="200">
        <v>1026</v>
      </c>
      <c r="AC271" s="4"/>
      <c r="AD271" s="4"/>
      <c r="AE271" s="4"/>
      <c r="AF271" s="4"/>
      <c r="AG271" s="4"/>
      <c r="AH271" s="554"/>
      <c r="AI271" s="4"/>
      <c r="AJ271" s="4"/>
      <c r="AK271" s="4"/>
      <c r="AL271" s="4"/>
    </row>
    <row r="272" spans="1:38" s="1" customFormat="1" ht="12.6" customHeight="1" x14ac:dyDescent="0.2">
      <c r="A272" s="19"/>
      <c r="B272" s="670" t="s">
        <v>618</v>
      </c>
      <c r="C272" s="679"/>
      <c r="D272" s="679"/>
      <c r="E272" s="680"/>
      <c r="F272" s="414">
        <f>14.43*X2</f>
        <v>14646.449999999999</v>
      </c>
      <c r="G272" s="302">
        <f t="shared" si="467"/>
        <v>14646.449999999999</v>
      </c>
      <c r="H272" s="90">
        <f>F272+480</f>
        <v>15126.449999999999</v>
      </c>
      <c r="I272" s="300">
        <f t="shared" si="473"/>
        <v>15126.449999999999</v>
      </c>
      <c r="J272" s="514">
        <f>F272+210</f>
        <v>14856.449999999999</v>
      </c>
      <c r="K272" s="300">
        <f t="shared" ref="K272" si="479">+J272*$X$1</f>
        <v>14856.449999999999</v>
      </c>
      <c r="L272" s="514">
        <f>F272+150</f>
        <v>14796.449999999999</v>
      </c>
      <c r="M272" s="300">
        <f t="shared" ref="M272" si="480">+L272*$X$1</f>
        <v>14796.449999999999</v>
      </c>
      <c r="N272" s="514">
        <f>F272+120</f>
        <v>14766.449999999999</v>
      </c>
      <c r="O272" s="300">
        <f t="shared" si="474"/>
        <v>14766.449999999999</v>
      </c>
      <c r="P272" s="514">
        <f>F272+95</f>
        <v>14741.449999999999</v>
      </c>
      <c r="Q272" s="300">
        <f t="shared" si="475"/>
        <v>14741.449999999999</v>
      </c>
      <c r="R272" s="514">
        <f>F272+85</f>
        <v>14731.449999999999</v>
      </c>
      <c r="S272" s="300">
        <f t="shared" si="476"/>
        <v>14731.449999999999</v>
      </c>
      <c r="T272" s="514">
        <f>F272+77</f>
        <v>14723.449999999999</v>
      </c>
      <c r="U272" s="300">
        <f t="shared" si="477"/>
        <v>14723.449999999999</v>
      </c>
      <c r="V272" s="514">
        <f>F272+68</f>
        <v>14714.449999999999</v>
      </c>
      <c r="W272" s="300">
        <f t="shared" si="478"/>
        <v>14714.449999999999</v>
      </c>
      <c r="X272" s="354"/>
      <c r="Y272" s="355"/>
      <c r="Z272" s="355"/>
      <c r="AA272" s="356"/>
      <c r="AB272" s="200">
        <v>1028</v>
      </c>
      <c r="AC272" s="4"/>
      <c r="AD272" s="4"/>
      <c r="AE272" s="4"/>
      <c r="AF272" s="4"/>
      <c r="AG272" s="4"/>
      <c r="AH272" s="132"/>
      <c r="AI272" s="4"/>
      <c r="AJ272" s="4"/>
      <c r="AK272" s="4"/>
      <c r="AL272" s="4"/>
    </row>
    <row r="273" spans="1:38" s="1" customFormat="1" ht="12.6" customHeight="1" x14ac:dyDescent="0.2">
      <c r="A273" s="19"/>
      <c r="B273" s="673" t="s">
        <v>890</v>
      </c>
      <c r="C273" s="676"/>
      <c r="D273" s="676"/>
      <c r="E273" s="677"/>
      <c r="F273" s="348">
        <v>3100</v>
      </c>
      <c r="G273" s="299">
        <f t="shared" ref="G273" si="481">+F273*$X$1</f>
        <v>3100</v>
      </c>
      <c r="H273" s="72"/>
      <c r="I273" s="299"/>
      <c r="J273" s="624"/>
      <c r="K273" s="299"/>
      <c r="L273" s="624">
        <f>F273+170</f>
        <v>3270</v>
      </c>
      <c r="M273" s="299">
        <f>+L273*$X$1</f>
        <v>3270</v>
      </c>
      <c r="N273" s="72">
        <f>F273+130</f>
        <v>3230</v>
      </c>
      <c r="O273" s="299">
        <f t="shared" ref="O273:O276" si="482">+N273*$X$1</f>
        <v>3230</v>
      </c>
      <c r="P273" s="72">
        <f>F273+110</f>
        <v>3210</v>
      </c>
      <c r="Q273" s="299">
        <f t="shared" ref="Q273:Q276" si="483">+P273*$X$1</f>
        <v>3210</v>
      </c>
      <c r="R273" s="624">
        <f>F273+100</f>
        <v>3200</v>
      </c>
      <c r="S273" s="299">
        <f t="shared" ref="S273:S276" si="484">+R273*$X$1</f>
        <v>3200</v>
      </c>
      <c r="T273" s="624">
        <f>F273+93</f>
        <v>3193</v>
      </c>
      <c r="U273" s="299">
        <f t="shared" ref="U273:U276" si="485">+T273*$X$1</f>
        <v>3193</v>
      </c>
      <c r="V273" s="624">
        <f>F273+84</f>
        <v>3184</v>
      </c>
      <c r="W273" s="299">
        <f t="shared" ref="W273:W276" si="486">+V273*$X$1</f>
        <v>3184</v>
      </c>
      <c r="X273" s="567"/>
      <c r="Y273" s="568"/>
      <c r="Z273" s="568"/>
      <c r="AA273" s="569"/>
      <c r="AB273" s="200">
        <v>1029</v>
      </c>
      <c r="AC273" s="4"/>
      <c r="AD273" s="4"/>
      <c r="AE273" s="4"/>
      <c r="AF273" s="4"/>
      <c r="AG273" s="4"/>
      <c r="AH273" s="132"/>
      <c r="AI273" s="4"/>
      <c r="AJ273" s="4"/>
      <c r="AK273" s="4"/>
      <c r="AL273" s="4"/>
    </row>
    <row r="274" spans="1:38" s="1" customFormat="1" ht="12.6" customHeight="1" x14ac:dyDescent="0.2">
      <c r="A274" s="19"/>
      <c r="B274" s="670" t="s">
        <v>616</v>
      </c>
      <c r="C274" s="679"/>
      <c r="D274" s="679"/>
      <c r="E274" s="680"/>
      <c r="F274" s="347">
        <v>3100</v>
      </c>
      <c r="G274" s="300">
        <f t="shared" si="467"/>
        <v>3100</v>
      </c>
      <c r="H274" s="90"/>
      <c r="I274" s="300"/>
      <c r="J274" s="514"/>
      <c r="K274" s="300"/>
      <c r="L274" s="514">
        <f>F274+170</f>
        <v>3270</v>
      </c>
      <c r="M274" s="300">
        <f>+L274*$X$1</f>
        <v>3270</v>
      </c>
      <c r="N274" s="90">
        <f>F274+130</f>
        <v>3230</v>
      </c>
      <c r="O274" s="300">
        <f t="shared" si="482"/>
        <v>3230</v>
      </c>
      <c r="P274" s="90">
        <f>F274+110</f>
        <v>3210</v>
      </c>
      <c r="Q274" s="300">
        <f t="shared" si="483"/>
        <v>3210</v>
      </c>
      <c r="R274" s="514">
        <f>F274+100</f>
        <v>3200</v>
      </c>
      <c r="S274" s="300">
        <f t="shared" si="484"/>
        <v>3200</v>
      </c>
      <c r="T274" s="514">
        <f>F274+93</f>
        <v>3193</v>
      </c>
      <c r="U274" s="300">
        <f t="shared" si="485"/>
        <v>3193</v>
      </c>
      <c r="V274" s="514">
        <f>F274+84</f>
        <v>3184</v>
      </c>
      <c r="W274" s="300">
        <f t="shared" si="486"/>
        <v>3184</v>
      </c>
      <c r="X274" s="343"/>
      <c r="Y274" s="341"/>
      <c r="Z274" s="341"/>
      <c r="AA274" s="342"/>
      <c r="AB274" s="200">
        <v>1030</v>
      </c>
      <c r="AC274" s="4"/>
      <c r="AD274" s="4"/>
      <c r="AE274" s="4"/>
      <c r="AF274" s="4"/>
      <c r="AG274" s="4"/>
      <c r="AH274" s="132"/>
      <c r="AI274" s="4"/>
      <c r="AJ274" s="4"/>
      <c r="AK274" s="4"/>
      <c r="AL274" s="4"/>
    </row>
    <row r="275" spans="1:38" s="1" customFormat="1" ht="12.6" customHeight="1" x14ac:dyDescent="0.2">
      <c r="A275" s="19"/>
      <c r="B275" s="673" t="s">
        <v>617</v>
      </c>
      <c r="C275" s="676"/>
      <c r="D275" s="676"/>
      <c r="E275" s="677"/>
      <c r="F275" s="348">
        <v>3100</v>
      </c>
      <c r="G275" s="299">
        <f t="shared" ref="G275:G276" si="487">+F275*$X$1</f>
        <v>3100</v>
      </c>
      <c r="H275" s="72"/>
      <c r="I275" s="299"/>
      <c r="J275" s="624"/>
      <c r="K275" s="299"/>
      <c r="L275" s="624">
        <f>F275+170</f>
        <v>3270</v>
      </c>
      <c r="M275" s="299">
        <f>+L275*$X$1</f>
        <v>3270</v>
      </c>
      <c r="N275" s="72">
        <f>F275+130</f>
        <v>3230</v>
      </c>
      <c r="O275" s="299">
        <f t="shared" si="482"/>
        <v>3230</v>
      </c>
      <c r="P275" s="72">
        <f>F275+110</f>
        <v>3210</v>
      </c>
      <c r="Q275" s="299">
        <f t="shared" si="483"/>
        <v>3210</v>
      </c>
      <c r="R275" s="624">
        <f>F275+100</f>
        <v>3200</v>
      </c>
      <c r="S275" s="299">
        <f t="shared" si="484"/>
        <v>3200</v>
      </c>
      <c r="T275" s="624">
        <f>F275+93</f>
        <v>3193</v>
      </c>
      <c r="U275" s="299">
        <f t="shared" si="485"/>
        <v>3193</v>
      </c>
      <c r="V275" s="624">
        <f>F275+84</f>
        <v>3184</v>
      </c>
      <c r="W275" s="299">
        <f t="shared" si="486"/>
        <v>3184</v>
      </c>
      <c r="X275" s="349"/>
      <c r="Y275" s="350"/>
      <c r="Z275" s="350"/>
      <c r="AA275" s="351"/>
      <c r="AB275" s="200">
        <v>1031</v>
      </c>
      <c r="AC275" s="4"/>
      <c r="AD275" s="4"/>
      <c r="AE275" s="4"/>
      <c r="AF275" s="4"/>
      <c r="AG275" s="4"/>
      <c r="AH275" s="132"/>
      <c r="AI275" s="4"/>
      <c r="AJ275" s="4"/>
      <c r="AK275" s="4"/>
      <c r="AL275" s="4"/>
    </row>
    <row r="276" spans="1:38" s="1" customFormat="1" ht="12.6" customHeight="1" x14ac:dyDescent="0.2">
      <c r="A276" s="19"/>
      <c r="B276" s="670" t="s">
        <v>902</v>
      </c>
      <c r="C276" s="679"/>
      <c r="D276" s="679"/>
      <c r="E276" s="680"/>
      <c r="F276" s="408">
        <f>14.72*X2</f>
        <v>14940.800000000001</v>
      </c>
      <c r="G276" s="300">
        <f t="shared" si="487"/>
        <v>14940.800000000001</v>
      </c>
      <c r="H276" s="90">
        <f>F276+480</f>
        <v>15420.800000000001</v>
      </c>
      <c r="I276" s="300">
        <f t="shared" ref="I276" si="488">+H276*$X$1</f>
        <v>15420.800000000001</v>
      </c>
      <c r="J276" s="514">
        <f>F276+210</f>
        <v>15150.800000000001</v>
      </c>
      <c r="K276" s="300">
        <f t="shared" ref="K276" si="489">+J276*$X$1</f>
        <v>15150.800000000001</v>
      </c>
      <c r="L276" s="514">
        <f>F276+150</f>
        <v>15090.800000000001</v>
      </c>
      <c r="M276" s="300">
        <f t="shared" ref="M276" si="490">+L276*$X$1</f>
        <v>15090.800000000001</v>
      </c>
      <c r="N276" s="514">
        <f>F276+120</f>
        <v>15060.800000000001</v>
      </c>
      <c r="O276" s="300">
        <f t="shared" si="482"/>
        <v>15060.800000000001</v>
      </c>
      <c r="P276" s="514">
        <f>F276+95</f>
        <v>15035.800000000001</v>
      </c>
      <c r="Q276" s="300">
        <f t="shared" si="483"/>
        <v>15035.800000000001</v>
      </c>
      <c r="R276" s="514">
        <f>F276+85</f>
        <v>15025.800000000001</v>
      </c>
      <c r="S276" s="300">
        <f t="shared" si="484"/>
        <v>15025.800000000001</v>
      </c>
      <c r="T276" s="514">
        <f>F276+77</f>
        <v>15017.800000000001</v>
      </c>
      <c r="U276" s="300">
        <f t="shared" si="485"/>
        <v>15017.800000000001</v>
      </c>
      <c r="V276" s="514">
        <f>F276+68</f>
        <v>15008.800000000001</v>
      </c>
      <c r="W276" s="300">
        <f t="shared" si="486"/>
        <v>15008.800000000001</v>
      </c>
      <c r="X276" s="258"/>
      <c r="Y276" s="259"/>
      <c r="Z276" s="259"/>
      <c r="AA276" s="260"/>
      <c r="AB276" s="200">
        <v>1032</v>
      </c>
      <c r="AC276" s="4"/>
      <c r="AD276" s="4"/>
      <c r="AE276" s="4"/>
      <c r="AF276" s="4"/>
      <c r="AG276" s="4"/>
      <c r="AH276" s="132"/>
      <c r="AI276" s="4"/>
      <c r="AJ276" s="4"/>
      <c r="AK276" s="4"/>
      <c r="AL276" s="4"/>
    </row>
    <row r="277" spans="1:38" s="1" customFormat="1" ht="12.6" customHeight="1" x14ac:dyDescent="0.2">
      <c r="A277" s="19"/>
      <c r="B277" s="673" t="s">
        <v>492</v>
      </c>
      <c r="C277" s="676"/>
      <c r="D277" s="676"/>
      <c r="E277" s="677"/>
      <c r="F277" s="407">
        <f>21.33*X2</f>
        <v>21649.949999999997</v>
      </c>
      <c r="G277" s="299">
        <f t="shared" ref="G277" si="491">+F277*$X$1</f>
        <v>21649.949999999997</v>
      </c>
      <c r="H277" s="72">
        <f>F277+480</f>
        <v>22129.949999999997</v>
      </c>
      <c r="I277" s="299">
        <f t="shared" ref="I277:I291" si="492">+H277*$X$1</f>
        <v>22129.949999999997</v>
      </c>
      <c r="J277" s="624">
        <f>F277+210</f>
        <v>21859.949999999997</v>
      </c>
      <c r="K277" s="299">
        <f t="shared" ref="K277:K291" si="493">+J277*$X$1</f>
        <v>21859.949999999997</v>
      </c>
      <c r="L277" s="624">
        <f>F277+150</f>
        <v>21799.949999999997</v>
      </c>
      <c r="M277" s="299">
        <f t="shared" ref="M277:M291" si="494">+L277*$X$1</f>
        <v>21799.949999999997</v>
      </c>
      <c r="N277" s="624">
        <f>F277+120</f>
        <v>21769.949999999997</v>
      </c>
      <c r="O277" s="299">
        <f t="shared" ref="O277:O291" si="495">+N277*$X$1</f>
        <v>21769.949999999997</v>
      </c>
      <c r="P277" s="624">
        <f>F277+95</f>
        <v>21744.949999999997</v>
      </c>
      <c r="Q277" s="299">
        <f t="shared" ref="Q277:Q291" si="496">+P277*$X$1</f>
        <v>21744.949999999997</v>
      </c>
      <c r="R277" s="624">
        <f>F277+85</f>
        <v>21734.949999999997</v>
      </c>
      <c r="S277" s="299">
        <f t="shared" ref="S277:S291" si="497">+R277*$X$1</f>
        <v>21734.949999999997</v>
      </c>
      <c r="T277" s="624">
        <f>F277+77</f>
        <v>21726.949999999997</v>
      </c>
      <c r="U277" s="299">
        <f t="shared" ref="U277:U291" si="498">+T277*$X$1</f>
        <v>21726.949999999997</v>
      </c>
      <c r="V277" s="624">
        <f>F277+68</f>
        <v>21717.949999999997</v>
      </c>
      <c r="W277" s="299">
        <f t="shared" ref="W277:W291" si="499">+V277*$X$1</f>
        <v>21717.949999999997</v>
      </c>
      <c r="X277" s="251"/>
      <c r="Y277" s="253"/>
      <c r="Z277" s="253"/>
      <c r="AA277" s="252"/>
      <c r="AB277" s="200">
        <v>1034</v>
      </c>
      <c r="AC277" s="4"/>
      <c r="AD277" s="4"/>
      <c r="AE277" s="4"/>
      <c r="AF277" s="4"/>
      <c r="AG277" s="4"/>
      <c r="AH277" s="132"/>
      <c r="AI277" s="4"/>
      <c r="AJ277" s="4"/>
      <c r="AK277" s="4"/>
      <c r="AL277" s="4"/>
    </row>
    <row r="278" spans="1:38" ht="12.6" customHeight="1" x14ac:dyDescent="0.2">
      <c r="A278" s="18"/>
      <c r="B278" s="685" t="s">
        <v>454</v>
      </c>
      <c r="C278" s="686"/>
      <c r="D278" s="686"/>
      <c r="E278" s="686"/>
      <c r="F278" s="347">
        <v>12765</v>
      </c>
      <c r="G278" s="300">
        <f>+F278*$X$1</f>
        <v>12765</v>
      </c>
      <c r="H278" s="90">
        <f>F278+480</f>
        <v>13245</v>
      </c>
      <c r="I278" s="300">
        <f t="shared" si="492"/>
        <v>13245</v>
      </c>
      <c r="J278" s="514">
        <f>F278+210</f>
        <v>12975</v>
      </c>
      <c r="K278" s="300">
        <f t="shared" si="493"/>
        <v>12975</v>
      </c>
      <c r="L278" s="514">
        <f>F278+150</f>
        <v>12915</v>
      </c>
      <c r="M278" s="300">
        <f t="shared" si="494"/>
        <v>12915</v>
      </c>
      <c r="N278" s="514">
        <f>F278+120</f>
        <v>12885</v>
      </c>
      <c r="O278" s="300">
        <f t="shared" si="495"/>
        <v>12885</v>
      </c>
      <c r="P278" s="514">
        <f>F278+95</f>
        <v>12860</v>
      </c>
      <c r="Q278" s="300">
        <f t="shared" si="496"/>
        <v>12860</v>
      </c>
      <c r="R278" s="514">
        <f>F278+85</f>
        <v>12850</v>
      </c>
      <c r="S278" s="300">
        <f t="shared" si="497"/>
        <v>12850</v>
      </c>
      <c r="T278" s="514">
        <f>F278+77</f>
        <v>12842</v>
      </c>
      <c r="U278" s="300">
        <f t="shared" si="498"/>
        <v>12842</v>
      </c>
      <c r="V278" s="514">
        <f>F278+68</f>
        <v>12833</v>
      </c>
      <c r="W278" s="300">
        <f t="shared" si="499"/>
        <v>12833</v>
      </c>
      <c r="X278" s="665"/>
      <c r="Y278" s="681"/>
      <c r="Z278" s="681"/>
      <c r="AA278" s="667"/>
      <c r="AB278" s="200">
        <v>1040</v>
      </c>
      <c r="AC278" s="65"/>
    </row>
    <row r="279" spans="1:38" ht="12.6" customHeight="1" x14ac:dyDescent="0.2">
      <c r="A279" s="18"/>
      <c r="B279" s="663" t="s">
        <v>803</v>
      </c>
      <c r="C279" s="693"/>
      <c r="D279" s="693"/>
      <c r="E279" s="693"/>
      <c r="F279" s="407">
        <f>21.3*X2</f>
        <v>21619.5</v>
      </c>
      <c r="G279" s="299">
        <f>+F279*$X$1</f>
        <v>21619.5</v>
      </c>
      <c r="H279" s="72">
        <f>F279+480</f>
        <v>22099.5</v>
      </c>
      <c r="I279" s="299">
        <f t="shared" si="492"/>
        <v>22099.5</v>
      </c>
      <c r="J279" s="624">
        <f>F279+210</f>
        <v>21829.5</v>
      </c>
      <c r="K279" s="299">
        <f t="shared" si="493"/>
        <v>21829.5</v>
      </c>
      <c r="L279" s="624">
        <f>F279+150</f>
        <v>21769.5</v>
      </c>
      <c r="M279" s="299">
        <f t="shared" si="494"/>
        <v>21769.5</v>
      </c>
      <c r="N279" s="624">
        <f>F279+120</f>
        <v>21739.5</v>
      </c>
      <c r="O279" s="299">
        <f t="shared" si="495"/>
        <v>21739.5</v>
      </c>
      <c r="P279" s="624">
        <f>F279+95</f>
        <v>21714.5</v>
      </c>
      <c r="Q279" s="299">
        <f t="shared" si="496"/>
        <v>21714.5</v>
      </c>
      <c r="R279" s="624">
        <f>F279+85</f>
        <v>21704.5</v>
      </c>
      <c r="S279" s="299">
        <f t="shared" si="497"/>
        <v>21704.5</v>
      </c>
      <c r="T279" s="624">
        <f>F279+77</f>
        <v>21696.5</v>
      </c>
      <c r="U279" s="299">
        <f t="shared" si="498"/>
        <v>21696.5</v>
      </c>
      <c r="V279" s="624">
        <f>F279+68</f>
        <v>21687.5</v>
      </c>
      <c r="W279" s="299">
        <f t="shared" si="499"/>
        <v>21687.5</v>
      </c>
      <c r="X279" s="665"/>
      <c r="Y279" s="681"/>
      <c r="Z279" s="681"/>
      <c r="AA279" s="667"/>
      <c r="AB279" s="200">
        <v>1041</v>
      </c>
      <c r="AC279" s="65"/>
    </row>
    <row r="280" spans="1:38" ht="12.6" customHeight="1" x14ac:dyDescent="0.2">
      <c r="A280" s="18"/>
      <c r="B280" s="685" t="s">
        <v>802</v>
      </c>
      <c r="C280" s="686"/>
      <c r="D280" s="686"/>
      <c r="E280" s="686"/>
      <c r="F280" s="408">
        <f>14.8*X2</f>
        <v>15022</v>
      </c>
      <c r="G280" s="300">
        <f t="shared" ref="G280" si="500">+F280*$X$1</f>
        <v>15022</v>
      </c>
      <c r="H280" s="90">
        <f>F280+480</f>
        <v>15502</v>
      </c>
      <c r="I280" s="300">
        <f t="shared" si="492"/>
        <v>15502</v>
      </c>
      <c r="J280" s="514">
        <f>F280+210</f>
        <v>15232</v>
      </c>
      <c r="K280" s="300">
        <f t="shared" si="493"/>
        <v>15232</v>
      </c>
      <c r="L280" s="514">
        <f>F280+150</f>
        <v>15172</v>
      </c>
      <c r="M280" s="300">
        <f t="shared" si="494"/>
        <v>15172</v>
      </c>
      <c r="N280" s="514">
        <f>F280+120</f>
        <v>15142</v>
      </c>
      <c r="O280" s="300">
        <f t="shared" si="495"/>
        <v>15142</v>
      </c>
      <c r="P280" s="514">
        <f>F280+95</f>
        <v>15117</v>
      </c>
      <c r="Q280" s="300">
        <f t="shared" si="496"/>
        <v>15117</v>
      </c>
      <c r="R280" s="514">
        <f>F280+85</f>
        <v>15107</v>
      </c>
      <c r="S280" s="300">
        <f t="shared" si="497"/>
        <v>15107</v>
      </c>
      <c r="T280" s="514">
        <f>F280+77</f>
        <v>15099</v>
      </c>
      <c r="U280" s="300">
        <f t="shared" si="498"/>
        <v>15099</v>
      </c>
      <c r="V280" s="514">
        <f>F280+68</f>
        <v>15090</v>
      </c>
      <c r="W280" s="300">
        <f t="shared" si="499"/>
        <v>15090</v>
      </c>
      <c r="X280" s="665"/>
      <c r="Y280" s="681"/>
      <c r="Z280" s="681"/>
      <c r="AA280" s="667"/>
      <c r="AB280" s="200">
        <v>1042</v>
      </c>
    </row>
    <row r="281" spans="1:38" ht="12.6" customHeight="1" x14ac:dyDescent="0.2">
      <c r="A281" s="18"/>
      <c r="B281" s="663" t="s">
        <v>542</v>
      </c>
      <c r="C281" s="693"/>
      <c r="D281" s="693"/>
      <c r="E281" s="693"/>
      <c r="F281" s="348">
        <v>21260</v>
      </c>
      <c r="G281" s="299">
        <f t="shared" ref="G281:G288" si="501">+F281*$X$1</f>
        <v>21260</v>
      </c>
      <c r="H281" s="72">
        <f>F281+480</f>
        <v>21740</v>
      </c>
      <c r="I281" s="299">
        <f t="shared" si="492"/>
        <v>21740</v>
      </c>
      <c r="J281" s="624">
        <f>F281+210</f>
        <v>21470</v>
      </c>
      <c r="K281" s="299">
        <f t="shared" si="493"/>
        <v>21470</v>
      </c>
      <c r="L281" s="624">
        <f>F281+150</f>
        <v>21410</v>
      </c>
      <c r="M281" s="299">
        <f t="shared" si="494"/>
        <v>21410</v>
      </c>
      <c r="N281" s="624">
        <f>F281+120</f>
        <v>21380</v>
      </c>
      <c r="O281" s="299">
        <f t="shared" si="495"/>
        <v>21380</v>
      </c>
      <c r="P281" s="624">
        <f>F281+95</f>
        <v>21355</v>
      </c>
      <c r="Q281" s="299">
        <f t="shared" si="496"/>
        <v>21355</v>
      </c>
      <c r="R281" s="624">
        <f>F281+85</f>
        <v>21345</v>
      </c>
      <c r="S281" s="299">
        <f t="shared" si="497"/>
        <v>21345</v>
      </c>
      <c r="T281" s="624">
        <f>F281+77</f>
        <v>21337</v>
      </c>
      <c r="U281" s="299">
        <f t="shared" si="498"/>
        <v>21337</v>
      </c>
      <c r="V281" s="624">
        <f>F281+68</f>
        <v>21328</v>
      </c>
      <c r="W281" s="299">
        <f t="shared" si="499"/>
        <v>21328</v>
      </c>
      <c r="X281" s="665"/>
      <c r="Y281" s="681"/>
      <c r="Z281" s="681"/>
      <c r="AA281" s="667"/>
      <c r="AB281" s="200">
        <v>1043</v>
      </c>
      <c r="AC281" s="65"/>
    </row>
    <row r="282" spans="1:38" ht="12.6" customHeight="1" x14ac:dyDescent="0.2">
      <c r="A282" s="18"/>
      <c r="B282" s="685" t="s">
        <v>543</v>
      </c>
      <c r="C282" s="686"/>
      <c r="D282" s="686"/>
      <c r="E282" s="686"/>
      <c r="F282" s="347">
        <v>21518</v>
      </c>
      <c r="G282" s="300">
        <f t="shared" si="501"/>
        <v>21518</v>
      </c>
      <c r="H282" s="90">
        <f>F282+480</f>
        <v>21998</v>
      </c>
      <c r="I282" s="300">
        <f t="shared" si="492"/>
        <v>21998</v>
      </c>
      <c r="J282" s="514">
        <f>F282+210</f>
        <v>21728</v>
      </c>
      <c r="K282" s="300">
        <f t="shared" si="493"/>
        <v>21728</v>
      </c>
      <c r="L282" s="514">
        <f>F282+150</f>
        <v>21668</v>
      </c>
      <c r="M282" s="300">
        <f t="shared" si="494"/>
        <v>21668</v>
      </c>
      <c r="N282" s="514">
        <f>F282+120</f>
        <v>21638</v>
      </c>
      <c r="O282" s="300">
        <f t="shared" si="495"/>
        <v>21638</v>
      </c>
      <c r="P282" s="514">
        <f>F282+95</f>
        <v>21613</v>
      </c>
      <c r="Q282" s="300">
        <f t="shared" si="496"/>
        <v>21613</v>
      </c>
      <c r="R282" s="514">
        <f>F282+85</f>
        <v>21603</v>
      </c>
      <c r="S282" s="300">
        <f t="shared" si="497"/>
        <v>21603</v>
      </c>
      <c r="T282" s="514">
        <f>F282+77</f>
        <v>21595</v>
      </c>
      <c r="U282" s="300">
        <f t="shared" si="498"/>
        <v>21595</v>
      </c>
      <c r="V282" s="514">
        <f>F282+68</f>
        <v>21586</v>
      </c>
      <c r="W282" s="300">
        <f t="shared" si="499"/>
        <v>21586</v>
      </c>
      <c r="X282" s="665"/>
      <c r="Y282" s="681"/>
      <c r="Z282" s="681"/>
      <c r="AA282" s="667"/>
      <c r="AB282" s="200">
        <v>1044</v>
      </c>
      <c r="AC282" s="65"/>
    </row>
    <row r="283" spans="1:38" ht="12.6" customHeight="1" x14ac:dyDescent="0.2">
      <c r="A283" s="18"/>
      <c r="B283" s="663" t="s">
        <v>841</v>
      </c>
      <c r="C283" s="693"/>
      <c r="D283" s="693"/>
      <c r="E283" s="693"/>
      <c r="F283" s="348">
        <v>22657</v>
      </c>
      <c r="G283" s="299">
        <f>+F283*$X$1</f>
        <v>22657</v>
      </c>
      <c r="H283" s="72">
        <f>F283+480</f>
        <v>23137</v>
      </c>
      <c r="I283" s="299">
        <f t="shared" si="492"/>
        <v>23137</v>
      </c>
      <c r="J283" s="624">
        <f>F283+210</f>
        <v>22867</v>
      </c>
      <c r="K283" s="299">
        <f t="shared" si="493"/>
        <v>22867</v>
      </c>
      <c r="L283" s="624">
        <f>F283+150</f>
        <v>22807</v>
      </c>
      <c r="M283" s="299">
        <f t="shared" si="494"/>
        <v>22807</v>
      </c>
      <c r="N283" s="624">
        <f>F283+120</f>
        <v>22777</v>
      </c>
      <c r="O283" s="299">
        <f t="shared" si="495"/>
        <v>22777</v>
      </c>
      <c r="P283" s="624">
        <f>F283+95</f>
        <v>22752</v>
      </c>
      <c r="Q283" s="299">
        <f t="shared" si="496"/>
        <v>22752</v>
      </c>
      <c r="R283" s="624">
        <f>F283+85</f>
        <v>22742</v>
      </c>
      <c r="S283" s="299">
        <f t="shared" si="497"/>
        <v>22742</v>
      </c>
      <c r="T283" s="624">
        <f>F283+77</f>
        <v>22734</v>
      </c>
      <c r="U283" s="299">
        <f t="shared" si="498"/>
        <v>22734</v>
      </c>
      <c r="V283" s="624">
        <f>F283+68</f>
        <v>22725</v>
      </c>
      <c r="W283" s="299">
        <f t="shared" si="499"/>
        <v>22725</v>
      </c>
      <c r="X283" s="681"/>
      <c r="Y283" s="681"/>
      <c r="Z283" s="681"/>
      <c r="AA283" s="667"/>
      <c r="AB283" s="200">
        <v>1045</v>
      </c>
      <c r="AC283" s="65"/>
    </row>
    <row r="284" spans="1:38" ht="12.6" customHeight="1" x14ac:dyDescent="0.2">
      <c r="A284" s="18"/>
      <c r="B284" s="685" t="s">
        <v>576</v>
      </c>
      <c r="C284" s="686"/>
      <c r="D284" s="686"/>
      <c r="E284" s="686"/>
      <c r="F284" s="347">
        <v>11712</v>
      </c>
      <c r="G284" s="300">
        <f t="shared" si="501"/>
        <v>11712</v>
      </c>
      <c r="H284" s="90">
        <f>F284+480</f>
        <v>12192</v>
      </c>
      <c r="I284" s="300">
        <f t="shared" si="492"/>
        <v>12192</v>
      </c>
      <c r="J284" s="514">
        <f>F284+210</f>
        <v>11922</v>
      </c>
      <c r="K284" s="300">
        <f t="shared" si="493"/>
        <v>11922</v>
      </c>
      <c r="L284" s="514">
        <f>F284+150</f>
        <v>11862</v>
      </c>
      <c r="M284" s="300">
        <f t="shared" si="494"/>
        <v>11862</v>
      </c>
      <c r="N284" s="514">
        <f>F284+120</f>
        <v>11832</v>
      </c>
      <c r="O284" s="300">
        <f t="shared" si="495"/>
        <v>11832</v>
      </c>
      <c r="P284" s="514">
        <f>F284+95</f>
        <v>11807</v>
      </c>
      <c r="Q284" s="300">
        <f t="shared" si="496"/>
        <v>11807</v>
      </c>
      <c r="R284" s="514">
        <f>F284+85</f>
        <v>11797</v>
      </c>
      <c r="S284" s="300">
        <f t="shared" si="497"/>
        <v>11797</v>
      </c>
      <c r="T284" s="514">
        <f>F284+77</f>
        <v>11789</v>
      </c>
      <c r="U284" s="300">
        <f t="shared" si="498"/>
        <v>11789</v>
      </c>
      <c r="V284" s="514">
        <f>F284+68</f>
        <v>11780</v>
      </c>
      <c r="W284" s="300">
        <f t="shared" si="499"/>
        <v>11780</v>
      </c>
      <c r="X284" s="665"/>
      <c r="Y284" s="681"/>
      <c r="Z284" s="681"/>
      <c r="AA284" s="667"/>
      <c r="AB284" s="200">
        <v>1048</v>
      </c>
      <c r="AC284" s="65"/>
    </row>
    <row r="285" spans="1:38" ht="12.6" customHeight="1" x14ac:dyDescent="0.2">
      <c r="A285" s="18"/>
      <c r="B285" s="663" t="s">
        <v>575</v>
      </c>
      <c r="C285" s="693"/>
      <c r="D285" s="693"/>
      <c r="E285" s="693"/>
      <c r="F285" s="348">
        <v>9727</v>
      </c>
      <c r="G285" s="299">
        <f t="shared" si="501"/>
        <v>9727</v>
      </c>
      <c r="H285" s="72">
        <f>F285+480</f>
        <v>10207</v>
      </c>
      <c r="I285" s="299">
        <f t="shared" si="492"/>
        <v>10207</v>
      </c>
      <c r="J285" s="624">
        <f>F285+210</f>
        <v>9937</v>
      </c>
      <c r="K285" s="299">
        <f t="shared" si="493"/>
        <v>9937</v>
      </c>
      <c r="L285" s="624">
        <f>F285+150</f>
        <v>9877</v>
      </c>
      <c r="M285" s="299">
        <f t="shared" si="494"/>
        <v>9877</v>
      </c>
      <c r="N285" s="624">
        <f>F285+120</f>
        <v>9847</v>
      </c>
      <c r="O285" s="299">
        <f t="shared" si="495"/>
        <v>9847</v>
      </c>
      <c r="P285" s="624">
        <f>F285+95</f>
        <v>9822</v>
      </c>
      <c r="Q285" s="299">
        <f t="shared" si="496"/>
        <v>9822</v>
      </c>
      <c r="R285" s="624">
        <f>F285+85</f>
        <v>9812</v>
      </c>
      <c r="S285" s="299">
        <f t="shared" si="497"/>
        <v>9812</v>
      </c>
      <c r="T285" s="624">
        <f>F285+77</f>
        <v>9804</v>
      </c>
      <c r="U285" s="299">
        <f t="shared" si="498"/>
        <v>9804</v>
      </c>
      <c r="V285" s="624">
        <f>F285+68</f>
        <v>9795</v>
      </c>
      <c r="W285" s="299">
        <f t="shared" si="499"/>
        <v>9795</v>
      </c>
      <c r="X285" s="665"/>
      <c r="Y285" s="681"/>
      <c r="Z285" s="681"/>
      <c r="AA285" s="667"/>
      <c r="AB285" s="200">
        <v>1049</v>
      </c>
      <c r="AC285" s="65"/>
    </row>
    <row r="286" spans="1:38" ht="12.6" customHeight="1" x14ac:dyDescent="0.2">
      <c r="A286" s="18"/>
      <c r="B286" s="685" t="s">
        <v>577</v>
      </c>
      <c r="C286" s="686"/>
      <c r="D286" s="686"/>
      <c r="E286" s="686"/>
      <c r="F286" s="347">
        <v>12158</v>
      </c>
      <c r="G286" s="300">
        <f t="shared" si="501"/>
        <v>12158</v>
      </c>
      <c r="H286" s="90">
        <f>F286+480</f>
        <v>12638</v>
      </c>
      <c r="I286" s="300">
        <f t="shared" si="492"/>
        <v>12638</v>
      </c>
      <c r="J286" s="514">
        <f>F286+210</f>
        <v>12368</v>
      </c>
      <c r="K286" s="300">
        <f t="shared" si="493"/>
        <v>12368</v>
      </c>
      <c r="L286" s="514">
        <f>F286+150</f>
        <v>12308</v>
      </c>
      <c r="M286" s="300">
        <f t="shared" si="494"/>
        <v>12308</v>
      </c>
      <c r="N286" s="514">
        <f>F286+120</f>
        <v>12278</v>
      </c>
      <c r="O286" s="300">
        <f t="shared" si="495"/>
        <v>12278</v>
      </c>
      <c r="P286" s="514">
        <f>F286+95</f>
        <v>12253</v>
      </c>
      <c r="Q286" s="300">
        <f t="shared" si="496"/>
        <v>12253</v>
      </c>
      <c r="R286" s="514">
        <f>F286+85</f>
        <v>12243</v>
      </c>
      <c r="S286" s="300">
        <f t="shared" si="497"/>
        <v>12243</v>
      </c>
      <c r="T286" s="514">
        <f>F286+77</f>
        <v>12235</v>
      </c>
      <c r="U286" s="300">
        <f t="shared" si="498"/>
        <v>12235</v>
      </c>
      <c r="V286" s="514">
        <f>F286+68</f>
        <v>12226</v>
      </c>
      <c r="W286" s="300">
        <f t="shared" si="499"/>
        <v>12226</v>
      </c>
      <c r="X286" s="665"/>
      <c r="Y286" s="681"/>
      <c r="Z286" s="681"/>
      <c r="AA286" s="667"/>
      <c r="AB286" s="200">
        <v>1050</v>
      </c>
      <c r="AC286" s="65"/>
    </row>
    <row r="287" spans="1:38" ht="12.6" customHeight="1" x14ac:dyDescent="0.2">
      <c r="A287" s="18"/>
      <c r="B287" s="673" t="s">
        <v>842</v>
      </c>
      <c r="C287" s="695"/>
      <c r="D287" s="695"/>
      <c r="E287" s="696"/>
      <c r="F287" s="407">
        <f>12.3*X2</f>
        <v>12484.5</v>
      </c>
      <c r="G287" s="299">
        <f t="shared" ref="G287" si="502">+F287*$X$1</f>
        <v>12484.5</v>
      </c>
      <c r="H287" s="72">
        <f>F287+480</f>
        <v>12964.5</v>
      </c>
      <c r="I287" s="299">
        <f t="shared" si="492"/>
        <v>12964.5</v>
      </c>
      <c r="J287" s="624">
        <f>F287+210</f>
        <v>12694.5</v>
      </c>
      <c r="K287" s="299">
        <f t="shared" si="493"/>
        <v>12694.5</v>
      </c>
      <c r="L287" s="624">
        <f>F287+150</f>
        <v>12634.5</v>
      </c>
      <c r="M287" s="299">
        <f t="shared" si="494"/>
        <v>12634.5</v>
      </c>
      <c r="N287" s="624">
        <f>F287+120</f>
        <v>12604.5</v>
      </c>
      <c r="O287" s="299">
        <f t="shared" si="495"/>
        <v>12604.5</v>
      </c>
      <c r="P287" s="624">
        <f>F287+95</f>
        <v>12579.5</v>
      </c>
      <c r="Q287" s="299">
        <f t="shared" si="496"/>
        <v>12579.5</v>
      </c>
      <c r="R287" s="624">
        <f>F287+85</f>
        <v>12569.5</v>
      </c>
      <c r="S287" s="299">
        <f t="shared" si="497"/>
        <v>12569.5</v>
      </c>
      <c r="T287" s="624">
        <f>F287+77</f>
        <v>12561.5</v>
      </c>
      <c r="U287" s="299">
        <f t="shared" si="498"/>
        <v>12561.5</v>
      </c>
      <c r="V287" s="624">
        <f>F287+68</f>
        <v>12552.5</v>
      </c>
      <c r="W287" s="299">
        <f t="shared" si="499"/>
        <v>12552.5</v>
      </c>
      <c r="X287" s="665"/>
      <c r="Y287" s="681"/>
      <c r="Z287" s="681"/>
      <c r="AA287" s="667"/>
      <c r="AB287" s="200">
        <v>1052</v>
      </c>
      <c r="AC287" s="65"/>
    </row>
    <row r="288" spans="1:38" ht="12.6" customHeight="1" x14ac:dyDescent="0.2">
      <c r="A288" s="18"/>
      <c r="B288" s="670" t="s">
        <v>484</v>
      </c>
      <c r="C288" s="929"/>
      <c r="D288" s="929"/>
      <c r="E288" s="930"/>
      <c r="F288" s="408">
        <f>31.583*X2</f>
        <v>32056.744999999999</v>
      </c>
      <c r="G288" s="300">
        <f t="shared" si="501"/>
        <v>32056.744999999999</v>
      </c>
      <c r="H288" s="90">
        <f>F288+480</f>
        <v>32536.744999999999</v>
      </c>
      <c r="I288" s="300">
        <f t="shared" si="492"/>
        <v>32536.744999999999</v>
      </c>
      <c r="J288" s="514">
        <f>F288+210</f>
        <v>32266.744999999999</v>
      </c>
      <c r="K288" s="300">
        <f t="shared" si="493"/>
        <v>32266.744999999999</v>
      </c>
      <c r="L288" s="514">
        <f>F288+150</f>
        <v>32206.744999999999</v>
      </c>
      <c r="M288" s="300">
        <f t="shared" si="494"/>
        <v>32206.744999999999</v>
      </c>
      <c r="N288" s="514">
        <f>F288+120</f>
        <v>32176.744999999999</v>
      </c>
      <c r="O288" s="300">
        <f t="shared" si="495"/>
        <v>32176.744999999999</v>
      </c>
      <c r="P288" s="514">
        <f>F288+95</f>
        <v>32151.744999999999</v>
      </c>
      <c r="Q288" s="300">
        <f t="shared" si="496"/>
        <v>32151.744999999999</v>
      </c>
      <c r="R288" s="514">
        <f>F288+85</f>
        <v>32141.744999999999</v>
      </c>
      <c r="S288" s="300">
        <f t="shared" si="497"/>
        <v>32141.744999999999</v>
      </c>
      <c r="T288" s="514">
        <f>F288+77</f>
        <v>32133.744999999999</v>
      </c>
      <c r="U288" s="300">
        <f t="shared" si="498"/>
        <v>32133.744999999999</v>
      </c>
      <c r="V288" s="514">
        <f>F288+68</f>
        <v>32124.744999999999</v>
      </c>
      <c r="W288" s="300">
        <f t="shared" si="499"/>
        <v>32124.744999999999</v>
      </c>
      <c r="X288" s="665"/>
      <c r="Y288" s="681"/>
      <c r="Z288" s="681"/>
      <c r="AA288" s="667"/>
      <c r="AB288" s="200">
        <v>1053</v>
      </c>
      <c r="AC288" s="65"/>
    </row>
    <row r="289" spans="1:29" ht="12.6" customHeight="1" x14ac:dyDescent="0.2">
      <c r="A289" s="18"/>
      <c r="B289" s="673" t="s">
        <v>908</v>
      </c>
      <c r="C289" s="695"/>
      <c r="D289" s="695"/>
      <c r="E289" s="696"/>
      <c r="F289" s="407">
        <f>10.57*X2</f>
        <v>10728.550000000001</v>
      </c>
      <c r="G289" s="299">
        <f t="shared" ref="G289" si="503">+F289*$X$1</f>
        <v>10728.550000000001</v>
      </c>
      <c r="H289" s="72">
        <f>F289+480</f>
        <v>11208.550000000001</v>
      </c>
      <c r="I289" s="299">
        <f t="shared" si="492"/>
        <v>11208.550000000001</v>
      </c>
      <c r="J289" s="624">
        <f>F289+210</f>
        <v>10938.550000000001</v>
      </c>
      <c r="K289" s="299">
        <f t="shared" si="493"/>
        <v>10938.550000000001</v>
      </c>
      <c r="L289" s="624">
        <f>F289+150</f>
        <v>10878.550000000001</v>
      </c>
      <c r="M289" s="299">
        <f t="shared" si="494"/>
        <v>10878.550000000001</v>
      </c>
      <c r="N289" s="624">
        <f>F289+120</f>
        <v>10848.550000000001</v>
      </c>
      <c r="O289" s="299">
        <f t="shared" si="495"/>
        <v>10848.550000000001</v>
      </c>
      <c r="P289" s="624">
        <f>F289+95</f>
        <v>10823.550000000001</v>
      </c>
      <c r="Q289" s="299">
        <f t="shared" si="496"/>
        <v>10823.550000000001</v>
      </c>
      <c r="R289" s="624">
        <f>F289+85</f>
        <v>10813.550000000001</v>
      </c>
      <c r="S289" s="299">
        <f t="shared" si="497"/>
        <v>10813.550000000001</v>
      </c>
      <c r="T289" s="624">
        <f>F289+77</f>
        <v>10805.550000000001</v>
      </c>
      <c r="U289" s="299">
        <f t="shared" si="498"/>
        <v>10805.550000000001</v>
      </c>
      <c r="V289" s="624">
        <f>F289+68</f>
        <v>10796.550000000001</v>
      </c>
      <c r="W289" s="299">
        <f t="shared" si="499"/>
        <v>10796.550000000001</v>
      </c>
      <c r="X289" s="665"/>
      <c r="Y289" s="681"/>
      <c r="Z289" s="681"/>
      <c r="AA289" s="667"/>
      <c r="AB289" s="200">
        <v>1054</v>
      </c>
      <c r="AC289" s="65"/>
    </row>
    <row r="290" spans="1:29" ht="12.6" customHeight="1" x14ac:dyDescent="0.2">
      <c r="A290" s="18"/>
      <c r="B290" s="685" t="s">
        <v>629</v>
      </c>
      <c r="C290" s="686"/>
      <c r="D290" s="686"/>
      <c r="E290" s="686"/>
      <c r="F290" s="347">
        <v>18130</v>
      </c>
      <c r="G290" s="300">
        <f>+F290*$X$1</f>
        <v>18130</v>
      </c>
      <c r="H290" s="90">
        <f>F290+480</f>
        <v>18610</v>
      </c>
      <c r="I290" s="300">
        <f t="shared" si="492"/>
        <v>18610</v>
      </c>
      <c r="J290" s="514">
        <f>F290+210</f>
        <v>18340</v>
      </c>
      <c r="K290" s="300">
        <f t="shared" si="493"/>
        <v>18340</v>
      </c>
      <c r="L290" s="514">
        <f>F290+150</f>
        <v>18280</v>
      </c>
      <c r="M290" s="300">
        <f t="shared" si="494"/>
        <v>18280</v>
      </c>
      <c r="N290" s="514">
        <f>F290+120</f>
        <v>18250</v>
      </c>
      <c r="O290" s="300">
        <f t="shared" si="495"/>
        <v>18250</v>
      </c>
      <c r="P290" s="514">
        <f>F290+95</f>
        <v>18225</v>
      </c>
      <c r="Q290" s="300">
        <f t="shared" si="496"/>
        <v>18225</v>
      </c>
      <c r="R290" s="514">
        <f>F290+85</f>
        <v>18215</v>
      </c>
      <c r="S290" s="300">
        <f t="shared" si="497"/>
        <v>18215</v>
      </c>
      <c r="T290" s="514">
        <f>F290+77</f>
        <v>18207</v>
      </c>
      <c r="U290" s="300">
        <f t="shared" si="498"/>
        <v>18207</v>
      </c>
      <c r="V290" s="514">
        <f>F290+68</f>
        <v>18198</v>
      </c>
      <c r="W290" s="300">
        <f t="shared" si="499"/>
        <v>18198</v>
      </c>
      <c r="X290" s="665"/>
      <c r="Y290" s="681"/>
      <c r="Z290" s="681"/>
      <c r="AA290" s="667"/>
      <c r="AB290" s="200">
        <v>1057</v>
      </c>
    </row>
    <row r="291" spans="1:29" ht="12.6" customHeight="1" x14ac:dyDescent="0.2">
      <c r="A291" s="18"/>
      <c r="B291" s="663" t="s">
        <v>452</v>
      </c>
      <c r="C291" s="693"/>
      <c r="D291" s="693"/>
      <c r="E291" s="693"/>
      <c r="F291" s="413">
        <f>13.73*X2</f>
        <v>13935.95</v>
      </c>
      <c r="G291" s="322">
        <f t="shared" ref="G291" si="504">+F291*$X$1</f>
        <v>13935.95</v>
      </c>
      <c r="H291" s="72">
        <f>F291+480</f>
        <v>14415.95</v>
      </c>
      <c r="I291" s="299">
        <f t="shared" si="492"/>
        <v>14415.95</v>
      </c>
      <c r="J291" s="624">
        <f>F291+210</f>
        <v>14145.95</v>
      </c>
      <c r="K291" s="299">
        <f t="shared" si="493"/>
        <v>14145.95</v>
      </c>
      <c r="L291" s="624">
        <f>F291+150</f>
        <v>14085.95</v>
      </c>
      <c r="M291" s="299">
        <f t="shared" si="494"/>
        <v>14085.95</v>
      </c>
      <c r="N291" s="624">
        <f>F291+120</f>
        <v>14055.95</v>
      </c>
      <c r="O291" s="299">
        <f t="shared" si="495"/>
        <v>14055.95</v>
      </c>
      <c r="P291" s="624">
        <f>F291+95</f>
        <v>14030.95</v>
      </c>
      <c r="Q291" s="299">
        <f t="shared" si="496"/>
        <v>14030.95</v>
      </c>
      <c r="R291" s="624">
        <f>F291+85</f>
        <v>14020.95</v>
      </c>
      <c r="S291" s="299">
        <f t="shared" si="497"/>
        <v>14020.95</v>
      </c>
      <c r="T291" s="624">
        <f>F291+77</f>
        <v>14012.95</v>
      </c>
      <c r="U291" s="299">
        <f t="shared" si="498"/>
        <v>14012.95</v>
      </c>
      <c r="V291" s="624">
        <f>F291+68</f>
        <v>14003.95</v>
      </c>
      <c r="W291" s="299">
        <f t="shared" si="499"/>
        <v>14003.95</v>
      </c>
      <c r="X291" s="665"/>
      <c r="Y291" s="681"/>
      <c r="Z291" s="681"/>
      <c r="AA291" s="667"/>
      <c r="AB291" s="200">
        <v>1064</v>
      </c>
      <c r="AC291" s="65"/>
    </row>
    <row r="292" spans="1:29" ht="12.6" customHeight="1" x14ac:dyDescent="0.2">
      <c r="A292" s="18"/>
      <c r="B292" s="670" t="s">
        <v>220</v>
      </c>
      <c r="C292" s="679"/>
      <c r="D292" s="679"/>
      <c r="E292" s="680"/>
      <c r="F292" s="408">
        <f>12.1*X2</f>
        <v>12281.5</v>
      </c>
      <c r="G292" s="300">
        <f>+F292*$X$1</f>
        <v>12281.5</v>
      </c>
      <c r="H292" s="90">
        <f>F292+480</f>
        <v>12761.5</v>
      </c>
      <c r="I292" s="300">
        <f t="shared" ref="I292:I293" si="505">+H292*$X$1</f>
        <v>12761.5</v>
      </c>
      <c r="J292" s="514">
        <f>F292+210</f>
        <v>12491.5</v>
      </c>
      <c r="K292" s="300">
        <f>+J292*$X$1</f>
        <v>12491.5</v>
      </c>
      <c r="L292" s="514">
        <f>F292+170</f>
        <v>12451.5</v>
      </c>
      <c r="M292" s="300">
        <f>+L292*$X$1</f>
        <v>12451.5</v>
      </c>
      <c r="N292" s="90">
        <f>F292+130</f>
        <v>12411.5</v>
      </c>
      <c r="O292" s="300">
        <f t="shared" ref="O292:O293" si="506">+N292*$X$1</f>
        <v>12411.5</v>
      </c>
      <c r="P292" s="90">
        <f>F292+110</f>
        <v>12391.5</v>
      </c>
      <c r="Q292" s="300">
        <f t="shared" ref="Q292:Q293" si="507">+P292*$X$1</f>
        <v>12391.5</v>
      </c>
      <c r="R292" s="514">
        <f>F292+100</f>
        <v>12381.5</v>
      </c>
      <c r="S292" s="300">
        <f t="shared" ref="S292:S293" si="508">+R292*$X$1</f>
        <v>12381.5</v>
      </c>
      <c r="T292" s="514">
        <f>F292+93</f>
        <v>12374.5</v>
      </c>
      <c r="U292" s="300">
        <f t="shared" ref="U292:U293" si="509">+T292*$X$1</f>
        <v>12374.5</v>
      </c>
      <c r="V292" s="514">
        <f>F292+84</f>
        <v>12365.5</v>
      </c>
      <c r="W292" s="300">
        <f t="shared" ref="W292:W293" si="510">+V292*$X$1</f>
        <v>12365.5</v>
      </c>
      <c r="X292" s="185"/>
      <c r="Y292" s="188"/>
      <c r="Z292" s="188"/>
      <c r="AA292" s="187"/>
      <c r="AB292" s="200">
        <v>1075</v>
      </c>
    </row>
    <row r="293" spans="1:29" ht="12.6" customHeight="1" x14ac:dyDescent="0.2">
      <c r="A293" s="18"/>
      <c r="B293" s="663" t="s">
        <v>401</v>
      </c>
      <c r="C293" s="712"/>
      <c r="D293" s="712"/>
      <c r="E293" s="712"/>
      <c r="F293" s="413">
        <f>8.85*X2</f>
        <v>8982.75</v>
      </c>
      <c r="G293" s="322">
        <f t="shared" ref="G293" si="511">+F293*$X$1</f>
        <v>8982.75</v>
      </c>
      <c r="H293" s="72">
        <f>F293+480</f>
        <v>9462.75</v>
      </c>
      <c r="I293" s="299">
        <f t="shared" si="505"/>
        <v>9462.75</v>
      </c>
      <c r="J293" s="624">
        <f>F293+210</f>
        <v>9192.75</v>
      </c>
      <c r="K293" s="299">
        <f t="shared" ref="K293" si="512">+J293*$X$1</f>
        <v>9192.75</v>
      </c>
      <c r="L293" s="624">
        <f>F293+150</f>
        <v>9132.75</v>
      </c>
      <c r="M293" s="299">
        <f t="shared" ref="M293" si="513">+L293*$X$1</f>
        <v>9132.75</v>
      </c>
      <c r="N293" s="624">
        <f>F293+120</f>
        <v>9102.75</v>
      </c>
      <c r="O293" s="299">
        <f t="shared" si="506"/>
        <v>9102.75</v>
      </c>
      <c r="P293" s="624">
        <f>F293+95</f>
        <v>9077.75</v>
      </c>
      <c r="Q293" s="299">
        <f t="shared" si="507"/>
        <v>9077.75</v>
      </c>
      <c r="R293" s="624">
        <f>F293+85</f>
        <v>9067.75</v>
      </c>
      <c r="S293" s="299">
        <f t="shared" si="508"/>
        <v>9067.75</v>
      </c>
      <c r="T293" s="624">
        <f>F293+77</f>
        <v>9059.75</v>
      </c>
      <c r="U293" s="299">
        <f t="shared" si="509"/>
        <v>9059.75</v>
      </c>
      <c r="V293" s="624">
        <f>F293+68</f>
        <v>9050.75</v>
      </c>
      <c r="W293" s="299">
        <f t="shared" si="510"/>
        <v>9050.75</v>
      </c>
      <c r="X293" s="665"/>
      <c r="Y293" s="681"/>
      <c r="Z293" s="681"/>
      <c r="AA293" s="667"/>
      <c r="AB293" s="200">
        <v>1078</v>
      </c>
    </row>
    <row r="294" spans="1:29" ht="12.6" customHeight="1" x14ac:dyDescent="0.2">
      <c r="A294" s="18"/>
      <c r="B294" s="687" t="s">
        <v>404</v>
      </c>
      <c r="C294" s="694"/>
      <c r="D294" s="694"/>
      <c r="E294" s="694"/>
      <c r="F294" s="412">
        <f>6.87*X2</f>
        <v>6973.05</v>
      </c>
      <c r="G294" s="336">
        <f t="shared" ref="G294" si="514">+F294*$X$1</f>
        <v>6973.05</v>
      </c>
      <c r="H294" s="90">
        <f>F294+480</f>
        <v>7453.05</v>
      </c>
      <c r="I294" s="300">
        <f t="shared" ref="I294:I298" si="515">+H294*$X$1</f>
        <v>7453.05</v>
      </c>
      <c r="J294" s="514">
        <f>F294+210</f>
        <v>7183.05</v>
      </c>
      <c r="K294" s="300">
        <f t="shared" ref="K294:K298" si="516">+J294*$X$1</f>
        <v>7183.05</v>
      </c>
      <c r="L294" s="514">
        <f>F294+150</f>
        <v>7123.05</v>
      </c>
      <c r="M294" s="300">
        <f t="shared" ref="M294:M298" si="517">+L294*$X$1</f>
        <v>7123.05</v>
      </c>
      <c r="N294" s="514">
        <f>F294+120</f>
        <v>7093.05</v>
      </c>
      <c r="O294" s="300">
        <f t="shared" ref="O294:O298" si="518">+N294*$X$1</f>
        <v>7093.05</v>
      </c>
      <c r="P294" s="514">
        <f>F294+95</f>
        <v>7068.05</v>
      </c>
      <c r="Q294" s="300">
        <f t="shared" ref="Q294:Q298" si="519">+P294*$X$1</f>
        <v>7068.05</v>
      </c>
      <c r="R294" s="514">
        <f>F294+85</f>
        <v>7058.05</v>
      </c>
      <c r="S294" s="300">
        <f t="shared" ref="S294:S298" si="520">+R294*$X$1</f>
        <v>7058.05</v>
      </c>
      <c r="T294" s="514">
        <f>F294+77</f>
        <v>7050.05</v>
      </c>
      <c r="U294" s="300">
        <f t="shared" ref="U294:U298" si="521">+T294*$X$1</f>
        <v>7050.05</v>
      </c>
      <c r="V294" s="514">
        <f>F294+68</f>
        <v>7041.05</v>
      </c>
      <c r="W294" s="300">
        <f t="shared" ref="W294:W298" si="522">+V294*$X$1</f>
        <v>7041.05</v>
      </c>
      <c r="X294" s="681"/>
      <c r="Y294" s="681"/>
      <c r="Z294" s="681"/>
      <c r="AA294" s="667"/>
      <c r="AB294" s="200">
        <v>1079</v>
      </c>
    </row>
    <row r="295" spans="1:29" ht="12.6" customHeight="1" x14ac:dyDescent="0.2">
      <c r="A295" s="18"/>
      <c r="B295" s="896" t="s">
        <v>540</v>
      </c>
      <c r="C295" s="897"/>
      <c r="D295" s="897"/>
      <c r="E295" s="897"/>
      <c r="F295" s="602">
        <v>15778</v>
      </c>
      <c r="G295" s="357">
        <f>+F295*$X$1</f>
        <v>15778</v>
      </c>
      <c r="H295" s="105">
        <f>F295+480</f>
        <v>16258</v>
      </c>
      <c r="I295" s="357">
        <f t="shared" si="515"/>
        <v>16258</v>
      </c>
      <c r="J295" s="623">
        <f>F295+210</f>
        <v>15988</v>
      </c>
      <c r="K295" s="357">
        <f t="shared" si="516"/>
        <v>15988</v>
      </c>
      <c r="L295" s="623">
        <f>F295+150</f>
        <v>15928</v>
      </c>
      <c r="M295" s="357">
        <f t="shared" si="517"/>
        <v>15928</v>
      </c>
      <c r="N295" s="623">
        <f>F295+120</f>
        <v>15898</v>
      </c>
      <c r="O295" s="357">
        <f t="shared" si="518"/>
        <v>15898</v>
      </c>
      <c r="P295" s="623">
        <f>F295+95</f>
        <v>15873</v>
      </c>
      <c r="Q295" s="357">
        <f t="shared" si="519"/>
        <v>15873</v>
      </c>
      <c r="R295" s="623">
        <f>F295+85</f>
        <v>15863</v>
      </c>
      <c r="S295" s="357">
        <f t="shared" si="520"/>
        <v>15863</v>
      </c>
      <c r="T295" s="623">
        <f>F295+77</f>
        <v>15855</v>
      </c>
      <c r="U295" s="357">
        <f t="shared" si="521"/>
        <v>15855</v>
      </c>
      <c r="V295" s="623">
        <f>F295+68</f>
        <v>15846</v>
      </c>
      <c r="W295" s="357">
        <f t="shared" si="522"/>
        <v>15846</v>
      </c>
      <c r="X295" s="681"/>
      <c r="Y295" s="681"/>
      <c r="Z295" s="681"/>
      <c r="AA295" s="667"/>
      <c r="AB295" s="200">
        <v>1080</v>
      </c>
      <c r="AC295" s="65"/>
    </row>
    <row r="296" spans="1:29" ht="12.6" customHeight="1" x14ac:dyDescent="0.2">
      <c r="A296" s="18"/>
      <c r="B296" s="685" t="s">
        <v>541</v>
      </c>
      <c r="C296" s="686"/>
      <c r="D296" s="686"/>
      <c r="E296" s="686"/>
      <c r="F296" s="347">
        <v>17031</v>
      </c>
      <c r="G296" s="300">
        <f>+F296*$X$1</f>
        <v>17031</v>
      </c>
      <c r="H296" s="90">
        <f>F296+480</f>
        <v>17511</v>
      </c>
      <c r="I296" s="300">
        <f t="shared" si="515"/>
        <v>17511</v>
      </c>
      <c r="J296" s="514">
        <f>F296+210</f>
        <v>17241</v>
      </c>
      <c r="K296" s="300">
        <f t="shared" si="516"/>
        <v>17241</v>
      </c>
      <c r="L296" s="514">
        <f>F296+150</f>
        <v>17181</v>
      </c>
      <c r="M296" s="300">
        <f t="shared" si="517"/>
        <v>17181</v>
      </c>
      <c r="N296" s="514">
        <f>F296+120</f>
        <v>17151</v>
      </c>
      <c r="O296" s="300">
        <f t="shared" si="518"/>
        <v>17151</v>
      </c>
      <c r="P296" s="514">
        <f>F296+95</f>
        <v>17126</v>
      </c>
      <c r="Q296" s="300">
        <f t="shared" si="519"/>
        <v>17126</v>
      </c>
      <c r="R296" s="514">
        <f>F296+85</f>
        <v>17116</v>
      </c>
      <c r="S296" s="300">
        <f t="shared" si="520"/>
        <v>17116</v>
      </c>
      <c r="T296" s="514">
        <f>F296+77</f>
        <v>17108</v>
      </c>
      <c r="U296" s="300">
        <f t="shared" si="521"/>
        <v>17108</v>
      </c>
      <c r="V296" s="514">
        <f>F296+68</f>
        <v>17099</v>
      </c>
      <c r="W296" s="300">
        <f t="shared" si="522"/>
        <v>17099</v>
      </c>
      <c r="X296" s="681"/>
      <c r="Y296" s="681"/>
      <c r="Z296" s="681"/>
      <c r="AA296" s="667"/>
      <c r="AB296" s="200">
        <v>1081</v>
      </c>
      <c r="AC296" s="65"/>
    </row>
    <row r="297" spans="1:29" ht="12.6" customHeight="1" x14ac:dyDescent="0.2">
      <c r="A297" s="18"/>
      <c r="B297" s="663" t="s">
        <v>660</v>
      </c>
      <c r="C297" s="693"/>
      <c r="D297" s="693"/>
      <c r="E297" s="693"/>
      <c r="F297" s="348">
        <v>21290</v>
      </c>
      <c r="G297" s="299">
        <f>+F297*$X$1</f>
        <v>21290</v>
      </c>
      <c r="H297" s="72">
        <f>F297+480</f>
        <v>21770</v>
      </c>
      <c r="I297" s="299">
        <f t="shared" si="515"/>
        <v>21770</v>
      </c>
      <c r="J297" s="624">
        <f>F297+210</f>
        <v>21500</v>
      </c>
      <c r="K297" s="299">
        <f t="shared" si="516"/>
        <v>21500</v>
      </c>
      <c r="L297" s="624">
        <f>F297+150</f>
        <v>21440</v>
      </c>
      <c r="M297" s="299">
        <f t="shared" si="517"/>
        <v>21440</v>
      </c>
      <c r="N297" s="624">
        <f>F297+120</f>
        <v>21410</v>
      </c>
      <c r="O297" s="299">
        <f t="shared" si="518"/>
        <v>21410</v>
      </c>
      <c r="P297" s="624">
        <f>F297+95</f>
        <v>21385</v>
      </c>
      <c r="Q297" s="299">
        <f t="shared" si="519"/>
        <v>21385</v>
      </c>
      <c r="R297" s="624">
        <f>F297+85</f>
        <v>21375</v>
      </c>
      <c r="S297" s="299">
        <f t="shared" si="520"/>
        <v>21375</v>
      </c>
      <c r="T297" s="624">
        <f>F297+77</f>
        <v>21367</v>
      </c>
      <c r="U297" s="299">
        <f t="shared" si="521"/>
        <v>21367</v>
      </c>
      <c r="V297" s="624">
        <f>F297+68</f>
        <v>21358</v>
      </c>
      <c r="W297" s="299">
        <f t="shared" si="522"/>
        <v>21358</v>
      </c>
      <c r="X297" s="681"/>
      <c r="Y297" s="681"/>
      <c r="Z297" s="681"/>
      <c r="AA297" s="667"/>
      <c r="AB297" s="200">
        <v>1082</v>
      </c>
      <c r="AC297" s="65"/>
    </row>
    <row r="298" spans="1:29" ht="12.6" customHeight="1" x14ac:dyDescent="0.2">
      <c r="A298" s="18"/>
      <c r="B298" s="685" t="s">
        <v>456</v>
      </c>
      <c r="C298" s="686"/>
      <c r="D298" s="686"/>
      <c r="E298" s="686"/>
      <c r="F298" s="347">
        <v>13921</v>
      </c>
      <c r="G298" s="300">
        <f>+F298*$X$1</f>
        <v>13921</v>
      </c>
      <c r="H298" s="90">
        <f>F298+480</f>
        <v>14401</v>
      </c>
      <c r="I298" s="300">
        <f t="shared" si="515"/>
        <v>14401</v>
      </c>
      <c r="J298" s="514">
        <f>F298+210</f>
        <v>14131</v>
      </c>
      <c r="K298" s="300">
        <f t="shared" si="516"/>
        <v>14131</v>
      </c>
      <c r="L298" s="514">
        <f>F298+150</f>
        <v>14071</v>
      </c>
      <c r="M298" s="300">
        <f t="shared" si="517"/>
        <v>14071</v>
      </c>
      <c r="N298" s="514">
        <f>F298+120</f>
        <v>14041</v>
      </c>
      <c r="O298" s="300">
        <f t="shared" si="518"/>
        <v>14041</v>
      </c>
      <c r="P298" s="514">
        <f>F298+95</f>
        <v>14016</v>
      </c>
      <c r="Q298" s="300">
        <f t="shared" si="519"/>
        <v>14016</v>
      </c>
      <c r="R298" s="514">
        <f>F298+85</f>
        <v>14006</v>
      </c>
      <c r="S298" s="300">
        <f t="shared" si="520"/>
        <v>14006</v>
      </c>
      <c r="T298" s="514">
        <f>F298+77</f>
        <v>13998</v>
      </c>
      <c r="U298" s="300">
        <f t="shared" si="521"/>
        <v>13998</v>
      </c>
      <c r="V298" s="514">
        <f>F298+68</f>
        <v>13989</v>
      </c>
      <c r="W298" s="300">
        <f t="shared" si="522"/>
        <v>13989</v>
      </c>
      <c r="X298" s="681"/>
      <c r="Y298" s="681"/>
      <c r="Z298" s="681"/>
      <c r="AA298" s="667"/>
      <c r="AB298" s="200">
        <v>1083</v>
      </c>
      <c r="AC298" s="65"/>
    </row>
    <row r="299" spans="1:29" ht="12.6" customHeight="1" x14ac:dyDescent="0.2">
      <c r="A299" s="18"/>
      <c r="B299" s="706" t="s">
        <v>859</v>
      </c>
      <c r="C299" s="707"/>
      <c r="D299" s="707"/>
      <c r="E299" s="707"/>
      <c r="F299" s="407">
        <f>2.32*X2</f>
        <v>2354.7999999999997</v>
      </c>
      <c r="G299" s="299">
        <f t="shared" ref="G299" si="523">+F299*$X$1</f>
        <v>2354.7999999999997</v>
      </c>
      <c r="H299" s="624">
        <f>F299+450</f>
        <v>2804.7999999999997</v>
      </c>
      <c r="I299" s="299">
        <f t="shared" ref="I299:I300" si="524">+H299*$X$1</f>
        <v>2804.7999999999997</v>
      </c>
      <c r="J299" s="624">
        <f>F299+200</f>
        <v>2554.7999999999997</v>
      </c>
      <c r="K299" s="299">
        <f>+J299*$X$1</f>
        <v>2554.7999999999997</v>
      </c>
      <c r="L299" s="624">
        <f>F299+140</f>
        <v>2494.7999999999997</v>
      </c>
      <c r="M299" s="299">
        <f>+L299*$X$1</f>
        <v>2494.7999999999997</v>
      </c>
      <c r="N299" s="624">
        <f>F299+70</f>
        <v>2424.7999999999997</v>
      </c>
      <c r="O299" s="299">
        <f>+N299*$X$1</f>
        <v>2424.7999999999997</v>
      </c>
      <c r="P299" s="624">
        <f>F299+60</f>
        <v>2414.7999999999997</v>
      </c>
      <c r="Q299" s="299">
        <f>+P299*$X$1</f>
        <v>2414.7999999999997</v>
      </c>
      <c r="R299" s="624">
        <f>F299+50</f>
        <v>2404.7999999999997</v>
      </c>
      <c r="S299" s="299">
        <f>+R299*$X$1</f>
        <v>2404.7999999999997</v>
      </c>
      <c r="T299" s="104">
        <f>F299+44</f>
        <v>2398.7999999999997</v>
      </c>
      <c r="U299" s="264">
        <f>+T299*$X$1</f>
        <v>2398.7999999999997</v>
      </c>
      <c r="V299" s="104">
        <f>F299+38</f>
        <v>2392.7999999999997</v>
      </c>
      <c r="W299" s="264">
        <f>+V299*$X$1</f>
        <v>2392.7999999999997</v>
      </c>
      <c r="X299" s="713"/>
      <c r="Y299" s="714"/>
      <c r="Z299" s="714"/>
      <c r="AA299" s="715"/>
      <c r="AB299" s="436">
        <v>2130</v>
      </c>
      <c r="AC299" s="66"/>
    </row>
    <row r="300" spans="1:29" ht="12.6" customHeight="1" x14ac:dyDescent="0.2">
      <c r="A300" s="18"/>
      <c r="B300" s="687" t="s">
        <v>860</v>
      </c>
      <c r="C300" s="694"/>
      <c r="D300" s="694"/>
      <c r="E300" s="694"/>
      <c r="F300" s="408">
        <f>2.4*X2</f>
        <v>2436</v>
      </c>
      <c r="G300" s="300">
        <f t="shared" ref="G300" si="525">+F300*$X$1</f>
        <v>2436</v>
      </c>
      <c r="H300" s="514">
        <f>F300+450</f>
        <v>2886</v>
      </c>
      <c r="I300" s="300">
        <f t="shared" si="524"/>
        <v>2886</v>
      </c>
      <c r="J300" s="514">
        <f>F300+200</f>
        <v>2636</v>
      </c>
      <c r="K300" s="300">
        <f>+J300*$X$1</f>
        <v>2636</v>
      </c>
      <c r="L300" s="514">
        <f>F300+140</f>
        <v>2576</v>
      </c>
      <c r="M300" s="300">
        <f>+L300*$X$1</f>
        <v>2576</v>
      </c>
      <c r="N300" s="514">
        <f>F300+70</f>
        <v>2506</v>
      </c>
      <c r="O300" s="300">
        <f>+N300*$X$1</f>
        <v>2506</v>
      </c>
      <c r="P300" s="514">
        <f>F300+60</f>
        <v>2496</v>
      </c>
      <c r="Q300" s="300">
        <f>+P300*$X$1</f>
        <v>2496</v>
      </c>
      <c r="R300" s="514">
        <f>F300+50</f>
        <v>2486</v>
      </c>
      <c r="S300" s="300">
        <f>+R300*$X$1</f>
        <v>2486</v>
      </c>
      <c r="T300" s="103">
        <f>F300+44</f>
        <v>2480</v>
      </c>
      <c r="U300" s="321">
        <f>+T300*$X$1</f>
        <v>2480</v>
      </c>
      <c r="V300" s="103">
        <f>F300+38</f>
        <v>2474</v>
      </c>
      <c r="W300" s="321">
        <f>+V300*$X$1</f>
        <v>2474</v>
      </c>
      <c r="X300" s="713"/>
      <c r="Y300" s="714"/>
      <c r="Z300" s="714"/>
      <c r="AA300" s="715"/>
      <c r="AB300" s="436">
        <v>2131</v>
      </c>
      <c r="AC300" s="66"/>
    </row>
    <row r="301" spans="1:29" ht="12.6" customHeight="1" x14ac:dyDescent="0.2">
      <c r="A301" s="107"/>
      <c r="B301" s="663" t="s">
        <v>221</v>
      </c>
      <c r="C301" s="693"/>
      <c r="D301" s="693"/>
      <c r="E301" s="693"/>
      <c r="F301" s="407">
        <f>0.445*X2</f>
        <v>451.67500000000001</v>
      </c>
      <c r="G301" s="299">
        <f t="shared" ref="G301:G302" si="526">+F301*$X$1</f>
        <v>451.67500000000001</v>
      </c>
      <c r="H301" s="291"/>
      <c r="I301" s="364"/>
      <c r="J301" s="624"/>
      <c r="K301" s="299"/>
      <c r="L301" s="624">
        <f>F301+120</f>
        <v>571.67499999999995</v>
      </c>
      <c r="M301" s="299">
        <f>+L301*$X$1</f>
        <v>571.67499999999995</v>
      </c>
      <c r="N301" s="624">
        <f>F301+60</f>
        <v>511.67500000000001</v>
      </c>
      <c r="O301" s="299">
        <f>+N301*$X$1</f>
        <v>511.67500000000001</v>
      </c>
      <c r="P301" s="624">
        <f>F301+50</f>
        <v>501.67500000000001</v>
      </c>
      <c r="Q301" s="299">
        <f>+P301*$X$1</f>
        <v>501.67500000000001</v>
      </c>
      <c r="R301" s="624">
        <f>F301+42</f>
        <v>493.67500000000001</v>
      </c>
      <c r="S301" s="299">
        <f>+R301*$X$1</f>
        <v>493.67500000000001</v>
      </c>
      <c r="T301" s="104">
        <f>F301+34</f>
        <v>485.67500000000001</v>
      </c>
      <c r="U301" s="264">
        <f>+T301*$X$1</f>
        <v>485.67500000000001</v>
      </c>
      <c r="V301" s="104">
        <f>F301+29</f>
        <v>480.67500000000001</v>
      </c>
      <c r="W301" s="264">
        <f>+V301*$X$1</f>
        <v>480.67500000000001</v>
      </c>
      <c r="X301" s="138"/>
      <c r="Y301" s="135"/>
      <c r="Z301" s="135"/>
      <c r="AA301" s="135"/>
      <c r="AB301" s="436">
        <v>2145</v>
      </c>
      <c r="AC301" s="66"/>
    </row>
    <row r="302" spans="1:29" ht="12.6" customHeight="1" x14ac:dyDescent="0.2">
      <c r="A302" s="18"/>
      <c r="B302" s="685" t="s">
        <v>222</v>
      </c>
      <c r="C302" s="686"/>
      <c r="D302" s="686"/>
      <c r="E302" s="686"/>
      <c r="F302" s="408">
        <v>48</v>
      </c>
      <c r="G302" s="300">
        <f t="shared" si="526"/>
        <v>48</v>
      </c>
      <c r="H302" s="290"/>
      <c r="I302" s="365"/>
      <c r="J302" s="514">
        <f>F302+180</f>
        <v>228</v>
      </c>
      <c r="K302" s="300">
        <f t="shared" ref="K302" si="527">+J302*$X$1</f>
        <v>228</v>
      </c>
      <c r="L302" s="514">
        <f>F302+120</f>
        <v>168</v>
      </c>
      <c r="M302" s="300">
        <f>+L302*$X$1</f>
        <v>168</v>
      </c>
      <c r="N302" s="514">
        <f>F302+60</f>
        <v>108</v>
      </c>
      <c r="O302" s="300">
        <f>+N302*$X$1</f>
        <v>108</v>
      </c>
      <c r="P302" s="514">
        <f>F302+50</f>
        <v>98</v>
      </c>
      <c r="Q302" s="300">
        <f>+P302*$X$1</f>
        <v>98</v>
      </c>
      <c r="R302" s="514">
        <f>F302+42</f>
        <v>90</v>
      </c>
      <c r="S302" s="300">
        <f>+R302*$X$1</f>
        <v>90</v>
      </c>
      <c r="T302" s="103">
        <f>F302+34</f>
        <v>82</v>
      </c>
      <c r="U302" s="321">
        <f>+T302*$X$1</f>
        <v>82</v>
      </c>
      <c r="V302" s="103">
        <f>F302+29</f>
        <v>77</v>
      </c>
      <c r="W302" s="321">
        <f>+V302*$X$1</f>
        <v>77</v>
      </c>
      <c r="X302" s="135"/>
      <c r="Y302" s="135"/>
      <c r="Z302" s="135"/>
      <c r="AA302" s="135"/>
      <c r="AB302" s="436">
        <v>2149</v>
      </c>
    </row>
    <row r="303" spans="1:29" ht="12.6" customHeight="1" x14ac:dyDescent="0.25">
      <c r="A303" s="130"/>
      <c r="B303" s="663" t="s">
        <v>223</v>
      </c>
      <c r="C303" s="693"/>
      <c r="D303" s="693"/>
      <c r="E303" s="693"/>
      <c r="F303" s="407">
        <f>0.88*X2</f>
        <v>893.2</v>
      </c>
      <c r="G303" s="299">
        <f>+F303*$X$1</f>
        <v>893.2</v>
      </c>
      <c r="H303" s="291"/>
      <c r="I303" s="364"/>
      <c r="J303" s="497"/>
      <c r="K303" s="299"/>
      <c r="L303" s="498"/>
      <c r="M303" s="299"/>
      <c r="N303" s="498"/>
      <c r="O303" s="499"/>
      <c r="P303" s="291"/>
      <c r="Q303" s="364"/>
      <c r="R303" s="498"/>
      <c r="S303" s="499"/>
      <c r="T303" s="498"/>
      <c r="U303" s="499"/>
      <c r="V303" s="498"/>
      <c r="W303" s="499"/>
      <c r="X303" s="135"/>
      <c r="Y303" s="135"/>
      <c r="Z303" s="135"/>
      <c r="AA303" s="135"/>
      <c r="AB303" s="200">
        <v>2151</v>
      </c>
    </row>
    <row r="304" spans="1:29" ht="12.6" customHeight="1" x14ac:dyDescent="0.2">
      <c r="A304" s="18"/>
      <c r="B304" s="687" t="s">
        <v>224</v>
      </c>
      <c r="C304" s="688"/>
      <c r="D304" s="688"/>
      <c r="E304" s="688"/>
      <c r="F304" s="412">
        <f>0.67*X2</f>
        <v>680.05000000000007</v>
      </c>
      <c r="G304" s="336">
        <f>+F304*$X$1</f>
        <v>680.05000000000007</v>
      </c>
      <c r="H304" s="314"/>
      <c r="I304" s="399"/>
      <c r="J304" s="103"/>
      <c r="K304" s="336"/>
      <c r="L304" s="514">
        <f t="shared" ref="L304:L314" si="528">F304+120</f>
        <v>800.05000000000007</v>
      </c>
      <c r="M304" s="300">
        <f t="shared" ref="M304:M310" si="529">+L304*$X$1</f>
        <v>800.05000000000007</v>
      </c>
      <c r="N304" s="514">
        <f t="shared" ref="N304:N314" si="530">F304+60</f>
        <v>740.05000000000007</v>
      </c>
      <c r="O304" s="300">
        <f t="shared" ref="O304:O310" si="531">+N304*$X$1</f>
        <v>740.05000000000007</v>
      </c>
      <c r="P304" s="514">
        <f t="shared" ref="P304:P310" si="532">F304+50</f>
        <v>730.05000000000007</v>
      </c>
      <c r="Q304" s="300">
        <f t="shared" ref="Q304:Q310" si="533">+P304*$X$1</f>
        <v>730.05000000000007</v>
      </c>
      <c r="R304" s="514">
        <f t="shared" ref="R304:R310" si="534">F304+42</f>
        <v>722.05000000000007</v>
      </c>
      <c r="S304" s="300">
        <f t="shared" ref="S304:S310" si="535">+R304*$X$1</f>
        <v>722.05000000000007</v>
      </c>
      <c r="T304" s="103">
        <f t="shared" ref="T304:T310" si="536">F304+34</f>
        <v>714.05000000000007</v>
      </c>
      <c r="U304" s="321">
        <f t="shared" ref="U304:U310" si="537">+T304*$X$1</f>
        <v>714.05000000000007</v>
      </c>
      <c r="V304" s="103">
        <f t="shared" ref="V304:V310" si="538">F304+29</f>
        <v>709.05000000000007</v>
      </c>
      <c r="W304" s="321">
        <f t="shared" ref="W304:W310" si="539">+V304*$X$1</f>
        <v>709.05000000000007</v>
      </c>
      <c r="X304" s="135"/>
      <c r="Y304" s="135"/>
      <c r="Z304" s="135"/>
      <c r="AA304" s="135"/>
      <c r="AB304" s="450">
        <v>2153</v>
      </c>
      <c r="AC304" s="66"/>
    </row>
    <row r="305" spans="1:34" ht="12.6" customHeight="1" x14ac:dyDescent="0.2">
      <c r="A305" s="18"/>
      <c r="B305" s="663" t="s">
        <v>395</v>
      </c>
      <c r="C305" s="693"/>
      <c r="D305" s="693"/>
      <c r="E305" s="693"/>
      <c r="F305" s="407">
        <f>0.485*X2</f>
        <v>492.27499999999998</v>
      </c>
      <c r="G305" s="299">
        <f>+F305*$X$1</f>
        <v>492.27499999999998</v>
      </c>
      <c r="H305" s="291"/>
      <c r="I305" s="364"/>
      <c r="J305" s="624"/>
      <c r="K305" s="299"/>
      <c r="L305" s="624">
        <f t="shared" si="528"/>
        <v>612.27499999999998</v>
      </c>
      <c r="M305" s="299">
        <f t="shared" si="529"/>
        <v>612.27499999999998</v>
      </c>
      <c r="N305" s="624">
        <f t="shared" si="530"/>
        <v>552.27499999999998</v>
      </c>
      <c r="O305" s="299">
        <f t="shared" si="531"/>
        <v>552.27499999999998</v>
      </c>
      <c r="P305" s="624">
        <f t="shared" si="532"/>
        <v>542.27499999999998</v>
      </c>
      <c r="Q305" s="299">
        <f t="shared" si="533"/>
        <v>542.27499999999998</v>
      </c>
      <c r="R305" s="624">
        <f t="shared" si="534"/>
        <v>534.27499999999998</v>
      </c>
      <c r="S305" s="299">
        <f t="shared" si="535"/>
        <v>534.27499999999998</v>
      </c>
      <c r="T305" s="104">
        <f t="shared" si="536"/>
        <v>526.27499999999998</v>
      </c>
      <c r="U305" s="264">
        <f t="shared" si="537"/>
        <v>526.27499999999998</v>
      </c>
      <c r="V305" s="104">
        <f t="shared" si="538"/>
        <v>521.27499999999998</v>
      </c>
      <c r="W305" s="264">
        <f t="shared" si="539"/>
        <v>521.27499999999998</v>
      </c>
      <c r="X305" s="135"/>
      <c r="Y305" s="143"/>
      <c r="Z305" s="143"/>
      <c r="AA305" s="143"/>
      <c r="AB305" s="449">
        <v>2154</v>
      </c>
      <c r="AC305" s="22"/>
      <c r="AD305" s="22"/>
    </row>
    <row r="306" spans="1:34" ht="12.6" customHeight="1" x14ac:dyDescent="0.2">
      <c r="A306" s="18"/>
      <c r="B306" s="685" t="s">
        <v>396</v>
      </c>
      <c r="C306" s="686"/>
      <c r="D306" s="686"/>
      <c r="E306" s="686"/>
      <c r="F306" s="408">
        <f>0.56*X2</f>
        <v>568.40000000000009</v>
      </c>
      <c r="G306" s="300">
        <f>+F306*$X$1</f>
        <v>568.40000000000009</v>
      </c>
      <c r="H306" s="290"/>
      <c r="I306" s="365"/>
      <c r="J306" s="514"/>
      <c r="K306" s="300"/>
      <c r="L306" s="514">
        <f t="shared" si="528"/>
        <v>688.40000000000009</v>
      </c>
      <c r="M306" s="300">
        <f t="shared" si="529"/>
        <v>688.40000000000009</v>
      </c>
      <c r="N306" s="514">
        <f t="shared" si="530"/>
        <v>628.40000000000009</v>
      </c>
      <c r="O306" s="300">
        <f t="shared" si="531"/>
        <v>628.40000000000009</v>
      </c>
      <c r="P306" s="514">
        <f t="shared" si="532"/>
        <v>618.40000000000009</v>
      </c>
      <c r="Q306" s="300">
        <f t="shared" si="533"/>
        <v>618.40000000000009</v>
      </c>
      <c r="R306" s="514">
        <f t="shared" si="534"/>
        <v>610.40000000000009</v>
      </c>
      <c r="S306" s="300">
        <f t="shared" si="535"/>
        <v>610.40000000000009</v>
      </c>
      <c r="T306" s="103">
        <f t="shared" si="536"/>
        <v>602.40000000000009</v>
      </c>
      <c r="U306" s="321">
        <f t="shared" si="537"/>
        <v>602.40000000000009</v>
      </c>
      <c r="V306" s="103">
        <f t="shared" si="538"/>
        <v>597.40000000000009</v>
      </c>
      <c r="W306" s="321">
        <f t="shared" si="539"/>
        <v>597.40000000000009</v>
      </c>
      <c r="X306" s="158"/>
      <c r="Y306" s="135"/>
      <c r="Z306" s="143"/>
      <c r="AA306" s="143"/>
      <c r="AB306" s="449">
        <v>2156</v>
      </c>
      <c r="AC306" s="22"/>
      <c r="AD306" s="22"/>
    </row>
    <row r="307" spans="1:34" ht="12.6" customHeight="1" x14ac:dyDescent="0.2">
      <c r="A307" s="18"/>
      <c r="B307" s="673" t="s">
        <v>225</v>
      </c>
      <c r="C307" s="676"/>
      <c r="D307" s="676"/>
      <c r="E307" s="677"/>
      <c r="F307" s="407">
        <f>0.484*X2</f>
        <v>491.26</v>
      </c>
      <c r="G307" s="299">
        <f t="shared" ref="G307" si="540">+F307*$X$1</f>
        <v>491.26</v>
      </c>
      <c r="H307" s="291"/>
      <c r="I307" s="364"/>
      <c r="J307" s="624"/>
      <c r="K307" s="299"/>
      <c r="L307" s="624">
        <f t="shared" si="528"/>
        <v>611.26</v>
      </c>
      <c r="M307" s="299">
        <f t="shared" si="529"/>
        <v>611.26</v>
      </c>
      <c r="N307" s="624">
        <f t="shared" si="530"/>
        <v>551.26</v>
      </c>
      <c r="O307" s="299">
        <f t="shared" si="531"/>
        <v>551.26</v>
      </c>
      <c r="P307" s="624">
        <f t="shared" si="532"/>
        <v>541.26</v>
      </c>
      <c r="Q307" s="299">
        <f t="shared" si="533"/>
        <v>541.26</v>
      </c>
      <c r="R307" s="624">
        <f t="shared" si="534"/>
        <v>533.26</v>
      </c>
      <c r="S307" s="299">
        <f t="shared" si="535"/>
        <v>533.26</v>
      </c>
      <c r="T307" s="104">
        <f t="shared" si="536"/>
        <v>525.26</v>
      </c>
      <c r="U307" s="264">
        <f t="shared" si="537"/>
        <v>525.26</v>
      </c>
      <c r="V307" s="104">
        <f t="shared" si="538"/>
        <v>520.26</v>
      </c>
      <c r="W307" s="264">
        <f t="shared" si="539"/>
        <v>520.26</v>
      </c>
      <c r="X307" s="135"/>
      <c r="Y307" s="143"/>
      <c r="Z307" s="143"/>
      <c r="AA307" s="143"/>
      <c r="AB307" s="449">
        <v>2160</v>
      </c>
      <c r="AC307" s="22"/>
      <c r="AD307" s="22"/>
      <c r="AH307" s="65"/>
    </row>
    <row r="308" spans="1:34" ht="12.6" customHeight="1" x14ac:dyDescent="0.2">
      <c r="A308" s="98"/>
      <c r="B308" s="708" t="s">
        <v>226</v>
      </c>
      <c r="C308" s="709"/>
      <c r="D308" s="709"/>
      <c r="E308" s="710"/>
      <c r="F308" s="408">
        <f>0.57*X2</f>
        <v>578.54999999999995</v>
      </c>
      <c r="G308" s="321">
        <f t="shared" ref="G308:G312" si="541">+F308*$X$1</f>
        <v>578.54999999999995</v>
      </c>
      <c r="H308" s="514"/>
      <c r="I308" s="514"/>
      <c r="J308" s="124"/>
      <c r="K308" s="300"/>
      <c r="L308" s="514">
        <f t="shared" si="528"/>
        <v>698.55</v>
      </c>
      <c r="M308" s="300">
        <f t="shared" si="529"/>
        <v>698.55</v>
      </c>
      <c r="N308" s="514">
        <f t="shared" si="530"/>
        <v>638.54999999999995</v>
      </c>
      <c r="O308" s="300">
        <f t="shared" si="531"/>
        <v>638.54999999999995</v>
      </c>
      <c r="P308" s="514">
        <f t="shared" si="532"/>
        <v>628.54999999999995</v>
      </c>
      <c r="Q308" s="300">
        <f t="shared" si="533"/>
        <v>628.54999999999995</v>
      </c>
      <c r="R308" s="514">
        <f t="shared" si="534"/>
        <v>620.54999999999995</v>
      </c>
      <c r="S308" s="300">
        <f t="shared" si="535"/>
        <v>620.54999999999995</v>
      </c>
      <c r="T308" s="103">
        <f t="shared" si="536"/>
        <v>612.54999999999995</v>
      </c>
      <c r="U308" s="321">
        <f t="shared" si="537"/>
        <v>612.54999999999995</v>
      </c>
      <c r="V308" s="103">
        <f t="shared" si="538"/>
        <v>607.54999999999995</v>
      </c>
      <c r="W308" s="321">
        <f t="shared" si="539"/>
        <v>607.54999999999995</v>
      </c>
      <c r="X308" s="135"/>
      <c r="Y308" s="143"/>
      <c r="Z308" s="143"/>
      <c r="AA308" s="143"/>
      <c r="AB308" s="436">
        <v>2174</v>
      </c>
      <c r="AC308" s="67"/>
      <c r="AD308" s="22"/>
    </row>
    <row r="309" spans="1:34" ht="12.6" customHeight="1" x14ac:dyDescent="0.2">
      <c r="A309" s="98"/>
      <c r="B309" s="1193" t="s">
        <v>227</v>
      </c>
      <c r="C309" s="1194"/>
      <c r="D309" s="1194"/>
      <c r="E309" s="1195"/>
      <c r="F309" s="407">
        <f>0.57*X2</f>
        <v>578.54999999999995</v>
      </c>
      <c r="G309" s="264">
        <f t="shared" si="541"/>
        <v>578.54999999999995</v>
      </c>
      <c r="H309" s="624"/>
      <c r="I309" s="624"/>
      <c r="J309" s="125"/>
      <c r="K309" s="299"/>
      <c r="L309" s="624">
        <f t="shared" si="528"/>
        <v>698.55</v>
      </c>
      <c r="M309" s="299">
        <f t="shared" si="529"/>
        <v>698.55</v>
      </c>
      <c r="N309" s="624">
        <f t="shared" si="530"/>
        <v>638.54999999999995</v>
      </c>
      <c r="O309" s="299">
        <f t="shared" si="531"/>
        <v>638.54999999999995</v>
      </c>
      <c r="P309" s="624">
        <f t="shared" si="532"/>
        <v>628.54999999999995</v>
      </c>
      <c r="Q309" s="299">
        <f t="shared" si="533"/>
        <v>628.54999999999995</v>
      </c>
      <c r="R309" s="624">
        <f t="shared" si="534"/>
        <v>620.54999999999995</v>
      </c>
      <c r="S309" s="299">
        <f t="shared" si="535"/>
        <v>620.54999999999995</v>
      </c>
      <c r="T309" s="104">
        <f t="shared" si="536"/>
        <v>612.54999999999995</v>
      </c>
      <c r="U309" s="264">
        <f t="shared" si="537"/>
        <v>612.54999999999995</v>
      </c>
      <c r="V309" s="104">
        <f t="shared" si="538"/>
        <v>607.54999999999995</v>
      </c>
      <c r="W309" s="264">
        <f t="shared" si="539"/>
        <v>607.54999999999995</v>
      </c>
      <c r="X309" s="135"/>
      <c r="Y309" s="143"/>
      <c r="Z309" s="143"/>
      <c r="AA309" s="143"/>
      <c r="AB309" s="436" t="s">
        <v>354</v>
      </c>
      <c r="AC309" s="67"/>
      <c r="AD309" s="22"/>
    </row>
    <row r="310" spans="1:34" ht="12.6" customHeight="1" x14ac:dyDescent="0.2">
      <c r="A310" s="98"/>
      <c r="B310" s="685" t="s">
        <v>718</v>
      </c>
      <c r="C310" s="686"/>
      <c r="D310" s="686"/>
      <c r="E310" s="686"/>
      <c r="F310" s="408">
        <f>0.58*X2</f>
        <v>588.69999999999993</v>
      </c>
      <c r="G310" s="321">
        <f t="shared" si="541"/>
        <v>588.69999999999993</v>
      </c>
      <c r="H310" s="514"/>
      <c r="I310" s="514"/>
      <c r="J310" s="124"/>
      <c r="K310" s="300"/>
      <c r="L310" s="514">
        <f t="shared" si="528"/>
        <v>708.69999999999993</v>
      </c>
      <c r="M310" s="300">
        <f t="shared" si="529"/>
        <v>708.69999999999993</v>
      </c>
      <c r="N310" s="514">
        <f t="shared" si="530"/>
        <v>648.69999999999993</v>
      </c>
      <c r="O310" s="300">
        <f t="shared" si="531"/>
        <v>648.69999999999993</v>
      </c>
      <c r="P310" s="514">
        <f t="shared" si="532"/>
        <v>638.69999999999993</v>
      </c>
      <c r="Q310" s="300">
        <f t="shared" si="533"/>
        <v>638.69999999999993</v>
      </c>
      <c r="R310" s="514">
        <f t="shared" si="534"/>
        <v>630.69999999999993</v>
      </c>
      <c r="S310" s="300">
        <f t="shared" si="535"/>
        <v>630.69999999999993</v>
      </c>
      <c r="T310" s="103">
        <f t="shared" si="536"/>
        <v>622.69999999999993</v>
      </c>
      <c r="U310" s="321">
        <f t="shared" si="537"/>
        <v>622.69999999999993</v>
      </c>
      <c r="V310" s="103">
        <f t="shared" si="538"/>
        <v>617.69999999999993</v>
      </c>
      <c r="W310" s="321">
        <f t="shared" si="539"/>
        <v>617.69999999999993</v>
      </c>
      <c r="X310" s="135"/>
      <c r="Y310" s="143"/>
      <c r="Z310" s="143"/>
      <c r="AA310" s="143"/>
      <c r="AB310" s="436">
        <v>2180</v>
      </c>
      <c r="AC310" s="22"/>
      <c r="AD310" s="22"/>
    </row>
    <row r="311" spans="1:34" ht="12" customHeight="1" x14ac:dyDescent="0.2">
      <c r="A311" s="192"/>
      <c r="B311" s="673" t="s">
        <v>228</v>
      </c>
      <c r="C311" s="674"/>
      <c r="D311" s="674"/>
      <c r="E311" s="675"/>
      <c r="F311" s="407">
        <f>0.8*X2</f>
        <v>812</v>
      </c>
      <c r="G311" s="264">
        <f t="shared" si="541"/>
        <v>812</v>
      </c>
      <c r="H311" s="624"/>
      <c r="I311" s="624"/>
      <c r="J311" s="125"/>
      <c r="K311" s="299"/>
      <c r="L311" s="624">
        <f t="shared" si="528"/>
        <v>932</v>
      </c>
      <c r="M311" s="299">
        <f t="shared" ref="M311" si="542">+L311*$X$1</f>
        <v>932</v>
      </c>
      <c r="N311" s="624">
        <f t="shared" si="530"/>
        <v>872</v>
      </c>
      <c r="O311" s="299">
        <f t="shared" ref="O311" si="543">+N311*$X$1</f>
        <v>872</v>
      </c>
      <c r="P311" s="624"/>
      <c r="Q311" s="299"/>
      <c r="R311" s="624"/>
      <c r="S311" s="299"/>
      <c r="T311" s="104"/>
      <c r="U311" s="264"/>
      <c r="V311" s="104"/>
      <c r="W311" s="264"/>
      <c r="X311" s="135"/>
      <c r="Y311" s="135"/>
      <c r="Z311" s="135"/>
      <c r="AA311" s="135"/>
      <c r="AB311" s="436">
        <v>2184</v>
      </c>
    </row>
    <row r="312" spans="1:34" ht="12" customHeight="1" x14ac:dyDescent="0.2">
      <c r="A312" s="192"/>
      <c r="B312" s="670" t="s">
        <v>229</v>
      </c>
      <c r="C312" s="679"/>
      <c r="D312" s="679"/>
      <c r="E312" s="680"/>
      <c r="F312" s="408">
        <f>0.71*X2</f>
        <v>720.65</v>
      </c>
      <c r="G312" s="321">
        <f t="shared" si="541"/>
        <v>720.65</v>
      </c>
      <c r="H312" s="514"/>
      <c r="I312" s="514"/>
      <c r="J312" s="124"/>
      <c r="K312" s="300"/>
      <c r="L312" s="514">
        <f t="shared" si="528"/>
        <v>840.65</v>
      </c>
      <c r="M312" s="300">
        <f>+L312*$X$1</f>
        <v>840.65</v>
      </c>
      <c r="N312" s="514">
        <f t="shared" si="530"/>
        <v>780.65</v>
      </c>
      <c r="O312" s="300">
        <f>+N312*$X$1</f>
        <v>780.65</v>
      </c>
      <c r="P312" s="514">
        <f>F312+50</f>
        <v>770.65</v>
      </c>
      <c r="Q312" s="300">
        <f>+P312*$X$1</f>
        <v>770.65</v>
      </c>
      <c r="R312" s="514">
        <f>F312+42</f>
        <v>762.65</v>
      </c>
      <c r="S312" s="300">
        <f>+R312*$X$1</f>
        <v>762.65</v>
      </c>
      <c r="T312" s="103">
        <f>F312+34</f>
        <v>754.65</v>
      </c>
      <c r="U312" s="321">
        <f>+T312*$X$1</f>
        <v>754.65</v>
      </c>
      <c r="V312" s="103">
        <f>F312+29</f>
        <v>749.65</v>
      </c>
      <c r="W312" s="321">
        <f>+V312*$X$1</f>
        <v>749.65</v>
      </c>
      <c r="X312" s="135"/>
      <c r="Y312" s="135"/>
      <c r="Z312" s="135"/>
      <c r="AA312" s="135"/>
      <c r="AB312" s="436" t="s">
        <v>230</v>
      </c>
    </row>
    <row r="313" spans="1:34" ht="12" customHeight="1" x14ac:dyDescent="0.2">
      <c r="A313" s="98"/>
      <c r="B313" s="673" t="s">
        <v>231</v>
      </c>
      <c r="C313" s="676"/>
      <c r="D313" s="676"/>
      <c r="E313" s="677"/>
      <c r="F313" s="407">
        <f>0.372*X2</f>
        <v>377.58</v>
      </c>
      <c r="G313" s="264">
        <f t="shared" ref="G313:G314" si="544">+F313*$X$1</f>
        <v>377.58</v>
      </c>
      <c r="H313" s="624"/>
      <c r="I313" s="624"/>
      <c r="J313" s="125"/>
      <c r="K313" s="299"/>
      <c r="L313" s="624">
        <f t="shared" si="528"/>
        <v>497.58</v>
      </c>
      <c r="M313" s="299">
        <f>+L313*$X$1</f>
        <v>497.58</v>
      </c>
      <c r="N313" s="624">
        <f t="shared" si="530"/>
        <v>437.58</v>
      </c>
      <c r="O313" s="299">
        <f>+N313*$X$1</f>
        <v>437.58</v>
      </c>
      <c r="P313" s="624">
        <f>F313+50</f>
        <v>427.58</v>
      </c>
      <c r="Q313" s="299">
        <f>+P313*$X$1</f>
        <v>427.58</v>
      </c>
      <c r="R313" s="624">
        <f>F313+42</f>
        <v>419.58</v>
      </c>
      <c r="S313" s="299">
        <f>+R313*$X$1</f>
        <v>419.58</v>
      </c>
      <c r="T313" s="104">
        <f>F313+34</f>
        <v>411.58</v>
      </c>
      <c r="U313" s="264">
        <f>+T313*$X$1</f>
        <v>411.58</v>
      </c>
      <c r="V313" s="104">
        <f>F313+29</f>
        <v>406.58</v>
      </c>
      <c r="W313" s="264">
        <f>+V313*$X$1</f>
        <v>406.58</v>
      </c>
      <c r="X313" s="135"/>
      <c r="Y313" s="135"/>
      <c r="Z313" s="135"/>
      <c r="AA313" s="135"/>
      <c r="AB313" s="436">
        <v>2189</v>
      </c>
    </row>
    <row r="314" spans="1:34" ht="12.6" customHeight="1" x14ac:dyDescent="0.2">
      <c r="A314" s="98"/>
      <c r="B314" s="670" t="s">
        <v>232</v>
      </c>
      <c r="C314" s="679"/>
      <c r="D314" s="679"/>
      <c r="E314" s="680"/>
      <c r="F314" s="408">
        <f>0.6*X2</f>
        <v>609</v>
      </c>
      <c r="G314" s="321">
        <f t="shared" si="544"/>
        <v>609</v>
      </c>
      <c r="H314" s="514"/>
      <c r="I314" s="514"/>
      <c r="J314" s="124"/>
      <c r="K314" s="300"/>
      <c r="L314" s="514">
        <f t="shared" si="528"/>
        <v>729</v>
      </c>
      <c r="M314" s="300">
        <f>+L314*$X$1</f>
        <v>729</v>
      </c>
      <c r="N314" s="514">
        <f t="shared" si="530"/>
        <v>669</v>
      </c>
      <c r="O314" s="300">
        <f>+N314*$X$1</f>
        <v>669</v>
      </c>
      <c r="P314" s="514">
        <f>F314+50</f>
        <v>659</v>
      </c>
      <c r="Q314" s="300">
        <f>+P314*$X$1</f>
        <v>659</v>
      </c>
      <c r="R314" s="514">
        <f>F314+42</f>
        <v>651</v>
      </c>
      <c r="S314" s="300">
        <f>+R314*$X$1</f>
        <v>651</v>
      </c>
      <c r="T314" s="103">
        <f>F314+34</f>
        <v>643</v>
      </c>
      <c r="U314" s="321">
        <f>+T314*$X$1</f>
        <v>643</v>
      </c>
      <c r="V314" s="103">
        <f>F314+29</f>
        <v>638</v>
      </c>
      <c r="W314" s="321">
        <f>+V314*$X$1</f>
        <v>638</v>
      </c>
      <c r="X314" s="135"/>
      <c r="Y314" s="135"/>
      <c r="Z314" s="135"/>
      <c r="AA314" s="135"/>
      <c r="AB314" s="436">
        <v>2190</v>
      </c>
    </row>
    <row r="315" spans="1:34" ht="12.75" customHeight="1" x14ac:dyDescent="0.2">
      <c r="A315" s="18"/>
      <c r="B315" s="3"/>
      <c r="C315" s="3"/>
      <c r="D315" s="3"/>
      <c r="E315" s="3"/>
      <c r="F315" s="4"/>
      <c r="G315" s="4"/>
      <c r="H315" s="24"/>
      <c r="I315" s="2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4.25" customHeight="1" x14ac:dyDescent="0.2">
      <c r="A318" s="18"/>
      <c r="B318" s="699" t="s">
        <v>11</v>
      </c>
      <c r="C318" s="840" t="s">
        <v>12</v>
      </c>
      <c r="D318" s="841"/>
      <c r="E318" s="841"/>
      <c r="F318" s="651" t="s">
        <v>13</v>
      </c>
      <c r="G318" s="651" t="s">
        <v>13</v>
      </c>
      <c r="H318" s="653" t="s">
        <v>844</v>
      </c>
      <c r="I318" s="653"/>
      <c r="J318" s="654"/>
      <c r="K318" s="654"/>
      <c r="L318" s="654"/>
      <c r="M318" s="654"/>
      <c r="N318" s="654"/>
      <c r="O318" s="654"/>
      <c r="P318" s="654"/>
      <c r="Q318" s="654"/>
      <c r="R318" s="654"/>
      <c r="S318" s="654"/>
      <c r="T318" s="654"/>
      <c r="U318" s="654"/>
      <c r="V318" s="654"/>
      <c r="W318" s="654"/>
      <c r="X318" s="637" t="s">
        <v>14</v>
      </c>
      <c r="Y318" s="638"/>
      <c r="Z318" s="638"/>
      <c r="AA318" s="639"/>
      <c r="AB318" s="643" t="s">
        <v>15</v>
      </c>
      <c r="AF318" s="625" t="s">
        <v>3</v>
      </c>
      <c r="AG318" s="626"/>
      <c r="AH318" s="626"/>
    </row>
    <row r="319" spans="1:34" ht="11.25" customHeight="1" x14ac:dyDescent="0.2">
      <c r="A319" s="18"/>
      <c r="B319" s="699"/>
      <c r="C319" s="841"/>
      <c r="D319" s="841"/>
      <c r="E319" s="841"/>
      <c r="F319" s="652"/>
      <c r="G319" s="652"/>
      <c r="H319" s="539"/>
      <c r="I319" s="531" t="s">
        <v>297</v>
      </c>
      <c r="J319" s="533"/>
      <c r="K319" s="531" t="s">
        <v>17</v>
      </c>
      <c r="L319" s="534"/>
      <c r="M319" s="534" t="s">
        <v>18</v>
      </c>
      <c r="N319" s="534"/>
      <c r="O319" s="531" t="s">
        <v>19</v>
      </c>
      <c r="P319" s="534"/>
      <c r="Q319" s="534" t="s">
        <v>299</v>
      </c>
      <c r="R319" s="534"/>
      <c r="S319" s="534" t="s">
        <v>20</v>
      </c>
      <c r="T319" s="534"/>
      <c r="U319" s="534" t="s">
        <v>21</v>
      </c>
      <c r="V319" s="534"/>
      <c r="W319" s="534" t="s">
        <v>22</v>
      </c>
      <c r="X319" s="640"/>
      <c r="Y319" s="641"/>
      <c r="Z319" s="641"/>
      <c r="AA319" s="642"/>
      <c r="AB319" s="644"/>
    </row>
    <row r="320" spans="1:34" ht="12.6" customHeight="1" x14ac:dyDescent="0.2">
      <c r="A320" s="18"/>
      <c r="B320" s="1192" t="s">
        <v>233</v>
      </c>
      <c r="C320" s="676"/>
      <c r="D320" s="676"/>
      <c r="E320" s="677"/>
      <c r="F320" s="407">
        <f>0.521*X2</f>
        <v>528.81500000000005</v>
      </c>
      <c r="G320" s="264">
        <f>+F320*$X$1</f>
        <v>528.81500000000005</v>
      </c>
      <c r="H320" s="584"/>
      <c r="I320" s="584"/>
      <c r="J320" s="125"/>
      <c r="K320" s="299"/>
      <c r="L320" s="624">
        <f t="shared" ref="L320:L338" si="545">F320+120</f>
        <v>648.81500000000005</v>
      </c>
      <c r="M320" s="299">
        <f t="shared" ref="M320:M333" si="546">+L320*$X$1</f>
        <v>648.81500000000005</v>
      </c>
      <c r="N320" s="624">
        <f t="shared" ref="N320:N333" si="547">F320+60</f>
        <v>588.81500000000005</v>
      </c>
      <c r="O320" s="299">
        <f t="shared" ref="O320:O333" si="548">+N320*$X$1</f>
        <v>588.81500000000005</v>
      </c>
      <c r="P320" s="624">
        <f t="shared" ref="P320:P333" si="549">F320+50</f>
        <v>578.81500000000005</v>
      </c>
      <c r="Q320" s="299">
        <f t="shared" ref="Q320:Q333" si="550">+P320*$X$1</f>
        <v>578.81500000000005</v>
      </c>
      <c r="R320" s="624">
        <f>F320+42</f>
        <v>570.81500000000005</v>
      </c>
      <c r="S320" s="299">
        <f>+R320*$X$1</f>
        <v>570.81500000000005</v>
      </c>
      <c r="T320" s="104">
        <f>F320+34</f>
        <v>562.81500000000005</v>
      </c>
      <c r="U320" s="264">
        <f>+T320*$X$1</f>
        <v>562.81500000000005</v>
      </c>
      <c r="V320" s="104">
        <f>F320+29</f>
        <v>557.81500000000005</v>
      </c>
      <c r="W320" s="264">
        <f>+V320*$X$1</f>
        <v>557.81500000000005</v>
      </c>
      <c r="X320" s="189"/>
      <c r="Y320" s="190"/>
      <c r="Z320" s="190"/>
      <c r="AA320" s="189"/>
      <c r="AB320" s="436">
        <v>2193</v>
      </c>
    </row>
    <row r="321" spans="1:31" ht="12.6" customHeight="1" x14ac:dyDescent="0.2">
      <c r="A321" s="18"/>
      <c r="B321" s="685" t="s">
        <v>234</v>
      </c>
      <c r="C321" s="686"/>
      <c r="D321" s="686"/>
      <c r="E321" s="686"/>
      <c r="F321" s="408">
        <f>0.57*X2</f>
        <v>578.54999999999995</v>
      </c>
      <c r="G321" s="321">
        <f>+F321*$X$1</f>
        <v>578.54999999999995</v>
      </c>
      <c r="H321" s="514"/>
      <c r="I321" s="514"/>
      <c r="J321" s="124"/>
      <c r="K321" s="300"/>
      <c r="L321" s="514">
        <f t="shared" si="545"/>
        <v>698.55</v>
      </c>
      <c r="M321" s="300">
        <f t="shared" si="546"/>
        <v>698.55</v>
      </c>
      <c r="N321" s="514">
        <f t="shared" si="547"/>
        <v>638.54999999999995</v>
      </c>
      <c r="O321" s="300">
        <f t="shared" si="548"/>
        <v>638.54999999999995</v>
      </c>
      <c r="P321" s="514">
        <f t="shared" si="549"/>
        <v>628.54999999999995</v>
      </c>
      <c r="Q321" s="300">
        <f t="shared" si="550"/>
        <v>628.54999999999995</v>
      </c>
      <c r="R321" s="514">
        <f>F321+42</f>
        <v>620.54999999999995</v>
      </c>
      <c r="S321" s="300">
        <f>+R321*$X$1</f>
        <v>620.54999999999995</v>
      </c>
      <c r="T321" s="103">
        <f>F321+34</f>
        <v>612.54999999999995</v>
      </c>
      <c r="U321" s="321">
        <f>+T321*$X$1</f>
        <v>612.54999999999995</v>
      </c>
      <c r="V321" s="103">
        <f>F321+29</f>
        <v>607.54999999999995</v>
      </c>
      <c r="W321" s="321">
        <f>+V321*$X$1</f>
        <v>607.54999999999995</v>
      </c>
      <c r="X321" s="135"/>
      <c r="Y321" s="135"/>
      <c r="Z321" s="135"/>
      <c r="AA321" s="135"/>
      <c r="AB321" s="436">
        <v>2194</v>
      </c>
    </row>
    <row r="322" spans="1:31" ht="12.6" customHeight="1" x14ac:dyDescent="0.2">
      <c r="A322" s="18"/>
      <c r="B322" s="1189" t="s">
        <v>235</v>
      </c>
      <c r="C322" s="1190"/>
      <c r="D322" s="1190"/>
      <c r="E322" s="1191"/>
      <c r="F322" s="407">
        <f>0.67*X2</f>
        <v>680.05000000000007</v>
      </c>
      <c r="G322" s="264">
        <f>+F322*$X$1</f>
        <v>680.05000000000007</v>
      </c>
      <c r="H322" s="584"/>
      <c r="I322" s="624"/>
      <c r="J322" s="125"/>
      <c r="K322" s="299"/>
      <c r="L322" s="624">
        <f t="shared" si="545"/>
        <v>800.05000000000007</v>
      </c>
      <c r="M322" s="299">
        <f t="shared" si="546"/>
        <v>800.05000000000007</v>
      </c>
      <c r="N322" s="624">
        <f t="shared" si="547"/>
        <v>740.05000000000007</v>
      </c>
      <c r="O322" s="299">
        <f t="shared" si="548"/>
        <v>740.05000000000007</v>
      </c>
      <c r="P322" s="624">
        <f t="shared" si="549"/>
        <v>730.05000000000007</v>
      </c>
      <c r="Q322" s="299">
        <f t="shared" si="550"/>
        <v>730.05000000000007</v>
      </c>
      <c r="R322" s="624">
        <f>F322+42</f>
        <v>722.05000000000007</v>
      </c>
      <c r="S322" s="299">
        <f>+R322*$X$1</f>
        <v>722.05000000000007</v>
      </c>
      <c r="T322" s="104">
        <f>F322+34</f>
        <v>714.05000000000007</v>
      </c>
      <c r="U322" s="264">
        <f>+T322*$X$1</f>
        <v>714.05000000000007</v>
      </c>
      <c r="V322" s="104">
        <f>F322+29</f>
        <v>709.05000000000007</v>
      </c>
      <c r="W322" s="264">
        <f>+V322*$X$1</f>
        <v>709.05000000000007</v>
      </c>
      <c r="X322" s="135"/>
      <c r="Y322" s="135"/>
      <c r="Z322" s="135"/>
      <c r="AA322" s="135"/>
      <c r="AB322" s="436">
        <v>2195</v>
      </c>
    </row>
    <row r="323" spans="1:31" ht="12.6" customHeight="1" x14ac:dyDescent="0.2">
      <c r="A323" s="18"/>
      <c r="B323" s="685" t="s">
        <v>236</v>
      </c>
      <c r="C323" s="686"/>
      <c r="D323" s="686"/>
      <c r="E323" s="686"/>
      <c r="F323" s="408">
        <f>0.652*X2</f>
        <v>661.78</v>
      </c>
      <c r="G323" s="321">
        <f>+F323*$X$1</f>
        <v>661.78</v>
      </c>
      <c r="H323" s="514"/>
      <c r="I323" s="514"/>
      <c r="J323" s="514"/>
      <c r="K323" s="300"/>
      <c r="L323" s="514">
        <f t="shared" si="545"/>
        <v>781.78</v>
      </c>
      <c r="M323" s="300">
        <f t="shared" si="546"/>
        <v>781.78</v>
      </c>
      <c r="N323" s="514">
        <f t="shared" si="547"/>
        <v>721.78</v>
      </c>
      <c r="O323" s="300">
        <f t="shared" si="548"/>
        <v>721.78</v>
      </c>
      <c r="P323" s="514">
        <f t="shared" si="549"/>
        <v>711.78</v>
      </c>
      <c r="Q323" s="300">
        <f t="shared" si="550"/>
        <v>711.78</v>
      </c>
      <c r="R323" s="514"/>
      <c r="S323" s="300"/>
      <c r="T323" s="103"/>
      <c r="U323" s="321"/>
      <c r="V323" s="103"/>
      <c r="W323" s="321"/>
      <c r="X323" s="135"/>
      <c r="Y323" s="135"/>
      <c r="Z323" s="135"/>
      <c r="AA323" s="135"/>
      <c r="AB323" s="436">
        <v>2198</v>
      </c>
    </row>
    <row r="324" spans="1:31" ht="12.6" customHeight="1" x14ac:dyDescent="0.2">
      <c r="A324" s="107"/>
      <c r="B324" s="663" t="s">
        <v>344</v>
      </c>
      <c r="C324" s="664"/>
      <c r="D324" s="664"/>
      <c r="E324" s="664"/>
      <c r="F324" s="407">
        <f>0.53*X2</f>
        <v>537.95000000000005</v>
      </c>
      <c r="G324" s="264">
        <f>+F324*$X$1</f>
        <v>537.95000000000005</v>
      </c>
      <c r="H324" s="584"/>
      <c r="I324" s="624"/>
      <c r="J324" s="624"/>
      <c r="K324" s="299"/>
      <c r="L324" s="624">
        <f t="shared" si="545"/>
        <v>657.95</v>
      </c>
      <c r="M324" s="299">
        <f t="shared" si="546"/>
        <v>657.95</v>
      </c>
      <c r="N324" s="624">
        <f t="shared" si="547"/>
        <v>597.95000000000005</v>
      </c>
      <c r="O324" s="299">
        <f t="shared" si="548"/>
        <v>597.95000000000005</v>
      </c>
      <c r="P324" s="624">
        <f t="shared" si="549"/>
        <v>587.95000000000005</v>
      </c>
      <c r="Q324" s="299">
        <f t="shared" si="550"/>
        <v>587.95000000000005</v>
      </c>
      <c r="R324" s="624">
        <f t="shared" ref="R324:R333" si="551">F324+42</f>
        <v>579.95000000000005</v>
      </c>
      <c r="S324" s="299">
        <f t="shared" ref="S324:S333" si="552">+R324*$X$1</f>
        <v>579.95000000000005</v>
      </c>
      <c r="T324" s="104">
        <f t="shared" ref="T324:T333" si="553">F324+34</f>
        <v>571.95000000000005</v>
      </c>
      <c r="U324" s="264">
        <f t="shared" ref="U324:U333" si="554">+T324*$X$1</f>
        <v>571.95000000000005</v>
      </c>
      <c r="V324" s="104">
        <f t="shared" ref="V324:V333" si="555">F324+29</f>
        <v>566.95000000000005</v>
      </c>
      <c r="W324" s="264">
        <f t="shared" ref="W324:W333" si="556">+V324*$X$1</f>
        <v>566.95000000000005</v>
      </c>
      <c r="X324" s="160"/>
      <c r="Y324" s="135"/>
      <c r="Z324" s="135"/>
      <c r="AA324" s="135"/>
      <c r="AB324" s="436">
        <v>2202</v>
      </c>
    </row>
    <row r="325" spans="1:31" ht="12.6" customHeight="1" x14ac:dyDescent="0.2">
      <c r="A325" s="107"/>
      <c r="B325" s="685" t="s">
        <v>345</v>
      </c>
      <c r="C325" s="901"/>
      <c r="D325" s="901"/>
      <c r="E325" s="901"/>
      <c r="F325" s="408">
        <f>0.53*X2</f>
        <v>537.95000000000005</v>
      </c>
      <c r="G325" s="321">
        <f t="shared" ref="G325:G329" si="557">+F325*$X$1</f>
        <v>537.95000000000005</v>
      </c>
      <c r="H325" s="514"/>
      <c r="I325" s="514"/>
      <c r="J325" s="514"/>
      <c r="K325" s="300"/>
      <c r="L325" s="514">
        <f t="shared" si="545"/>
        <v>657.95</v>
      </c>
      <c r="M325" s="300">
        <f t="shared" si="546"/>
        <v>657.95</v>
      </c>
      <c r="N325" s="514">
        <f t="shared" si="547"/>
        <v>597.95000000000005</v>
      </c>
      <c r="O325" s="300">
        <f t="shared" si="548"/>
        <v>597.95000000000005</v>
      </c>
      <c r="P325" s="514">
        <f t="shared" si="549"/>
        <v>587.95000000000005</v>
      </c>
      <c r="Q325" s="300">
        <f t="shared" si="550"/>
        <v>587.95000000000005</v>
      </c>
      <c r="R325" s="514">
        <f t="shared" si="551"/>
        <v>579.95000000000005</v>
      </c>
      <c r="S325" s="300">
        <f t="shared" si="552"/>
        <v>579.95000000000005</v>
      </c>
      <c r="T325" s="103">
        <f t="shared" si="553"/>
        <v>571.95000000000005</v>
      </c>
      <c r="U325" s="321">
        <f t="shared" si="554"/>
        <v>571.95000000000005</v>
      </c>
      <c r="V325" s="103">
        <f t="shared" si="555"/>
        <v>566.95000000000005</v>
      </c>
      <c r="W325" s="321">
        <f t="shared" si="556"/>
        <v>566.95000000000005</v>
      </c>
      <c r="X325" s="135"/>
      <c r="Y325" s="135"/>
      <c r="Z325" s="135"/>
      <c r="AA325" s="135"/>
      <c r="AB325" s="436" t="s">
        <v>237</v>
      </c>
    </row>
    <row r="326" spans="1:31" ht="12.6" customHeight="1" x14ac:dyDescent="0.2">
      <c r="A326" s="107"/>
      <c r="B326" s="663" t="s">
        <v>346</v>
      </c>
      <c r="C326" s="664"/>
      <c r="D326" s="664"/>
      <c r="E326" s="664"/>
      <c r="F326" s="407">
        <f>0.52*X2</f>
        <v>527.80000000000007</v>
      </c>
      <c r="G326" s="264">
        <f t="shared" ref="G326:G330" si="558">+F326*$X$1</f>
        <v>527.80000000000007</v>
      </c>
      <c r="H326" s="592"/>
      <c r="I326" s="624"/>
      <c r="J326" s="624"/>
      <c r="K326" s="322"/>
      <c r="L326" s="624">
        <f t="shared" si="545"/>
        <v>647.80000000000007</v>
      </c>
      <c r="M326" s="299">
        <f t="shared" si="546"/>
        <v>647.80000000000007</v>
      </c>
      <c r="N326" s="624">
        <f t="shared" si="547"/>
        <v>587.80000000000007</v>
      </c>
      <c r="O326" s="299">
        <f t="shared" si="548"/>
        <v>587.80000000000007</v>
      </c>
      <c r="P326" s="624">
        <f t="shared" si="549"/>
        <v>577.80000000000007</v>
      </c>
      <c r="Q326" s="299">
        <f t="shared" si="550"/>
        <v>577.80000000000007</v>
      </c>
      <c r="R326" s="624">
        <f t="shared" si="551"/>
        <v>569.80000000000007</v>
      </c>
      <c r="S326" s="299">
        <f t="shared" si="552"/>
        <v>569.80000000000007</v>
      </c>
      <c r="T326" s="104">
        <f t="shared" si="553"/>
        <v>561.80000000000007</v>
      </c>
      <c r="U326" s="264">
        <f t="shared" si="554"/>
        <v>561.80000000000007</v>
      </c>
      <c r="V326" s="104">
        <f t="shared" si="555"/>
        <v>556.80000000000007</v>
      </c>
      <c r="W326" s="264">
        <f t="shared" si="556"/>
        <v>556.80000000000007</v>
      </c>
      <c r="X326" s="135"/>
      <c r="Y326" s="135"/>
      <c r="Z326" s="135"/>
      <c r="AA326" s="135"/>
      <c r="AB326" s="436" t="s">
        <v>238</v>
      </c>
    </row>
    <row r="327" spans="1:31" ht="12.6" customHeight="1" x14ac:dyDescent="0.2">
      <c r="A327" s="107"/>
      <c r="B327" s="689" t="s">
        <v>901</v>
      </c>
      <c r="C327" s="938"/>
      <c r="D327" s="938"/>
      <c r="E327" s="938"/>
      <c r="F327" s="408">
        <f>0.52*X2</f>
        <v>527.80000000000007</v>
      </c>
      <c r="G327" s="321">
        <f t="shared" ref="G327" si="559">+F327*$X$1</f>
        <v>527.80000000000007</v>
      </c>
      <c r="H327" s="514"/>
      <c r="I327" s="514"/>
      <c r="J327" s="514"/>
      <c r="K327" s="336"/>
      <c r="L327" s="514">
        <f t="shared" si="545"/>
        <v>647.80000000000007</v>
      </c>
      <c r="M327" s="300">
        <f t="shared" si="546"/>
        <v>647.80000000000007</v>
      </c>
      <c r="N327" s="514">
        <f t="shared" si="547"/>
        <v>587.80000000000007</v>
      </c>
      <c r="O327" s="300">
        <f t="shared" si="548"/>
        <v>587.80000000000007</v>
      </c>
      <c r="P327" s="514">
        <f t="shared" si="549"/>
        <v>577.80000000000007</v>
      </c>
      <c r="Q327" s="300">
        <f t="shared" si="550"/>
        <v>577.80000000000007</v>
      </c>
      <c r="R327" s="514">
        <f t="shared" si="551"/>
        <v>569.80000000000007</v>
      </c>
      <c r="S327" s="300">
        <f t="shared" si="552"/>
        <v>569.80000000000007</v>
      </c>
      <c r="T327" s="103">
        <f t="shared" si="553"/>
        <v>561.80000000000007</v>
      </c>
      <c r="U327" s="321">
        <f t="shared" si="554"/>
        <v>561.80000000000007</v>
      </c>
      <c r="V327" s="103">
        <f t="shared" si="555"/>
        <v>556.80000000000007</v>
      </c>
      <c r="W327" s="321">
        <f t="shared" si="556"/>
        <v>556.80000000000007</v>
      </c>
      <c r="X327" s="135"/>
      <c r="Y327" s="135"/>
      <c r="Z327" s="135"/>
      <c r="AA327" s="135"/>
      <c r="AB327" s="593" t="s">
        <v>900</v>
      </c>
    </row>
    <row r="328" spans="1:31" ht="12.6" customHeight="1" x14ac:dyDescent="0.2">
      <c r="A328" s="107"/>
      <c r="B328" s="1084" t="s">
        <v>666</v>
      </c>
      <c r="C328" s="1173"/>
      <c r="D328" s="1173"/>
      <c r="E328" s="1174"/>
      <c r="F328" s="407">
        <f>0.68*X2</f>
        <v>690.2</v>
      </c>
      <c r="G328" s="264">
        <f t="shared" si="558"/>
        <v>690.2</v>
      </c>
      <c r="H328" s="561"/>
      <c r="I328" s="624"/>
      <c r="J328" s="624"/>
      <c r="K328" s="299"/>
      <c r="L328" s="624">
        <f t="shared" si="545"/>
        <v>810.2</v>
      </c>
      <c r="M328" s="299">
        <f t="shared" si="546"/>
        <v>810.2</v>
      </c>
      <c r="N328" s="624">
        <f t="shared" si="547"/>
        <v>750.2</v>
      </c>
      <c r="O328" s="299">
        <f t="shared" si="548"/>
        <v>750.2</v>
      </c>
      <c r="P328" s="624">
        <f t="shared" si="549"/>
        <v>740.2</v>
      </c>
      <c r="Q328" s="299">
        <f t="shared" si="550"/>
        <v>740.2</v>
      </c>
      <c r="R328" s="624">
        <f t="shared" si="551"/>
        <v>732.2</v>
      </c>
      <c r="S328" s="299">
        <f t="shared" si="552"/>
        <v>732.2</v>
      </c>
      <c r="T328" s="104">
        <f t="shared" si="553"/>
        <v>724.2</v>
      </c>
      <c r="U328" s="264">
        <f t="shared" si="554"/>
        <v>724.2</v>
      </c>
      <c r="V328" s="104">
        <f t="shared" si="555"/>
        <v>719.2</v>
      </c>
      <c r="W328" s="264">
        <f t="shared" si="556"/>
        <v>719.2</v>
      </c>
      <c r="X328" s="697"/>
      <c r="Y328" s="697"/>
      <c r="Z328" s="697"/>
      <c r="AA328" s="698"/>
      <c r="AB328" s="436" t="s">
        <v>670</v>
      </c>
      <c r="AC328" s="66"/>
      <c r="AE328" s="88"/>
    </row>
    <row r="329" spans="1:31" ht="12.6" customHeight="1" x14ac:dyDescent="0.2">
      <c r="A329" s="107"/>
      <c r="B329" s="700" t="s">
        <v>239</v>
      </c>
      <c r="C329" s="1187"/>
      <c r="D329" s="1187"/>
      <c r="E329" s="1188"/>
      <c r="F329" s="408">
        <f>0.75*X2</f>
        <v>761.25</v>
      </c>
      <c r="G329" s="321">
        <f t="shared" si="557"/>
        <v>761.25</v>
      </c>
      <c r="H329" s="514"/>
      <c r="I329" s="514"/>
      <c r="J329" s="514"/>
      <c r="K329" s="300"/>
      <c r="L329" s="514">
        <f t="shared" si="545"/>
        <v>881.25</v>
      </c>
      <c r="M329" s="300">
        <f t="shared" si="546"/>
        <v>881.25</v>
      </c>
      <c r="N329" s="514">
        <f t="shared" si="547"/>
        <v>821.25</v>
      </c>
      <c r="O329" s="300">
        <f t="shared" si="548"/>
        <v>821.25</v>
      </c>
      <c r="P329" s="514">
        <f t="shared" si="549"/>
        <v>811.25</v>
      </c>
      <c r="Q329" s="300">
        <f t="shared" si="550"/>
        <v>811.25</v>
      </c>
      <c r="R329" s="514">
        <f t="shared" si="551"/>
        <v>803.25</v>
      </c>
      <c r="S329" s="300">
        <f t="shared" si="552"/>
        <v>803.25</v>
      </c>
      <c r="T329" s="103">
        <f t="shared" si="553"/>
        <v>795.25</v>
      </c>
      <c r="U329" s="321">
        <f t="shared" si="554"/>
        <v>795.25</v>
      </c>
      <c r="V329" s="103">
        <f t="shared" si="555"/>
        <v>790.25</v>
      </c>
      <c r="W329" s="321">
        <f t="shared" si="556"/>
        <v>790.25</v>
      </c>
      <c r="X329" s="697"/>
      <c r="Y329" s="697"/>
      <c r="Z329" s="697"/>
      <c r="AA329" s="698"/>
      <c r="AB329" s="436" t="s">
        <v>240</v>
      </c>
      <c r="AC329" s="66"/>
      <c r="AE329" s="88"/>
    </row>
    <row r="330" spans="1:31" ht="12.6" customHeight="1" x14ac:dyDescent="0.2">
      <c r="A330" s="98"/>
      <c r="B330" s="1084" t="s">
        <v>241</v>
      </c>
      <c r="C330" s="1196"/>
      <c r="D330" s="1196"/>
      <c r="E330" s="1197"/>
      <c r="F330" s="407">
        <f>0.745*X2</f>
        <v>756.17499999999995</v>
      </c>
      <c r="G330" s="264">
        <f t="shared" si="558"/>
        <v>756.17499999999995</v>
      </c>
      <c r="H330" s="561"/>
      <c r="I330" s="624"/>
      <c r="J330" s="624"/>
      <c r="K330" s="299"/>
      <c r="L330" s="624">
        <f t="shared" si="545"/>
        <v>876.17499999999995</v>
      </c>
      <c r="M330" s="299">
        <f t="shared" si="546"/>
        <v>876.17499999999995</v>
      </c>
      <c r="N330" s="624">
        <f t="shared" si="547"/>
        <v>816.17499999999995</v>
      </c>
      <c r="O330" s="299">
        <f t="shared" si="548"/>
        <v>816.17499999999995</v>
      </c>
      <c r="P330" s="624">
        <f t="shared" si="549"/>
        <v>806.17499999999995</v>
      </c>
      <c r="Q330" s="299">
        <f t="shared" si="550"/>
        <v>806.17499999999995</v>
      </c>
      <c r="R330" s="624">
        <f t="shared" si="551"/>
        <v>798.17499999999995</v>
      </c>
      <c r="S330" s="299">
        <f t="shared" si="552"/>
        <v>798.17499999999995</v>
      </c>
      <c r="T330" s="104">
        <f t="shared" si="553"/>
        <v>790.17499999999995</v>
      </c>
      <c r="U330" s="264">
        <f t="shared" si="554"/>
        <v>790.17499999999995</v>
      </c>
      <c r="V330" s="104">
        <f t="shared" si="555"/>
        <v>785.17499999999995</v>
      </c>
      <c r="W330" s="264">
        <f t="shared" si="556"/>
        <v>785.17499999999995</v>
      </c>
      <c r="X330" s="176"/>
      <c r="Y330" s="135"/>
      <c r="Z330" s="135"/>
      <c r="AA330" s="135"/>
      <c r="AB330" s="436">
        <v>2203</v>
      </c>
      <c r="AC330" s="235"/>
    </row>
    <row r="331" spans="1:31" ht="12.6" customHeight="1" x14ac:dyDescent="0.2">
      <c r="A331" s="98"/>
      <c r="B331" s="691" t="s">
        <v>242</v>
      </c>
      <c r="C331" s="1153"/>
      <c r="D331" s="1153"/>
      <c r="E331" s="1153"/>
      <c r="F331" s="408">
        <f>0.79*X2</f>
        <v>801.85</v>
      </c>
      <c r="G331" s="321">
        <f>+F331*$X$1</f>
        <v>801.85</v>
      </c>
      <c r="H331" s="514"/>
      <c r="I331" s="514"/>
      <c r="J331" s="514"/>
      <c r="K331" s="300"/>
      <c r="L331" s="514">
        <f t="shared" si="545"/>
        <v>921.85</v>
      </c>
      <c r="M331" s="300">
        <f t="shared" si="546"/>
        <v>921.85</v>
      </c>
      <c r="N331" s="514">
        <f t="shared" si="547"/>
        <v>861.85</v>
      </c>
      <c r="O331" s="300">
        <f t="shared" si="548"/>
        <v>861.85</v>
      </c>
      <c r="P331" s="514">
        <f t="shared" si="549"/>
        <v>851.85</v>
      </c>
      <c r="Q331" s="300">
        <f t="shared" si="550"/>
        <v>851.85</v>
      </c>
      <c r="R331" s="514">
        <f t="shared" si="551"/>
        <v>843.85</v>
      </c>
      <c r="S331" s="300">
        <f t="shared" si="552"/>
        <v>843.85</v>
      </c>
      <c r="T331" s="103">
        <f t="shared" si="553"/>
        <v>835.85</v>
      </c>
      <c r="U331" s="321">
        <f t="shared" si="554"/>
        <v>835.85</v>
      </c>
      <c r="V331" s="103">
        <f t="shared" si="555"/>
        <v>830.85</v>
      </c>
      <c r="W331" s="321">
        <f t="shared" si="556"/>
        <v>830.85</v>
      </c>
      <c r="X331" s="177"/>
      <c r="Y331" s="139"/>
      <c r="Z331" s="139"/>
      <c r="AA331" s="142"/>
      <c r="AB331" s="436">
        <v>2205</v>
      </c>
      <c r="AC331" s="66"/>
    </row>
    <row r="332" spans="1:31" ht="12.6" customHeight="1" x14ac:dyDescent="0.2">
      <c r="A332" s="98"/>
      <c r="B332" s="663" t="s">
        <v>243</v>
      </c>
      <c r="C332" s="664"/>
      <c r="D332" s="664"/>
      <c r="E332" s="664"/>
      <c r="F332" s="407">
        <f>0.49*X2</f>
        <v>497.34999999999997</v>
      </c>
      <c r="G332" s="264">
        <f>+F332*$X$1</f>
        <v>497.34999999999997</v>
      </c>
      <c r="H332" s="561"/>
      <c r="I332" s="624"/>
      <c r="J332" s="624"/>
      <c r="K332" s="299"/>
      <c r="L332" s="624">
        <f t="shared" si="545"/>
        <v>617.34999999999991</v>
      </c>
      <c r="M332" s="299">
        <f t="shared" si="546"/>
        <v>617.34999999999991</v>
      </c>
      <c r="N332" s="624">
        <f t="shared" si="547"/>
        <v>557.34999999999991</v>
      </c>
      <c r="O332" s="299">
        <f t="shared" si="548"/>
        <v>557.34999999999991</v>
      </c>
      <c r="P332" s="624">
        <f t="shared" si="549"/>
        <v>547.34999999999991</v>
      </c>
      <c r="Q332" s="299">
        <f t="shared" si="550"/>
        <v>547.34999999999991</v>
      </c>
      <c r="R332" s="624">
        <f t="shared" si="551"/>
        <v>539.34999999999991</v>
      </c>
      <c r="S332" s="299">
        <f t="shared" si="552"/>
        <v>539.34999999999991</v>
      </c>
      <c r="T332" s="104">
        <f t="shared" si="553"/>
        <v>531.34999999999991</v>
      </c>
      <c r="U332" s="264">
        <f t="shared" si="554"/>
        <v>531.34999999999991</v>
      </c>
      <c r="V332" s="104">
        <f t="shared" si="555"/>
        <v>526.34999999999991</v>
      </c>
      <c r="W332" s="264">
        <f t="shared" si="556"/>
        <v>526.34999999999991</v>
      </c>
      <c r="X332" s="139"/>
      <c r="Y332" s="139"/>
      <c r="Z332" s="139"/>
      <c r="AA332" s="142"/>
      <c r="AB332" s="436">
        <v>2207</v>
      </c>
    </row>
    <row r="333" spans="1:31" ht="12.6" customHeight="1" x14ac:dyDescent="0.2">
      <c r="A333" s="98"/>
      <c r="B333" s="685" t="s">
        <v>244</v>
      </c>
      <c r="C333" s="901"/>
      <c r="D333" s="901"/>
      <c r="E333" s="901"/>
      <c r="F333" s="408">
        <f>0.42*X2</f>
        <v>426.3</v>
      </c>
      <c r="G333" s="369">
        <f>+F333*$X$1</f>
        <v>426.3</v>
      </c>
      <c r="H333" s="96"/>
      <c r="I333" s="96"/>
      <c r="J333" s="96"/>
      <c r="K333" s="302"/>
      <c r="L333" s="514">
        <f t="shared" si="545"/>
        <v>546.29999999999995</v>
      </c>
      <c r="M333" s="300">
        <f t="shared" si="546"/>
        <v>546.29999999999995</v>
      </c>
      <c r="N333" s="514">
        <f t="shared" si="547"/>
        <v>486.3</v>
      </c>
      <c r="O333" s="300">
        <f t="shared" si="548"/>
        <v>486.3</v>
      </c>
      <c r="P333" s="514">
        <f t="shared" si="549"/>
        <v>476.3</v>
      </c>
      <c r="Q333" s="300">
        <f t="shared" si="550"/>
        <v>476.3</v>
      </c>
      <c r="R333" s="514">
        <f t="shared" si="551"/>
        <v>468.3</v>
      </c>
      <c r="S333" s="300">
        <f t="shared" si="552"/>
        <v>468.3</v>
      </c>
      <c r="T333" s="103">
        <f t="shared" si="553"/>
        <v>460.3</v>
      </c>
      <c r="U333" s="321">
        <f t="shared" si="554"/>
        <v>460.3</v>
      </c>
      <c r="V333" s="103">
        <f t="shared" si="555"/>
        <v>455.3</v>
      </c>
      <c r="W333" s="321">
        <f t="shared" si="556"/>
        <v>455.3</v>
      </c>
      <c r="X333" s="139"/>
      <c r="Y333" s="139"/>
      <c r="Z333" s="139"/>
      <c r="AA333" s="142"/>
      <c r="AB333" s="436">
        <v>2209</v>
      </c>
    </row>
    <row r="334" spans="1:31" ht="12.6" customHeight="1" x14ac:dyDescent="0.2">
      <c r="A334" s="98"/>
      <c r="B334" s="1180" t="s">
        <v>245</v>
      </c>
      <c r="C334" s="1181"/>
      <c r="D334" s="1181"/>
      <c r="E334" s="1181"/>
      <c r="F334" s="407">
        <f>4.17*X2</f>
        <v>4232.55</v>
      </c>
      <c r="G334" s="299">
        <f t="shared" ref="G334" si="560">+F334*$X$1</f>
        <v>4232.55</v>
      </c>
      <c r="H334" s="423">
        <f>F334+360</f>
        <v>4592.55</v>
      </c>
      <c r="I334" s="299">
        <f>+H334*$X$1</f>
        <v>4592.55</v>
      </c>
      <c r="J334" s="624">
        <f>F334+180</f>
        <v>4412.55</v>
      </c>
      <c r="K334" s="299">
        <f t="shared" ref="K334" si="561">+J334*$X$1</f>
        <v>4412.55</v>
      </c>
      <c r="L334" s="624">
        <f t="shared" si="545"/>
        <v>4352.55</v>
      </c>
      <c r="M334" s="299">
        <f t="shared" ref="M334" si="562">+L334*$X$1</f>
        <v>4352.55</v>
      </c>
      <c r="N334" s="624">
        <f>F334+61</f>
        <v>4293.55</v>
      </c>
      <c r="O334" s="299">
        <f t="shared" ref="O334" si="563">+N334*$X$1</f>
        <v>4293.55</v>
      </c>
      <c r="P334" s="624">
        <f>F334+54</f>
        <v>4286.55</v>
      </c>
      <c r="Q334" s="299">
        <f t="shared" ref="Q334" si="564">+P334*$X$1</f>
        <v>4286.55</v>
      </c>
      <c r="R334" s="624">
        <f>F334+47</f>
        <v>4279.55</v>
      </c>
      <c r="S334" s="299">
        <f t="shared" ref="S334" si="565">+R334*$X$1</f>
        <v>4279.55</v>
      </c>
      <c r="T334" s="624">
        <f>F334+38</f>
        <v>4270.55</v>
      </c>
      <c r="U334" s="299">
        <f t="shared" ref="U334" si="566">+T334*$X$1</f>
        <v>4270.55</v>
      </c>
      <c r="V334" s="624">
        <f>F334+33</f>
        <v>4265.55</v>
      </c>
      <c r="W334" s="299">
        <f t="shared" ref="W334" si="567">+V334*$X$1</f>
        <v>4265.55</v>
      </c>
      <c r="X334" s="711"/>
      <c r="Y334" s="697"/>
      <c r="Z334" s="697"/>
      <c r="AA334" s="698"/>
      <c r="AB334" s="436">
        <v>2216</v>
      </c>
      <c r="AC334" s="66"/>
    </row>
    <row r="335" spans="1:31" ht="12.6" customHeight="1" x14ac:dyDescent="0.2">
      <c r="A335" s="107"/>
      <c r="B335" s="896" t="s">
        <v>378</v>
      </c>
      <c r="C335" s="897"/>
      <c r="D335" s="897"/>
      <c r="E335" s="897"/>
      <c r="F335" s="411">
        <v>1350</v>
      </c>
      <c r="G335" s="357">
        <f>+F335*$X$1</f>
        <v>1350</v>
      </c>
      <c r="H335" s="623">
        <f>F335+360</f>
        <v>1710</v>
      </c>
      <c r="I335" s="357">
        <f>+H335*$X$1</f>
        <v>1710</v>
      </c>
      <c r="J335" s="623">
        <f>F335+180</f>
        <v>1530</v>
      </c>
      <c r="K335" s="357">
        <f t="shared" ref="K335" si="568">+J335*$X$1</f>
        <v>1530</v>
      </c>
      <c r="L335" s="623">
        <f t="shared" si="545"/>
        <v>1470</v>
      </c>
      <c r="M335" s="357">
        <f t="shared" ref="M335" si="569">+L335*$X$1</f>
        <v>1470</v>
      </c>
      <c r="N335" s="623">
        <f>F335+61</f>
        <v>1411</v>
      </c>
      <c r="O335" s="357">
        <f t="shared" ref="O335" si="570">+N335*$X$1</f>
        <v>1411</v>
      </c>
      <c r="P335" s="105"/>
      <c r="Q335" s="1198" t="s">
        <v>152</v>
      </c>
      <c r="R335" s="1199"/>
      <c r="S335" s="1199"/>
      <c r="T335" s="1199"/>
      <c r="U335" s="1199"/>
      <c r="V335" s="1199"/>
      <c r="W335" s="1200"/>
      <c r="X335" s="711"/>
      <c r="Y335" s="697"/>
      <c r="Z335" s="697"/>
      <c r="AA335" s="698"/>
      <c r="AB335" s="436">
        <v>2222</v>
      </c>
    </row>
    <row r="336" spans="1:31" ht="12.6" customHeight="1" x14ac:dyDescent="0.2">
      <c r="A336" s="18"/>
      <c r="B336" s="1084" t="s">
        <v>724</v>
      </c>
      <c r="C336" s="1085"/>
      <c r="D336" s="1085"/>
      <c r="E336" s="1086"/>
      <c r="F336" s="413">
        <f>0.585*X2</f>
        <v>593.77499999999998</v>
      </c>
      <c r="G336" s="299">
        <f t="shared" ref="G336" si="571">+F336*$X$1</f>
        <v>593.77499999999998</v>
      </c>
      <c r="H336" s="291"/>
      <c r="I336" s="291"/>
      <c r="J336" s="624"/>
      <c r="K336" s="624"/>
      <c r="L336" s="624">
        <f t="shared" si="545"/>
        <v>713.77499999999998</v>
      </c>
      <c r="M336" s="299">
        <f t="shared" ref="M336:M345" si="572">+L336*$X$1</f>
        <v>713.77499999999998</v>
      </c>
      <c r="N336" s="624">
        <f>F336+60</f>
        <v>653.77499999999998</v>
      </c>
      <c r="O336" s="299">
        <f t="shared" ref="O336:O362" si="573">+N336*$X$1</f>
        <v>653.77499999999998</v>
      </c>
      <c r="P336" s="624">
        <f>F336+50</f>
        <v>643.77499999999998</v>
      </c>
      <c r="Q336" s="299">
        <f t="shared" ref="Q336:Q362" si="574">+P336*$X$1</f>
        <v>643.77499999999998</v>
      </c>
      <c r="R336" s="624">
        <f>F336+42</f>
        <v>635.77499999999998</v>
      </c>
      <c r="S336" s="299">
        <f t="shared" ref="S336:S362" si="575">+R336*$X$1</f>
        <v>635.77499999999998</v>
      </c>
      <c r="T336" s="104">
        <f>F336+34</f>
        <v>627.77499999999998</v>
      </c>
      <c r="U336" s="264">
        <f t="shared" ref="U336:U344" si="576">+T336*$X$1</f>
        <v>627.77499999999998</v>
      </c>
      <c r="V336" s="104">
        <f>F336+29</f>
        <v>622.77499999999998</v>
      </c>
      <c r="W336" s="264">
        <f>+V336*$X$1</f>
        <v>622.77499999999998</v>
      </c>
      <c r="X336" s="486"/>
      <c r="Y336" s="485"/>
      <c r="Z336" s="485"/>
      <c r="AA336" s="486"/>
      <c r="AB336" s="436">
        <v>2231</v>
      </c>
      <c r="AC336" s="66"/>
    </row>
    <row r="337" spans="1:29" ht="12.6" customHeight="1" x14ac:dyDescent="0.2">
      <c r="A337" s="18"/>
      <c r="B337" s="700" t="s">
        <v>736</v>
      </c>
      <c r="C337" s="701"/>
      <c r="D337" s="701"/>
      <c r="E337" s="702"/>
      <c r="F337" s="412">
        <f>0.57*X2</f>
        <v>578.54999999999995</v>
      </c>
      <c r="G337" s="300">
        <f t="shared" ref="G337" si="577">+F337*$X$1</f>
        <v>578.54999999999995</v>
      </c>
      <c r="H337" s="290"/>
      <c r="I337" s="290"/>
      <c r="J337" s="514"/>
      <c r="K337" s="514"/>
      <c r="L337" s="514">
        <f t="shared" si="545"/>
        <v>698.55</v>
      </c>
      <c r="M337" s="300">
        <f t="shared" si="572"/>
        <v>698.55</v>
      </c>
      <c r="N337" s="514">
        <f>F337+60</f>
        <v>638.54999999999995</v>
      </c>
      <c r="O337" s="300">
        <f t="shared" si="573"/>
        <v>638.54999999999995</v>
      </c>
      <c r="P337" s="514">
        <f>F337+50</f>
        <v>628.54999999999995</v>
      </c>
      <c r="Q337" s="300">
        <f t="shared" si="574"/>
        <v>628.54999999999995</v>
      </c>
      <c r="R337" s="514">
        <f>F337+42</f>
        <v>620.54999999999995</v>
      </c>
      <c r="S337" s="300">
        <f t="shared" si="575"/>
        <v>620.54999999999995</v>
      </c>
      <c r="T337" s="103">
        <f>F337+34</f>
        <v>612.54999999999995</v>
      </c>
      <c r="U337" s="321">
        <f t="shared" si="576"/>
        <v>612.54999999999995</v>
      </c>
      <c r="V337" s="103">
        <f>F337+29</f>
        <v>607.54999999999995</v>
      </c>
      <c r="W337" s="321">
        <f>+V337*$X$1</f>
        <v>607.54999999999995</v>
      </c>
      <c r="X337" s="491"/>
      <c r="Y337" s="490"/>
      <c r="Z337" s="490"/>
      <c r="AA337" s="491"/>
      <c r="AB337" s="436">
        <v>2232</v>
      </c>
      <c r="AC337" s="66"/>
    </row>
    <row r="338" spans="1:29" ht="12.6" customHeight="1" x14ac:dyDescent="0.2">
      <c r="A338" s="18"/>
      <c r="B338" s="1084" t="s">
        <v>809</v>
      </c>
      <c r="C338" s="1085"/>
      <c r="D338" s="1085"/>
      <c r="E338" s="1086"/>
      <c r="F338" s="413">
        <f>1*X2</f>
        <v>1015</v>
      </c>
      <c r="G338" s="299">
        <f t="shared" ref="G338" si="578">+F338*$X$1</f>
        <v>1015</v>
      </c>
      <c r="H338" s="291"/>
      <c r="I338" s="291"/>
      <c r="J338" s="624"/>
      <c r="K338" s="624"/>
      <c r="L338" s="624">
        <f t="shared" si="545"/>
        <v>1135</v>
      </c>
      <c r="M338" s="299">
        <f t="shared" si="572"/>
        <v>1135</v>
      </c>
      <c r="N338" s="624">
        <f>F338+60</f>
        <v>1075</v>
      </c>
      <c r="O338" s="299">
        <f t="shared" si="573"/>
        <v>1075</v>
      </c>
      <c r="P338" s="624">
        <f>F338+50</f>
        <v>1065</v>
      </c>
      <c r="Q338" s="299">
        <f t="shared" si="574"/>
        <v>1065</v>
      </c>
      <c r="R338" s="624">
        <f>F338+42</f>
        <v>1057</v>
      </c>
      <c r="S338" s="299">
        <f t="shared" si="575"/>
        <v>1057</v>
      </c>
      <c r="T338" s="104">
        <f>F338+34</f>
        <v>1049</v>
      </c>
      <c r="U338" s="264">
        <f t="shared" si="576"/>
        <v>1049</v>
      </c>
      <c r="V338" s="104">
        <f>F338+29</f>
        <v>1044</v>
      </c>
      <c r="W338" s="264">
        <f>+V338*$X$1</f>
        <v>1044</v>
      </c>
      <c r="X338" s="491"/>
      <c r="Y338" s="490"/>
      <c r="Z338" s="490"/>
      <c r="AA338" s="491"/>
      <c r="AB338" s="436">
        <v>2233</v>
      </c>
      <c r="AC338" s="66"/>
    </row>
    <row r="339" spans="1:29" ht="12.6" customHeight="1" x14ac:dyDescent="0.2">
      <c r="A339" s="98"/>
      <c r="B339" s="896" t="s">
        <v>810</v>
      </c>
      <c r="C339" s="1177"/>
      <c r="D339" s="1177"/>
      <c r="E339" s="1177"/>
      <c r="F339" s="411">
        <f>0.4*X2</f>
        <v>406</v>
      </c>
      <c r="G339" s="357">
        <f t="shared" ref="G339:G348" si="579">+F339*$X$1</f>
        <v>406</v>
      </c>
      <c r="H339" s="562"/>
      <c r="I339" s="357"/>
      <c r="J339" s="623"/>
      <c r="K339" s="357"/>
      <c r="L339" s="623">
        <f>F339+190</f>
        <v>596</v>
      </c>
      <c r="M339" s="357">
        <f t="shared" si="572"/>
        <v>596</v>
      </c>
      <c r="N339" s="623">
        <f>F339+100</f>
        <v>506</v>
      </c>
      <c r="O339" s="357">
        <f t="shared" si="573"/>
        <v>506</v>
      </c>
      <c r="P339" s="623">
        <f>F339+80</f>
        <v>486</v>
      </c>
      <c r="Q339" s="357">
        <f t="shared" si="574"/>
        <v>486</v>
      </c>
      <c r="R339" s="623">
        <f>F339+68</f>
        <v>474</v>
      </c>
      <c r="S339" s="357">
        <f t="shared" si="575"/>
        <v>474</v>
      </c>
      <c r="T339" s="116">
        <f>F339+52</f>
        <v>458</v>
      </c>
      <c r="U339" s="405">
        <f t="shared" si="576"/>
        <v>458</v>
      </c>
      <c r="V339" s="116"/>
      <c r="W339" s="405"/>
      <c r="X339" s="143"/>
      <c r="Y339" s="139"/>
      <c r="Z339" s="139"/>
      <c r="AA339" s="142"/>
      <c r="AB339" s="436">
        <v>2234</v>
      </c>
    </row>
    <row r="340" spans="1:29" ht="12.6" customHeight="1" x14ac:dyDescent="0.2">
      <c r="A340" s="98"/>
      <c r="B340" s="663" t="s">
        <v>811</v>
      </c>
      <c r="C340" s="712"/>
      <c r="D340" s="712"/>
      <c r="E340" s="712"/>
      <c r="F340" s="407">
        <f>0.56*X2</f>
        <v>568.40000000000009</v>
      </c>
      <c r="G340" s="299">
        <f t="shared" si="579"/>
        <v>568.40000000000009</v>
      </c>
      <c r="H340" s="291"/>
      <c r="I340" s="364"/>
      <c r="J340" s="624"/>
      <c r="K340" s="299"/>
      <c r="L340" s="624">
        <f>F340+190</f>
        <v>758.40000000000009</v>
      </c>
      <c r="M340" s="299">
        <f t="shared" si="572"/>
        <v>758.40000000000009</v>
      </c>
      <c r="N340" s="624">
        <f>F340+100</f>
        <v>668.40000000000009</v>
      </c>
      <c r="O340" s="299">
        <f t="shared" si="573"/>
        <v>668.40000000000009</v>
      </c>
      <c r="P340" s="624">
        <f>F340+80</f>
        <v>648.40000000000009</v>
      </c>
      <c r="Q340" s="299">
        <f t="shared" si="574"/>
        <v>648.40000000000009</v>
      </c>
      <c r="R340" s="624">
        <f>F340+68</f>
        <v>636.40000000000009</v>
      </c>
      <c r="S340" s="299">
        <f t="shared" si="575"/>
        <v>636.40000000000009</v>
      </c>
      <c r="T340" s="104">
        <f>F340+52</f>
        <v>620.40000000000009</v>
      </c>
      <c r="U340" s="264">
        <f t="shared" si="576"/>
        <v>620.40000000000009</v>
      </c>
      <c r="V340" s="104">
        <f>F340+45</f>
        <v>613.40000000000009</v>
      </c>
      <c r="W340" s="264">
        <f>+V340*$X$1</f>
        <v>613.40000000000009</v>
      </c>
      <c r="X340" s="143"/>
      <c r="Y340" s="139"/>
      <c r="Z340" s="139"/>
      <c r="AA340" s="142"/>
      <c r="AB340" s="436" t="s">
        <v>246</v>
      </c>
    </row>
    <row r="341" spans="1:29" ht="12.6" customHeight="1" x14ac:dyDescent="0.2">
      <c r="A341" s="18"/>
      <c r="B341" s="703" t="s">
        <v>854</v>
      </c>
      <c r="C341" s="704"/>
      <c r="D341" s="704"/>
      <c r="E341" s="705"/>
      <c r="F341" s="412">
        <f>0.372*X2</f>
        <v>377.58</v>
      </c>
      <c r="G341" s="300">
        <f t="shared" si="579"/>
        <v>377.58</v>
      </c>
      <c r="H341" s="290"/>
      <c r="I341" s="290"/>
      <c r="J341" s="514"/>
      <c r="K341" s="514"/>
      <c r="L341" s="514">
        <f>F341+120</f>
        <v>497.58</v>
      </c>
      <c r="M341" s="300">
        <f t="shared" si="572"/>
        <v>497.58</v>
      </c>
      <c r="N341" s="514">
        <f t="shared" ref="N341:N362" si="580">F341+60</f>
        <v>437.58</v>
      </c>
      <c r="O341" s="300">
        <f t="shared" si="573"/>
        <v>437.58</v>
      </c>
      <c r="P341" s="514">
        <f t="shared" ref="P341:P362" si="581">F341+50</f>
        <v>427.58</v>
      </c>
      <c r="Q341" s="300">
        <f t="shared" si="574"/>
        <v>427.58</v>
      </c>
      <c r="R341" s="514">
        <f t="shared" ref="R341:R362" si="582">F341+42</f>
        <v>419.58</v>
      </c>
      <c r="S341" s="300">
        <f t="shared" si="575"/>
        <v>419.58</v>
      </c>
      <c r="T341" s="103">
        <f>F341+34</f>
        <v>411.58</v>
      </c>
      <c r="U341" s="321">
        <f t="shared" si="576"/>
        <v>411.58</v>
      </c>
      <c r="V341" s="103">
        <f>F341+29</f>
        <v>406.58</v>
      </c>
      <c r="W341" s="321">
        <f>+V341*$X$1</f>
        <v>406.58</v>
      </c>
      <c r="X341" s="527"/>
      <c r="Y341" s="528"/>
      <c r="Z341" s="528"/>
      <c r="AA341" s="527"/>
      <c r="AB341" s="436">
        <v>2235</v>
      </c>
      <c r="AC341" s="66"/>
    </row>
    <row r="342" spans="1:29" ht="12.6" customHeight="1" x14ac:dyDescent="0.2">
      <c r="A342" s="18"/>
      <c r="B342" s="703" t="s">
        <v>898</v>
      </c>
      <c r="C342" s="704"/>
      <c r="D342" s="704"/>
      <c r="E342" s="705"/>
      <c r="F342" s="413">
        <f>0.745*X2</f>
        <v>756.17499999999995</v>
      </c>
      <c r="G342" s="299">
        <f t="shared" ref="G342" si="583">+F342*$X$1</f>
        <v>756.17499999999995</v>
      </c>
      <c r="H342" s="291"/>
      <c r="I342" s="291"/>
      <c r="J342" s="624"/>
      <c r="K342" s="624"/>
      <c r="L342" s="624">
        <f>F342+120</f>
        <v>876.17499999999995</v>
      </c>
      <c r="M342" s="299">
        <f t="shared" si="572"/>
        <v>876.17499999999995</v>
      </c>
      <c r="N342" s="624">
        <f t="shared" si="580"/>
        <v>816.17499999999995</v>
      </c>
      <c r="O342" s="299">
        <f t="shared" si="573"/>
        <v>816.17499999999995</v>
      </c>
      <c r="P342" s="624">
        <f t="shared" si="581"/>
        <v>806.17499999999995</v>
      </c>
      <c r="Q342" s="299">
        <f t="shared" si="574"/>
        <v>806.17499999999995</v>
      </c>
      <c r="R342" s="624">
        <f t="shared" si="582"/>
        <v>798.17499999999995</v>
      </c>
      <c r="S342" s="299">
        <f t="shared" si="575"/>
        <v>798.17499999999995</v>
      </c>
      <c r="T342" s="104">
        <f>F342+34</f>
        <v>790.17499999999995</v>
      </c>
      <c r="U342" s="264">
        <f t="shared" si="576"/>
        <v>790.17499999999995</v>
      </c>
      <c r="V342" s="104">
        <f>F342+29</f>
        <v>785.17499999999995</v>
      </c>
      <c r="W342" s="264">
        <f>+V342*$X$1</f>
        <v>785.17499999999995</v>
      </c>
      <c r="X342" s="585"/>
      <c r="Y342" s="586"/>
      <c r="Z342" s="586"/>
      <c r="AA342" s="585"/>
      <c r="AB342" s="436">
        <v>2236</v>
      </c>
      <c r="AC342" s="66"/>
    </row>
    <row r="343" spans="1:29" ht="12.6" customHeight="1" x14ac:dyDescent="0.2">
      <c r="A343" s="98"/>
      <c r="B343" s="685" t="s">
        <v>247</v>
      </c>
      <c r="C343" s="686"/>
      <c r="D343" s="686"/>
      <c r="E343" s="686"/>
      <c r="F343" s="408">
        <f>0.42*X2</f>
        <v>426.3</v>
      </c>
      <c r="G343" s="300">
        <f t="shared" si="579"/>
        <v>426.3</v>
      </c>
      <c r="H343" s="290"/>
      <c r="I343" s="365"/>
      <c r="J343" s="514"/>
      <c r="K343" s="300"/>
      <c r="L343" s="514">
        <f>F343+120</f>
        <v>546.29999999999995</v>
      </c>
      <c r="M343" s="300">
        <f t="shared" si="572"/>
        <v>546.29999999999995</v>
      </c>
      <c r="N343" s="514">
        <f t="shared" si="580"/>
        <v>486.3</v>
      </c>
      <c r="O343" s="300">
        <f t="shared" si="573"/>
        <v>486.3</v>
      </c>
      <c r="P343" s="514">
        <f t="shared" si="581"/>
        <v>476.3</v>
      </c>
      <c r="Q343" s="300">
        <f t="shared" si="574"/>
        <v>476.3</v>
      </c>
      <c r="R343" s="514">
        <f t="shared" si="582"/>
        <v>468.3</v>
      </c>
      <c r="S343" s="300">
        <f t="shared" si="575"/>
        <v>468.3</v>
      </c>
      <c r="T343" s="103">
        <f>F343+34</f>
        <v>460.3</v>
      </c>
      <c r="U343" s="321">
        <f t="shared" si="576"/>
        <v>460.3</v>
      </c>
      <c r="V343" s="103">
        <f>F343+29</f>
        <v>455.3</v>
      </c>
      <c r="W343" s="321">
        <f>+V343*$X$1</f>
        <v>455.3</v>
      </c>
      <c r="X343" s="143"/>
      <c r="Y343" s="139"/>
      <c r="Z343" s="139"/>
      <c r="AA343" s="142"/>
      <c r="AB343" s="436">
        <v>2238</v>
      </c>
    </row>
    <row r="344" spans="1:29" ht="12.6" customHeight="1" x14ac:dyDescent="0.2">
      <c r="A344" s="107"/>
      <c r="B344" s="673" t="s">
        <v>248</v>
      </c>
      <c r="C344" s="676"/>
      <c r="D344" s="676"/>
      <c r="E344" s="677"/>
      <c r="F344" s="407">
        <f>0.428*X2</f>
        <v>434.42</v>
      </c>
      <c r="G344" s="299">
        <f t="shared" si="579"/>
        <v>434.42</v>
      </c>
      <c r="H344" s="291"/>
      <c r="I344" s="364"/>
      <c r="J344" s="624"/>
      <c r="K344" s="299"/>
      <c r="L344" s="624">
        <f>F344+120</f>
        <v>554.42000000000007</v>
      </c>
      <c r="M344" s="299">
        <f t="shared" si="572"/>
        <v>554.42000000000007</v>
      </c>
      <c r="N344" s="624">
        <f t="shared" si="580"/>
        <v>494.42</v>
      </c>
      <c r="O344" s="299">
        <f t="shared" si="573"/>
        <v>494.42</v>
      </c>
      <c r="P344" s="624">
        <f t="shared" si="581"/>
        <v>484.42</v>
      </c>
      <c r="Q344" s="299">
        <f t="shared" si="574"/>
        <v>484.42</v>
      </c>
      <c r="R344" s="624">
        <f t="shared" si="582"/>
        <v>476.42</v>
      </c>
      <c r="S344" s="299">
        <f t="shared" si="575"/>
        <v>476.42</v>
      </c>
      <c r="T344" s="104">
        <f>F344+34</f>
        <v>468.42</v>
      </c>
      <c r="U344" s="264">
        <f t="shared" si="576"/>
        <v>468.42</v>
      </c>
      <c r="V344" s="104">
        <f>F344+29</f>
        <v>463.42</v>
      </c>
      <c r="W344" s="264">
        <f>+V344*$X$1</f>
        <v>463.42</v>
      </c>
      <c r="X344" s="143"/>
      <c r="Y344" s="139"/>
      <c r="Z344" s="139"/>
      <c r="AA344" s="142"/>
      <c r="AB344" s="436">
        <v>2239</v>
      </c>
    </row>
    <row r="345" spans="1:29" ht="12.6" customHeight="1" x14ac:dyDescent="0.2">
      <c r="A345" s="18"/>
      <c r="B345" s="685" t="s">
        <v>874</v>
      </c>
      <c r="C345" s="686"/>
      <c r="D345" s="686"/>
      <c r="E345" s="686"/>
      <c r="F345" s="408">
        <f>0.48*X2</f>
        <v>487.2</v>
      </c>
      <c r="G345" s="300">
        <f t="shared" si="579"/>
        <v>487.2</v>
      </c>
      <c r="H345" s="290"/>
      <c r="I345" s="365"/>
      <c r="J345" s="514"/>
      <c r="K345" s="300"/>
      <c r="L345" s="514">
        <f>F345+120</f>
        <v>607.20000000000005</v>
      </c>
      <c r="M345" s="300">
        <f t="shared" si="572"/>
        <v>607.20000000000005</v>
      </c>
      <c r="N345" s="514">
        <f t="shared" si="580"/>
        <v>547.20000000000005</v>
      </c>
      <c r="O345" s="300">
        <f t="shared" si="573"/>
        <v>547.20000000000005</v>
      </c>
      <c r="P345" s="514">
        <f t="shared" si="581"/>
        <v>537.20000000000005</v>
      </c>
      <c r="Q345" s="300">
        <f t="shared" si="574"/>
        <v>537.20000000000005</v>
      </c>
      <c r="R345" s="514">
        <f t="shared" si="582"/>
        <v>529.20000000000005</v>
      </c>
      <c r="S345" s="300">
        <f t="shared" si="575"/>
        <v>529.20000000000005</v>
      </c>
      <c r="T345" s="103"/>
      <c r="U345" s="321"/>
      <c r="V345" s="103"/>
      <c r="W345" s="321"/>
      <c r="X345" s="143"/>
      <c r="Y345" s="139"/>
      <c r="Z345" s="139"/>
      <c r="AA345" s="142"/>
      <c r="AB345" s="436">
        <v>2240</v>
      </c>
    </row>
    <row r="346" spans="1:29" ht="12.6" customHeight="1" x14ac:dyDescent="0.2">
      <c r="A346" s="18"/>
      <c r="B346" s="689" t="s">
        <v>861</v>
      </c>
      <c r="C346" s="690"/>
      <c r="D346" s="690"/>
      <c r="E346" s="690"/>
      <c r="F346" s="407">
        <f>0.22*X2</f>
        <v>223.3</v>
      </c>
      <c r="G346" s="299">
        <f t="shared" ref="G346:G347" si="584">+F346*$X$1</f>
        <v>223.3</v>
      </c>
      <c r="H346" s="291"/>
      <c r="I346" s="364"/>
      <c r="J346" s="624"/>
      <c r="K346" s="299"/>
      <c r="L346" s="624"/>
      <c r="M346" s="299"/>
      <c r="N346" s="624">
        <f t="shared" si="580"/>
        <v>283.3</v>
      </c>
      <c r="O346" s="299">
        <f t="shared" si="573"/>
        <v>283.3</v>
      </c>
      <c r="P346" s="624">
        <f t="shared" si="581"/>
        <v>273.3</v>
      </c>
      <c r="Q346" s="299">
        <f t="shared" si="574"/>
        <v>273.3</v>
      </c>
      <c r="R346" s="624">
        <f t="shared" si="582"/>
        <v>265.3</v>
      </c>
      <c r="S346" s="299">
        <f t="shared" si="575"/>
        <v>265.3</v>
      </c>
      <c r="T346" s="104">
        <f t="shared" ref="T346:T362" si="585">F346+34</f>
        <v>257.3</v>
      </c>
      <c r="U346" s="264">
        <f t="shared" ref="U346:U362" si="586">+T346*$X$1</f>
        <v>257.3</v>
      </c>
      <c r="V346" s="104">
        <f t="shared" ref="V346:V362" si="587">F346+29</f>
        <v>252.3</v>
      </c>
      <c r="W346" s="264">
        <f t="shared" ref="W346:W362" si="588">+V346*$X$1</f>
        <v>252.3</v>
      </c>
      <c r="X346" s="143"/>
      <c r="Y346" s="139"/>
      <c r="Z346" s="139"/>
      <c r="AA346" s="142"/>
      <c r="AB346" s="436">
        <v>2241</v>
      </c>
    </row>
    <row r="347" spans="1:29" ht="12.6" customHeight="1" x14ac:dyDescent="0.2">
      <c r="A347" s="18"/>
      <c r="B347" s="689" t="s">
        <v>862</v>
      </c>
      <c r="C347" s="690"/>
      <c r="D347" s="690"/>
      <c r="E347" s="690"/>
      <c r="F347" s="408">
        <f>0.35*X2</f>
        <v>355.25</v>
      </c>
      <c r="G347" s="300">
        <f t="shared" si="584"/>
        <v>355.25</v>
      </c>
      <c r="H347" s="290"/>
      <c r="I347" s="365"/>
      <c r="J347" s="514"/>
      <c r="K347" s="300"/>
      <c r="L347" s="514">
        <f t="shared" ref="L347:L366" si="589">F347+120</f>
        <v>475.25</v>
      </c>
      <c r="M347" s="300">
        <f t="shared" ref="M347:M362" si="590">+L347*$X$1</f>
        <v>475.25</v>
      </c>
      <c r="N347" s="514">
        <f t="shared" si="580"/>
        <v>415.25</v>
      </c>
      <c r="O347" s="300">
        <f t="shared" si="573"/>
        <v>415.25</v>
      </c>
      <c r="P347" s="514">
        <f t="shared" si="581"/>
        <v>405.25</v>
      </c>
      <c r="Q347" s="300">
        <f t="shared" si="574"/>
        <v>405.25</v>
      </c>
      <c r="R347" s="514">
        <f t="shared" si="582"/>
        <v>397.25</v>
      </c>
      <c r="S347" s="300">
        <f t="shared" si="575"/>
        <v>397.25</v>
      </c>
      <c r="T347" s="103">
        <f t="shared" si="585"/>
        <v>389.25</v>
      </c>
      <c r="U347" s="321">
        <f t="shared" si="586"/>
        <v>389.25</v>
      </c>
      <c r="V347" s="103">
        <f t="shared" si="587"/>
        <v>384.25</v>
      </c>
      <c r="W347" s="321">
        <f t="shared" si="588"/>
        <v>384.25</v>
      </c>
      <c r="X347" s="143"/>
      <c r="Y347" s="139"/>
      <c r="Z347" s="139"/>
      <c r="AA347" s="142"/>
      <c r="AB347" s="436">
        <v>2242</v>
      </c>
    </row>
    <row r="348" spans="1:29" ht="12.6" customHeight="1" x14ac:dyDescent="0.2">
      <c r="A348" s="98"/>
      <c r="B348" s="663" t="s">
        <v>249</v>
      </c>
      <c r="C348" s="693"/>
      <c r="D348" s="693"/>
      <c r="E348" s="693"/>
      <c r="F348" s="407">
        <f>0.31*X2</f>
        <v>314.64999999999998</v>
      </c>
      <c r="G348" s="299">
        <f t="shared" si="579"/>
        <v>314.64999999999998</v>
      </c>
      <c r="H348" s="291"/>
      <c r="I348" s="364"/>
      <c r="J348" s="624"/>
      <c r="K348" s="299"/>
      <c r="L348" s="624">
        <f t="shared" si="589"/>
        <v>434.65</v>
      </c>
      <c r="M348" s="299">
        <f t="shared" si="590"/>
        <v>434.65</v>
      </c>
      <c r="N348" s="624">
        <f t="shared" si="580"/>
        <v>374.65</v>
      </c>
      <c r="O348" s="299">
        <f t="shared" si="573"/>
        <v>374.65</v>
      </c>
      <c r="P348" s="624">
        <f t="shared" si="581"/>
        <v>364.65</v>
      </c>
      <c r="Q348" s="299">
        <f t="shared" si="574"/>
        <v>364.65</v>
      </c>
      <c r="R348" s="624">
        <f t="shared" si="582"/>
        <v>356.65</v>
      </c>
      <c r="S348" s="299">
        <f t="shared" si="575"/>
        <v>356.65</v>
      </c>
      <c r="T348" s="104">
        <f t="shared" si="585"/>
        <v>348.65</v>
      </c>
      <c r="U348" s="264">
        <f t="shared" si="586"/>
        <v>348.65</v>
      </c>
      <c r="V348" s="104">
        <f t="shared" si="587"/>
        <v>343.65</v>
      </c>
      <c r="W348" s="264">
        <f t="shared" si="588"/>
        <v>343.65</v>
      </c>
      <c r="X348" s="143"/>
      <c r="Y348" s="139"/>
      <c r="Z348" s="139"/>
      <c r="AA348" s="142"/>
      <c r="AB348" s="436">
        <v>2244</v>
      </c>
    </row>
    <row r="349" spans="1:29" ht="12.6" customHeight="1" x14ac:dyDescent="0.2">
      <c r="A349" s="18"/>
      <c r="B349" s="685" t="s">
        <v>865</v>
      </c>
      <c r="C349" s="686"/>
      <c r="D349" s="686"/>
      <c r="E349" s="686"/>
      <c r="F349" s="408">
        <f>0.29*X2</f>
        <v>294.34999999999997</v>
      </c>
      <c r="G349" s="300">
        <f t="shared" ref="G349:G350" si="591">+F349*$X$1</f>
        <v>294.34999999999997</v>
      </c>
      <c r="H349" s="290"/>
      <c r="I349" s="365"/>
      <c r="J349" s="514"/>
      <c r="K349" s="300"/>
      <c r="L349" s="514">
        <f t="shared" si="589"/>
        <v>414.34999999999997</v>
      </c>
      <c r="M349" s="300">
        <f t="shared" si="590"/>
        <v>414.34999999999997</v>
      </c>
      <c r="N349" s="514">
        <f t="shared" si="580"/>
        <v>354.34999999999997</v>
      </c>
      <c r="O349" s="300">
        <f t="shared" si="573"/>
        <v>354.34999999999997</v>
      </c>
      <c r="P349" s="514">
        <f t="shared" si="581"/>
        <v>344.34999999999997</v>
      </c>
      <c r="Q349" s="300">
        <f t="shared" si="574"/>
        <v>344.34999999999997</v>
      </c>
      <c r="R349" s="514">
        <f t="shared" si="582"/>
        <v>336.34999999999997</v>
      </c>
      <c r="S349" s="300">
        <f t="shared" si="575"/>
        <v>336.34999999999997</v>
      </c>
      <c r="T349" s="103">
        <f t="shared" si="585"/>
        <v>328.34999999999997</v>
      </c>
      <c r="U349" s="321">
        <f t="shared" si="586"/>
        <v>328.34999999999997</v>
      </c>
      <c r="V349" s="103">
        <f t="shared" si="587"/>
        <v>323.34999999999997</v>
      </c>
      <c r="W349" s="321">
        <f t="shared" si="588"/>
        <v>323.34999999999997</v>
      </c>
      <c r="X349" s="143"/>
      <c r="Y349" s="139"/>
      <c r="Z349" s="139"/>
      <c r="AA349" s="142"/>
      <c r="AB349" s="436">
        <v>2245</v>
      </c>
    </row>
    <row r="350" spans="1:29" ht="12.6" customHeight="1" x14ac:dyDescent="0.2">
      <c r="A350" s="18"/>
      <c r="B350" s="689" t="s">
        <v>864</v>
      </c>
      <c r="C350" s="690"/>
      <c r="D350" s="690"/>
      <c r="E350" s="690"/>
      <c r="F350" s="407">
        <f>0.3*X2</f>
        <v>304.5</v>
      </c>
      <c r="G350" s="299">
        <f t="shared" si="591"/>
        <v>304.5</v>
      </c>
      <c r="H350" s="291"/>
      <c r="I350" s="364"/>
      <c r="J350" s="624"/>
      <c r="K350" s="299"/>
      <c r="L350" s="624">
        <f t="shared" si="589"/>
        <v>424.5</v>
      </c>
      <c r="M350" s="299">
        <f t="shared" si="590"/>
        <v>424.5</v>
      </c>
      <c r="N350" s="624">
        <f t="shared" si="580"/>
        <v>364.5</v>
      </c>
      <c r="O350" s="299">
        <f t="shared" si="573"/>
        <v>364.5</v>
      </c>
      <c r="P350" s="624">
        <f t="shared" si="581"/>
        <v>354.5</v>
      </c>
      <c r="Q350" s="299">
        <f t="shared" si="574"/>
        <v>354.5</v>
      </c>
      <c r="R350" s="624">
        <f t="shared" si="582"/>
        <v>346.5</v>
      </c>
      <c r="S350" s="299">
        <f t="shared" si="575"/>
        <v>346.5</v>
      </c>
      <c r="T350" s="104">
        <f t="shared" si="585"/>
        <v>338.5</v>
      </c>
      <c r="U350" s="264">
        <f t="shared" si="586"/>
        <v>338.5</v>
      </c>
      <c r="V350" s="104">
        <f t="shared" si="587"/>
        <v>333.5</v>
      </c>
      <c r="W350" s="264">
        <f t="shared" si="588"/>
        <v>333.5</v>
      </c>
      <c r="X350" s="143"/>
      <c r="Y350" s="139"/>
      <c r="Z350" s="139"/>
      <c r="AA350" s="142"/>
      <c r="AB350" s="436" t="s">
        <v>863</v>
      </c>
    </row>
    <row r="351" spans="1:29" ht="12.6" customHeight="1" x14ac:dyDescent="0.2">
      <c r="A351" s="98"/>
      <c r="B351" s="685" t="s">
        <v>544</v>
      </c>
      <c r="C351" s="686"/>
      <c r="D351" s="686"/>
      <c r="E351" s="686"/>
      <c r="F351" s="347">
        <v>1286</v>
      </c>
      <c r="G351" s="300">
        <f>+F351*$X$1</f>
        <v>1286</v>
      </c>
      <c r="H351" s="290"/>
      <c r="I351" s="365"/>
      <c r="J351" s="514"/>
      <c r="K351" s="300"/>
      <c r="L351" s="514">
        <f t="shared" si="589"/>
        <v>1406</v>
      </c>
      <c r="M351" s="300">
        <f t="shared" si="590"/>
        <v>1406</v>
      </c>
      <c r="N351" s="514">
        <f t="shared" si="580"/>
        <v>1346</v>
      </c>
      <c r="O351" s="300">
        <f t="shared" si="573"/>
        <v>1346</v>
      </c>
      <c r="P351" s="514">
        <f t="shared" si="581"/>
        <v>1336</v>
      </c>
      <c r="Q351" s="300">
        <f t="shared" si="574"/>
        <v>1336</v>
      </c>
      <c r="R351" s="514">
        <f t="shared" si="582"/>
        <v>1328</v>
      </c>
      <c r="S351" s="300">
        <f t="shared" si="575"/>
        <v>1328</v>
      </c>
      <c r="T351" s="103">
        <f t="shared" si="585"/>
        <v>1320</v>
      </c>
      <c r="U351" s="321">
        <f t="shared" si="586"/>
        <v>1320</v>
      </c>
      <c r="V351" s="103">
        <f t="shared" si="587"/>
        <v>1315</v>
      </c>
      <c r="W351" s="321">
        <f t="shared" si="588"/>
        <v>1315</v>
      </c>
      <c r="X351" s="143"/>
      <c r="Y351" s="139"/>
      <c r="Z351" s="139"/>
      <c r="AA351" s="142"/>
      <c r="AB351" s="436">
        <v>2246</v>
      </c>
    </row>
    <row r="352" spans="1:29" ht="12.6" customHeight="1" x14ac:dyDescent="0.2">
      <c r="A352" s="18"/>
      <c r="B352" s="689" t="s">
        <v>876</v>
      </c>
      <c r="C352" s="690"/>
      <c r="D352" s="690"/>
      <c r="E352" s="690"/>
      <c r="F352" s="549">
        <f>2.9*X2</f>
        <v>2943.5</v>
      </c>
      <c r="G352" s="299">
        <f t="shared" ref="G352" si="592">+F352*$X$1</f>
        <v>2943.5</v>
      </c>
      <c r="H352" s="291"/>
      <c r="I352" s="364"/>
      <c r="J352" s="624">
        <f>F352+180</f>
        <v>3123.5</v>
      </c>
      <c r="K352" s="299">
        <f t="shared" ref="K352" si="593">+J352*$X$1</f>
        <v>3123.5</v>
      </c>
      <c r="L352" s="624">
        <f t="shared" si="589"/>
        <v>3063.5</v>
      </c>
      <c r="M352" s="299">
        <f t="shared" si="590"/>
        <v>3063.5</v>
      </c>
      <c r="N352" s="624">
        <f t="shared" si="580"/>
        <v>3003.5</v>
      </c>
      <c r="O352" s="299">
        <f t="shared" si="573"/>
        <v>3003.5</v>
      </c>
      <c r="P352" s="624">
        <f t="shared" si="581"/>
        <v>2993.5</v>
      </c>
      <c r="Q352" s="299">
        <f t="shared" si="574"/>
        <v>2993.5</v>
      </c>
      <c r="R352" s="624">
        <f t="shared" si="582"/>
        <v>2985.5</v>
      </c>
      <c r="S352" s="299">
        <f t="shared" si="575"/>
        <v>2985.5</v>
      </c>
      <c r="T352" s="104">
        <f t="shared" si="585"/>
        <v>2977.5</v>
      </c>
      <c r="U352" s="264">
        <f t="shared" si="586"/>
        <v>2977.5</v>
      </c>
      <c r="V352" s="104">
        <f t="shared" si="587"/>
        <v>2972.5</v>
      </c>
      <c r="W352" s="264">
        <f t="shared" si="588"/>
        <v>2972.5</v>
      </c>
      <c r="X352" s="143"/>
      <c r="Y352" s="139"/>
      <c r="Z352" s="139"/>
      <c r="AA352" s="142"/>
      <c r="AB352" s="436">
        <v>2247</v>
      </c>
    </row>
    <row r="353" spans="1:29" ht="12.6" customHeight="1" x14ac:dyDescent="0.2">
      <c r="A353" s="18"/>
      <c r="B353" s="670" t="s">
        <v>497</v>
      </c>
      <c r="C353" s="929"/>
      <c r="D353" s="929"/>
      <c r="E353" s="930"/>
      <c r="F353" s="412">
        <f>0.47*X2</f>
        <v>477.04999999999995</v>
      </c>
      <c r="G353" s="300">
        <f t="shared" ref="G353:G357" si="594">+F353*$X$1</f>
        <v>477.04999999999995</v>
      </c>
      <c r="H353" s="290"/>
      <c r="I353" s="365"/>
      <c r="J353" s="514"/>
      <c r="K353" s="300"/>
      <c r="L353" s="514">
        <f t="shared" si="589"/>
        <v>597.04999999999995</v>
      </c>
      <c r="M353" s="300">
        <f t="shared" si="590"/>
        <v>597.04999999999995</v>
      </c>
      <c r="N353" s="514">
        <f t="shared" si="580"/>
        <v>537.04999999999995</v>
      </c>
      <c r="O353" s="300">
        <f t="shared" si="573"/>
        <v>537.04999999999995</v>
      </c>
      <c r="P353" s="514">
        <f t="shared" si="581"/>
        <v>527.04999999999995</v>
      </c>
      <c r="Q353" s="300">
        <f t="shared" si="574"/>
        <v>527.04999999999995</v>
      </c>
      <c r="R353" s="514">
        <f t="shared" si="582"/>
        <v>519.04999999999995</v>
      </c>
      <c r="S353" s="300">
        <f t="shared" si="575"/>
        <v>519.04999999999995</v>
      </c>
      <c r="T353" s="103">
        <f t="shared" si="585"/>
        <v>511.04999999999995</v>
      </c>
      <c r="U353" s="321">
        <f t="shared" si="586"/>
        <v>511.04999999999995</v>
      </c>
      <c r="V353" s="103">
        <f t="shared" si="587"/>
        <v>506.04999999999995</v>
      </c>
      <c r="W353" s="321">
        <f t="shared" si="588"/>
        <v>506.04999999999995</v>
      </c>
      <c r="X353" s="135"/>
      <c r="Y353" s="135"/>
      <c r="Z353" s="135"/>
      <c r="AA353" s="135"/>
      <c r="AB353" s="450">
        <v>2251</v>
      </c>
    </row>
    <row r="354" spans="1:29" ht="12.6" customHeight="1" x14ac:dyDescent="0.2">
      <c r="A354" s="18"/>
      <c r="B354" s="673" t="s">
        <v>717</v>
      </c>
      <c r="C354" s="695"/>
      <c r="D354" s="695"/>
      <c r="E354" s="696"/>
      <c r="F354" s="413">
        <f>0.47*X2</f>
        <v>477.04999999999995</v>
      </c>
      <c r="G354" s="299">
        <f t="shared" si="594"/>
        <v>477.04999999999995</v>
      </c>
      <c r="H354" s="291"/>
      <c r="I354" s="364"/>
      <c r="J354" s="624"/>
      <c r="K354" s="299"/>
      <c r="L354" s="624">
        <f t="shared" si="589"/>
        <v>597.04999999999995</v>
      </c>
      <c r="M354" s="299">
        <f t="shared" si="590"/>
        <v>597.04999999999995</v>
      </c>
      <c r="N354" s="624">
        <f t="shared" si="580"/>
        <v>537.04999999999995</v>
      </c>
      <c r="O354" s="299">
        <f t="shared" si="573"/>
        <v>537.04999999999995</v>
      </c>
      <c r="P354" s="624">
        <f t="shared" si="581"/>
        <v>527.04999999999995</v>
      </c>
      <c r="Q354" s="299">
        <f t="shared" si="574"/>
        <v>527.04999999999995</v>
      </c>
      <c r="R354" s="624">
        <f t="shared" si="582"/>
        <v>519.04999999999995</v>
      </c>
      <c r="S354" s="299">
        <f t="shared" si="575"/>
        <v>519.04999999999995</v>
      </c>
      <c r="T354" s="104">
        <f t="shared" si="585"/>
        <v>511.04999999999995</v>
      </c>
      <c r="U354" s="264">
        <f t="shared" si="586"/>
        <v>511.04999999999995</v>
      </c>
      <c r="V354" s="104">
        <f t="shared" si="587"/>
        <v>506.04999999999995</v>
      </c>
      <c r="W354" s="264">
        <f t="shared" si="588"/>
        <v>506.04999999999995</v>
      </c>
      <c r="X354" s="135"/>
      <c r="Y354" s="135"/>
      <c r="Z354" s="135"/>
      <c r="AA354" s="135"/>
      <c r="AB354" s="436">
        <v>2252</v>
      </c>
    </row>
    <row r="355" spans="1:29" ht="12.6" customHeight="1" x14ac:dyDescent="0.2">
      <c r="A355" s="107"/>
      <c r="B355" s="670" t="s">
        <v>250</v>
      </c>
      <c r="C355" s="671"/>
      <c r="D355" s="671"/>
      <c r="E355" s="672"/>
      <c r="F355" s="408">
        <f>0.35*X2</f>
        <v>355.25</v>
      </c>
      <c r="G355" s="300">
        <f t="shared" si="594"/>
        <v>355.25</v>
      </c>
      <c r="H355" s="290"/>
      <c r="I355" s="365"/>
      <c r="J355" s="514"/>
      <c r="K355" s="300"/>
      <c r="L355" s="514">
        <f t="shared" si="589"/>
        <v>475.25</v>
      </c>
      <c r="M355" s="300">
        <f t="shared" si="590"/>
        <v>475.25</v>
      </c>
      <c r="N355" s="514">
        <f t="shared" si="580"/>
        <v>415.25</v>
      </c>
      <c r="O355" s="300">
        <f t="shared" si="573"/>
        <v>415.25</v>
      </c>
      <c r="P355" s="514">
        <f t="shared" si="581"/>
        <v>405.25</v>
      </c>
      <c r="Q355" s="300">
        <f t="shared" si="574"/>
        <v>405.25</v>
      </c>
      <c r="R355" s="514">
        <f t="shared" si="582"/>
        <v>397.25</v>
      </c>
      <c r="S355" s="300">
        <f t="shared" si="575"/>
        <v>397.25</v>
      </c>
      <c r="T355" s="103">
        <f t="shared" si="585"/>
        <v>389.25</v>
      </c>
      <c r="U355" s="321">
        <f t="shared" si="586"/>
        <v>389.25</v>
      </c>
      <c r="V355" s="103">
        <f t="shared" si="587"/>
        <v>384.25</v>
      </c>
      <c r="W355" s="321">
        <f t="shared" si="588"/>
        <v>384.25</v>
      </c>
      <c r="X355" s="176"/>
      <c r="Y355" s="135"/>
      <c r="Z355" s="135"/>
      <c r="AA355" s="155"/>
      <c r="AB355" s="436">
        <v>2254</v>
      </c>
      <c r="AC355" s="66"/>
    </row>
    <row r="356" spans="1:29" ht="12.6" customHeight="1" x14ac:dyDescent="0.2">
      <c r="A356" s="107"/>
      <c r="B356" s="673" t="s">
        <v>509</v>
      </c>
      <c r="C356" s="674"/>
      <c r="D356" s="674"/>
      <c r="E356" s="675"/>
      <c r="F356" s="407">
        <f>0.32*X2</f>
        <v>324.8</v>
      </c>
      <c r="G356" s="299">
        <f t="shared" si="594"/>
        <v>324.8</v>
      </c>
      <c r="H356" s="291"/>
      <c r="I356" s="364"/>
      <c r="J356" s="624"/>
      <c r="K356" s="299"/>
      <c r="L356" s="624">
        <f t="shared" si="589"/>
        <v>444.8</v>
      </c>
      <c r="M356" s="299">
        <f t="shared" si="590"/>
        <v>444.8</v>
      </c>
      <c r="N356" s="624">
        <f t="shared" si="580"/>
        <v>384.8</v>
      </c>
      <c r="O356" s="299">
        <f t="shared" si="573"/>
        <v>384.8</v>
      </c>
      <c r="P356" s="624">
        <f t="shared" si="581"/>
        <v>374.8</v>
      </c>
      <c r="Q356" s="299">
        <f t="shared" si="574"/>
        <v>374.8</v>
      </c>
      <c r="R356" s="624">
        <f t="shared" si="582"/>
        <v>366.8</v>
      </c>
      <c r="S356" s="299">
        <f t="shared" si="575"/>
        <v>366.8</v>
      </c>
      <c r="T356" s="104">
        <f t="shared" si="585"/>
        <v>358.8</v>
      </c>
      <c r="U356" s="264">
        <f t="shared" si="586"/>
        <v>358.8</v>
      </c>
      <c r="V356" s="104">
        <f t="shared" si="587"/>
        <v>353.8</v>
      </c>
      <c r="W356" s="264">
        <f t="shared" si="588"/>
        <v>353.8</v>
      </c>
      <c r="X356" s="176"/>
      <c r="Y356" s="135"/>
      <c r="Z356" s="135"/>
      <c r="AA356" s="155"/>
      <c r="AB356" s="436" t="s">
        <v>534</v>
      </c>
      <c r="AC356" s="66"/>
    </row>
    <row r="357" spans="1:29" ht="12.6" customHeight="1" x14ac:dyDescent="0.2">
      <c r="A357" s="107"/>
      <c r="B357" s="1170" t="s">
        <v>251</v>
      </c>
      <c r="C357" s="1171"/>
      <c r="D357" s="1171"/>
      <c r="E357" s="1172"/>
      <c r="F357" s="357">
        <v>430</v>
      </c>
      <c r="G357" s="357">
        <f t="shared" si="594"/>
        <v>430</v>
      </c>
      <c r="H357" s="297"/>
      <c r="I357" s="363"/>
      <c r="J357" s="623"/>
      <c r="K357" s="357"/>
      <c r="L357" s="623">
        <f t="shared" si="589"/>
        <v>550</v>
      </c>
      <c r="M357" s="357">
        <f t="shared" si="590"/>
        <v>550</v>
      </c>
      <c r="N357" s="623">
        <f t="shared" si="580"/>
        <v>490</v>
      </c>
      <c r="O357" s="357">
        <f t="shared" si="573"/>
        <v>490</v>
      </c>
      <c r="P357" s="623">
        <f t="shared" si="581"/>
        <v>480</v>
      </c>
      <c r="Q357" s="357">
        <f t="shared" si="574"/>
        <v>480</v>
      </c>
      <c r="R357" s="623">
        <f t="shared" si="582"/>
        <v>472</v>
      </c>
      <c r="S357" s="357">
        <f t="shared" si="575"/>
        <v>472</v>
      </c>
      <c r="T357" s="116">
        <f t="shared" si="585"/>
        <v>464</v>
      </c>
      <c r="U357" s="405">
        <f t="shared" si="586"/>
        <v>464</v>
      </c>
      <c r="V357" s="116">
        <f t="shared" si="587"/>
        <v>459</v>
      </c>
      <c r="W357" s="405">
        <f t="shared" si="588"/>
        <v>459</v>
      </c>
      <c r="X357" s="176"/>
      <c r="Y357" s="135"/>
      <c r="Z357" s="135"/>
      <c r="AA357" s="135"/>
      <c r="AB357" s="436">
        <v>2255</v>
      </c>
      <c r="AC357" s="66"/>
    </row>
    <row r="358" spans="1:29" ht="12.6" customHeight="1" x14ac:dyDescent="0.2">
      <c r="A358" s="18"/>
      <c r="B358" s="691" t="s">
        <v>698</v>
      </c>
      <c r="C358" s="950"/>
      <c r="D358" s="950"/>
      <c r="E358" s="950"/>
      <c r="F358" s="408">
        <f>0.54*X2</f>
        <v>548.1</v>
      </c>
      <c r="G358" s="300">
        <f t="shared" ref="G358" si="595">+F358*$X$1</f>
        <v>548.1</v>
      </c>
      <c r="H358" s="514"/>
      <c r="I358" s="300"/>
      <c r="J358" s="514"/>
      <c r="K358" s="300"/>
      <c r="L358" s="514">
        <f t="shared" si="589"/>
        <v>668.1</v>
      </c>
      <c r="M358" s="300">
        <f t="shared" si="590"/>
        <v>668.1</v>
      </c>
      <c r="N358" s="514">
        <f t="shared" si="580"/>
        <v>608.1</v>
      </c>
      <c r="O358" s="300">
        <f t="shared" si="573"/>
        <v>608.1</v>
      </c>
      <c r="P358" s="514">
        <f t="shared" si="581"/>
        <v>598.1</v>
      </c>
      <c r="Q358" s="300">
        <f t="shared" si="574"/>
        <v>598.1</v>
      </c>
      <c r="R358" s="514">
        <f t="shared" si="582"/>
        <v>590.1</v>
      </c>
      <c r="S358" s="300">
        <f t="shared" si="575"/>
        <v>590.1</v>
      </c>
      <c r="T358" s="103">
        <f t="shared" si="585"/>
        <v>582.1</v>
      </c>
      <c r="U358" s="321">
        <f t="shared" si="586"/>
        <v>582.1</v>
      </c>
      <c r="V358" s="103">
        <f t="shared" si="587"/>
        <v>577.1</v>
      </c>
      <c r="W358" s="321">
        <f t="shared" si="588"/>
        <v>577.1</v>
      </c>
      <c r="X358" s="697"/>
      <c r="Y358" s="743"/>
      <c r="Z358" s="743"/>
      <c r="AA358" s="698"/>
      <c r="AB358" s="436">
        <v>2260</v>
      </c>
      <c r="AC358" s="66"/>
    </row>
    <row r="359" spans="1:29" ht="12.6" customHeight="1" x14ac:dyDescent="0.2">
      <c r="A359" s="18"/>
      <c r="B359" s="967" t="s">
        <v>676</v>
      </c>
      <c r="C359" s="1178"/>
      <c r="D359" s="1178"/>
      <c r="E359" s="1178"/>
      <c r="F359" s="407">
        <f>0.6*X2</f>
        <v>609</v>
      </c>
      <c r="G359" s="299">
        <f t="shared" ref="G359:G360" si="596">+F359*$X$1</f>
        <v>609</v>
      </c>
      <c r="H359" s="598"/>
      <c r="I359" s="299"/>
      <c r="J359" s="624"/>
      <c r="K359" s="299"/>
      <c r="L359" s="624">
        <f t="shared" si="589"/>
        <v>729</v>
      </c>
      <c r="M359" s="299">
        <f t="shared" si="590"/>
        <v>729</v>
      </c>
      <c r="N359" s="624">
        <f t="shared" si="580"/>
        <v>669</v>
      </c>
      <c r="O359" s="299">
        <f t="shared" si="573"/>
        <v>669</v>
      </c>
      <c r="P359" s="624">
        <f t="shared" si="581"/>
        <v>659</v>
      </c>
      <c r="Q359" s="299">
        <f t="shared" si="574"/>
        <v>659</v>
      </c>
      <c r="R359" s="624">
        <f t="shared" si="582"/>
        <v>651</v>
      </c>
      <c r="S359" s="299">
        <f t="shared" si="575"/>
        <v>651</v>
      </c>
      <c r="T359" s="104">
        <f t="shared" si="585"/>
        <v>643</v>
      </c>
      <c r="U359" s="264">
        <f t="shared" si="586"/>
        <v>643</v>
      </c>
      <c r="V359" s="104">
        <f t="shared" si="587"/>
        <v>638</v>
      </c>
      <c r="W359" s="264">
        <f t="shared" si="588"/>
        <v>638</v>
      </c>
      <c r="X359" s="697"/>
      <c r="Y359" s="743"/>
      <c r="Z359" s="743"/>
      <c r="AA359" s="698"/>
      <c r="AB359" s="436">
        <v>2261</v>
      </c>
      <c r="AC359" s="66"/>
    </row>
    <row r="360" spans="1:29" ht="12.6" customHeight="1" x14ac:dyDescent="0.2">
      <c r="A360" s="18"/>
      <c r="B360" s="691" t="s">
        <v>700</v>
      </c>
      <c r="C360" s="950"/>
      <c r="D360" s="950"/>
      <c r="E360" s="950"/>
      <c r="F360" s="408">
        <f>0.58*X2</f>
        <v>588.69999999999993</v>
      </c>
      <c r="G360" s="300">
        <f t="shared" si="596"/>
        <v>588.69999999999993</v>
      </c>
      <c r="H360" s="514"/>
      <c r="I360" s="300"/>
      <c r="J360" s="514"/>
      <c r="K360" s="300"/>
      <c r="L360" s="514">
        <f t="shared" si="589"/>
        <v>708.69999999999993</v>
      </c>
      <c r="M360" s="300">
        <f t="shared" si="590"/>
        <v>708.69999999999993</v>
      </c>
      <c r="N360" s="514">
        <f t="shared" si="580"/>
        <v>648.69999999999993</v>
      </c>
      <c r="O360" s="300">
        <f t="shared" si="573"/>
        <v>648.69999999999993</v>
      </c>
      <c r="P360" s="514">
        <f t="shared" si="581"/>
        <v>638.69999999999993</v>
      </c>
      <c r="Q360" s="300">
        <f t="shared" si="574"/>
        <v>638.69999999999993</v>
      </c>
      <c r="R360" s="514">
        <f t="shared" si="582"/>
        <v>630.69999999999993</v>
      </c>
      <c r="S360" s="300">
        <f t="shared" si="575"/>
        <v>630.69999999999993</v>
      </c>
      <c r="T360" s="103">
        <f t="shared" si="585"/>
        <v>622.69999999999993</v>
      </c>
      <c r="U360" s="321">
        <f t="shared" si="586"/>
        <v>622.69999999999993</v>
      </c>
      <c r="V360" s="103">
        <f t="shared" si="587"/>
        <v>617.69999999999993</v>
      </c>
      <c r="W360" s="321">
        <f t="shared" si="588"/>
        <v>617.69999999999993</v>
      </c>
      <c r="X360" s="697"/>
      <c r="Y360" s="743"/>
      <c r="Z360" s="743"/>
      <c r="AA360" s="698"/>
      <c r="AB360" s="436">
        <v>2262</v>
      </c>
      <c r="AC360" s="66"/>
    </row>
    <row r="361" spans="1:29" ht="12.6" customHeight="1" x14ac:dyDescent="0.2">
      <c r="A361" s="18"/>
      <c r="B361" s="967" t="s">
        <v>642</v>
      </c>
      <c r="C361" s="1178"/>
      <c r="D361" s="1178"/>
      <c r="E361" s="1178"/>
      <c r="F361" s="407">
        <f>1.25*X2</f>
        <v>1268.75</v>
      </c>
      <c r="G361" s="299">
        <f t="shared" ref="G361" si="597">+F361*$X$1</f>
        <v>1268.75</v>
      </c>
      <c r="H361" s="598"/>
      <c r="I361" s="299"/>
      <c r="J361" s="624"/>
      <c r="K361" s="299"/>
      <c r="L361" s="624">
        <f t="shared" si="589"/>
        <v>1388.75</v>
      </c>
      <c r="M361" s="299">
        <f t="shared" si="590"/>
        <v>1388.75</v>
      </c>
      <c r="N361" s="624">
        <f t="shared" si="580"/>
        <v>1328.75</v>
      </c>
      <c r="O361" s="299">
        <f t="shared" si="573"/>
        <v>1328.75</v>
      </c>
      <c r="P361" s="624">
        <f t="shared" si="581"/>
        <v>1318.75</v>
      </c>
      <c r="Q361" s="299">
        <f t="shared" si="574"/>
        <v>1318.75</v>
      </c>
      <c r="R361" s="624">
        <f t="shared" si="582"/>
        <v>1310.75</v>
      </c>
      <c r="S361" s="299">
        <f t="shared" si="575"/>
        <v>1310.75</v>
      </c>
      <c r="T361" s="104">
        <f t="shared" si="585"/>
        <v>1302.75</v>
      </c>
      <c r="U361" s="264">
        <f t="shared" si="586"/>
        <v>1302.75</v>
      </c>
      <c r="V361" s="104">
        <f t="shared" si="587"/>
        <v>1297.75</v>
      </c>
      <c r="W361" s="264">
        <f t="shared" si="588"/>
        <v>1297.75</v>
      </c>
      <c r="X361" s="697"/>
      <c r="Y361" s="743"/>
      <c r="Z361" s="743"/>
      <c r="AA361" s="698"/>
      <c r="AB361" s="436">
        <v>2264</v>
      </c>
      <c r="AC361" s="66"/>
    </row>
    <row r="362" spans="1:29" ht="12.6" customHeight="1" x14ac:dyDescent="0.2">
      <c r="A362" s="18"/>
      <c r="B362" s="691" t="s">
        <v>699</v>
      </c>
      <c r="C362" s="950"/>
      <c r="D362" s="950"/>
      <c r="E362" s="950"/>
      <c r="F362" s="408">
        <f>0.81*X2</f>
        <v>822.15000000000009</v>
      </c>
      <c r="G362" s="300">
        <f t="shared" ref="G362" si="598">+F362*$X$1</f>
        <v>822.15000000000009</v>
      </c>
      <c r="H362" s="514"/>
      <c r="I362" s="300"/>
      <c r="J362" s="514"/>
      <c r="K362" s="300"/>
      <c r="L362" s="514">
        <f t="shared" si="589"/>
        <v>942.15000000000009</v>
      </c>
      <c r="M362" s="300">
        <f t="shared" si="590"/>
        <v>942.15000000000009</v>
      </c>
      <c r="N362" s="514">
        <f t="shared" si="580"/>
        <v>882.15000000000009</v>
      </c>
      <c r="O362" s="300">
        <f t="shared" si="573"/>
        <v>882.15000000000009</v>
      </c>
      <c r="P362" s="514">
        <f t="shared" si="581"/>
        <v>872.15000000000009</v>
      </c>
      <c r="Q362" s="300">
        <f t="shared" si="574"/>
        <v>872.15000000000009</v>
      </c>
      <c r="R362" s="514">
        <f t="shared" si="582"/>
        <v>864.15000000000009</v>
      </c>
      <c r="S362" s="300">
        <f t="shared" si="575"/>
        <v>864.15000000000009</v>
      </c>
      <c r="T362" s="103">
        <f t="shared" si="585"/>
        <v>856.15000000000009</v>
      </c>
      <c r="U362" s="321">
        <f t="shared" si="586"/>
        <v>856.15000000000009</v>
      </c>
      <c r="V362" s="103">
        <f t="shared" si="587"/>
        <v>851.15000000000009</v>
      </c>
      <c r="W362" s="321">
        <f t="shared" si="588"/>
        <v>851.15000000000009</v>
      </c>
      <c r="X362" s="697"/>
      <c r="Y362" s="743"/>
      <c r="Z362" s="743"/>
      <c r="AA362" s="698"/>
      <c r="AB362" s="436">
        <v>2266</v>
      </c>
      <c r="AC362" s="66"/>
    </row>
    <row r="363" spans="1:29" ht="12.6" customHeight="1" x14ac:dyDescent="0.2">
      <c r="A363" s="18"/>
      <c r="B363" s="1175" t="s">
        <v>252</v>
      </c>
      <c r="C363" s="1176"/>
      <c r="D363" s="1176"/>
      <c r="E363" s="1176"/>
      <c r="F363" s="614">
        <f>1.96*X2</f>
        <v>1989.3999999999999</v>
      </c>
      <c r="G363" s="299">
        <f t="shared" ref="G363:G365" si="599">+F363*$X$1</f>
        <v>1989.3999999999999</v>
      </c>
      <c r="H363" s="423">
        <f>F363+360</f>
        <v>2349.3999999999996</v>
      </c>
      <c r="I363" s="299">
        <f>+H363*$X$1</f>
        <v>2349.3999999999996</v>
      </c>
      <c r="J363" s="624">
        <f>F363+180</f>
        <v>2169.3999999999996</v>
      </c>
      <c r="K363" s="299">
        <f t="shared" ref="K363" si="600">+J363*$X$1</f>
        <v>2169.3999999999996</v>
      </c>
      <c r="L363" s="624">
        <f t="shared" si="589"/>
        <v>2109.3999999999996</v>
      </c>
      <c r="M363" s="299">
        <f t="shared" ref="M363" si="601">+L363*$X$1</f>
        <v>2109.3999999999996</v>
      </c>
      <c r="N363" s="624">
        <f>F363+61</f>
        <v>2050.3999999999996</v>
      </c>
      <c r="O363" s="299">
        <f t="shared" ref="O363" si="602">+N363*$X$1</f>
        <v>2050.3999999999996</v>
      </c>
      <c r="P363" s="624">
        <f>F363+54</f>
        <v>2043.3999999999999</v>
      </c>
      <c r="Q363" s="299">
        <f t="shared" ref="Q363" si="603">+P363*$X$1</f>
        <v>2043.3999999999999</v>
      </c>
      <c r="R363" s="624">
        <f>F363+47</f>
        <v>2036.3999999999999</v>
      </c>
      <c r="S363" s="299">
        <f t="shared" ref="S363" si="604">+R363*$X$1</f>
        <v>2036.3999999999999</v>
      </c>
      <c r="T363" s="624">
        <f>F363+38</f>
        <v>2027.3999999999999</v>
      </c>
      <c r="U363" s="299">
        <f t="shared" ref="U363" si="605">+T363*$X$1</f>
        <v>2027.3999999999999</v>
      </c>
      <c r="V363" s="624">
        <f>F363+33</f>
        <v>2022.3999999999999</v>
      </c>
      <c r="W363" s="299">
        <f t="shared" ref="W363" si="606">+V363*$X$1</f>
        <v>2022.3999999999999</v>
      </c>
      <c r="X363" s="697"/>
      <c r="Y363" s="743"/>
      <c r="Z363" s="743"/>
      <c r="AA363" s="698"/>
      <c r="AB363" s="436">
        <v>2268</v>
      </c>
      <c r="AC363" s="66"/>
    </row>
    <row r="364" spans="1:29" ht="12.6" customHeight="1" x14ac:dyDescent="0.2">
      <c r="A364" s="18"/>
      <c r="B364" s="691" t="s">
        <v>253</v>
      </c>
      <c r="C364" s="1153"/>
      <c r="D364" s="1153"/>
      <c r="E364" s="1153"/>
      <c r="F364" s="408">
        <f>0.44*X2</f>
        <v>446.6</v>
      </c>
      <c r="G364" s="300">
        <f t="shared" si="599"/>
        <v>446.6</v>
      </c>
      <c r="H364" s="290"/>
      <c r="I364" s="290"/>
      <c r="J364" s="514"/>
      <c r="K364" s="514"/>
      <c r="L364" s="514">
        <f t="shared" si="589"/>
        <v>566.6</v>
      </c>
      <c r="M364" s="300">
        <f>+L364*$X$1</f>
        <v>566.6</v>
      </c>
      <c r="N364" s="514">
        <f>F364+60</f>
        <v>506.6</v>
      </c>
      <c r="O364" s="300">
        <f>+N364*$X$1</f>
        <v>506.6</v>
      </c>
      <c r="P364" s="514">
        <f>F364+50</f>
        <v>496.6</v>
      </c>
      <c r="Q364" s="300">
        <f>+P364*$X$1</f>
        <v>496.6</v>
      </c>
      <c r="R364" s="514">
        <f>F364+42</f>
        <v>488.6</v>
      </c>
      <c r="S364" s="300">
        <f>+R364*$X$1</f>
        <v>488.6</v>
      </c>
      <c r="T364" s="103">
        <f>F364+34</f>
        <v>480.6</v>
      </c>
      <c r="U364" s="321">
        <f>+T364*$X$1</f>
        <v>480.6</v>
      </c>
      <c r="V364" s="103">
        <f>F364+29</f>
        <v>475.6</v>
      </c>
      <c r="W364" s="321">
        <f>+V364*$X$1</f>
        <v>475.6</v>
      </c>
      <c r="X364" s="182"/>
      <c r="Y364" s="184"/>
      <c r="Z364" s="184"/>
      <c r="AA364" s="182"/>
      <c r="AB364" s="436">
        <v>2270</v>
      </c>
      <c r="AC364" s="66"/>
    </row>
    <row r="365" spans="1:29" ht="12.6" customHeight="1" x14ac:dyDescent="0.2">
      <c r="A365" s="18"/>
      <c r="B365" s="951" t="s">
        <v>918</v>
      </c>
      <c r="C365" s="952"/>
      <c r="D365" s="952"/>
      <c r="E365" s="952"/>
      <c r="F365" s="407">
        <f>0.63*X2</f>
        <v>639.45000000000005</v>
      </c>
      <c r="G365" s="299">
        <f t="shared" si="599"/>
        <v>639.45000000000005</v>
      </c>
      <c r="H365" s="598"/>
      <c r="I365" s="299"/>
      <c r="J365" s="624"/>
      <c r="K365" s="299"/>
      <c r="L365" s="624">
        <f t="shared" si="589"/>
        <v>759.45</v>
      </c>
      <c r="M365" s="299">
        <f>+L365*$X$1</f>
        <v>759.45</v>
      </c>
      <c r="N365" s="624">
        <f>F365+60</f>
        <v>699.45</v>
      </c>
      <c r="O365" s="299">
        <f>+N365*$X$1</f>
        <v>699.45</v>
      </c>
      <c r="P365" s="624">
        <f>F365+50</f>
        <v>689.45</v>
      </c>
      <c r="Q365" s="299">
        <f>+P365*$X$1</f>
        <v>689.45</v>
      </c>
      <c r="R365" s="624">
        <f>F365+42</f>
        <v>681.45</v>
      </c>
      <c r="S365" s="299">
        <f>+R365*$X$1</f>
        <v>681.45</v>
      </c>
      <c r="T365" s="104">
        <f>F365+34</f>
        <v>673.45</v>
      </c>
      <c r="U365" s="264">
        <f>+T365*$X$1</f>
        <v>673.45</v>
      </c>
      <c r="V365" s="104">
        <f>F365+29</f>
        <v>668.45</v>
      </c>
      <c r="W365" s="264">
        <f>+V365*$X$1</f>
        <v>668.45</v>
      </c>
      <c r="X365" s="697"/>
      <c r="Y365" s="743"/>
      <c r="Z365" s="743"/>
      <c r="AA365" s="698"/>
      <c r="AB365" s="436">
        <v>2272</v>
      </c>
      <c r="AC365" s="66"/>
    </row>
    <row r="366" spans="1:29" ht="12.6" customHeight="1" x14ac:dyDescent="0.2">
      <c r="A366" s="18"/>
      <c r="B366" s="691" t="s">
        <v>254</v>
      </c>
      <c r="C366" s="692"/>
      <c r="D366" s="692"/>
      <c r="E366" s="692"/>
      <c r="F366" s="408">
        <f>0.59*X2</f>
        <v>598.85</v>
      </c>
      <c r="G366" s="300">
        <f>+F366*$X$1</f>
        <v>598.85</v>
      </c>
      <c r="H366" s="290"/>
      <c r="I366" s="290"/>
      <c r="J366" s="514"/>
      <c r="K366" s="514"/>
      <c r="L366" s="514">
        <f t="shared" si="589"/>
        <v>718.85</v>
      </c>
      <c r="M366" s="300">
        <f>+L366*$X$1</f>
        <v>718.85</v>
      </c>
      <c r="N366" s="514">
        <f>F366+60</f>
        <v>658.85</v>
      </c>
      <c r="O366" s="300">
        <f>+N366*$X$1</f>
        <v>658.85</v>
      </c>
      <c r="P366" s="514">
        <f>F366+50</f>
        <v>648.85</v>
      </c>
      <c r="Q366" s="300">
        <f>+P366*$X$1</f>
        <v>648.85</v>
      </c>
      <c r="R366" s="514">
        <f>F366+42</f>
        <v>640.85</v>
      </c>
      <c r="S366" s="300">
        <f>+R366*$X$1</f>
        <v>640.85</v>
      </c>
      <c r="T366" s="103">
        <f>F366+34</f>
        <v>632.85</v>
      </c>
      <c r="U366" s="321">
        <f>+T366*$X$1</f>
        <v>632.85</v>
      </c>
      <c r="V366" s="103">
        <f>F366+29</f>
        <v>627.85</v>
      </c>
      <c r="W366" s="321">
        <f>+V366*$X$1</f>
        <v>627.85</v>
      </c>
      <c r="X366" s="182"/>
      <c r="Y366" s="184"/>
      <c r="Z366" s="184"/>
      <c r="AA366" s="182"/>
      <c r="AB366" s="436">
        <v>2275</v>
      </c>
      <c r="AC366" s="66"/>
    </row>
    <row r="367" spans="1:29" ht="12.6" customHeight="1" x14ac:dyDescent="0.2">
      <c r="A367" s="18"/>
      <c r="B367" s="967" t="s">
        <v>640</v>
      </c>
      <c r="C367" s="968"/>
      <c r="D367" s="968"/>
      <c r="E367" s="968"/>
      <c r="F367" s="407">
        <f>0.6*X2</f>
        <v>609</v>
      </c>
      <c r="G367" s="299">
        <f t="shared" ref="G367:G368" si="607">+F367*$X$1</f>
        <v>609</v>
      </c>
      <c r="H367" s="291"/>
      <c r="I367" s="291"/>
      <c r="J367" s="624"/>
      <c r="K367" s="624"/>
      <c r="L367" s="624">
        <f t="shared" ref="L367:L384" si="608">F367+120</f>
        <v>729</v>
      </c>
      <c r="M367" s="299">
        <f t="shared" ref="M367:M394" si="609">+L367*$X$1</f>
        <v>729</v>
      </c>
      <c r="N367" s="624">
        <f t="shared" ref="N367:N383" si="610">F367+60</f>
        <v>669</v>
      </c>
      <c r="O367" s="299">
        <f t="shared" ref="O367:O394" si="611">+N367*$X$1</f>
        <v>669</v>
      </c>
      <c r="P367" s="624">
        <f t="shared" ref="P367:P383" si="612">F367+50</f>
        <v>659</v>
      </c>
      <c r="Q367" s="299">
        <f t="shared" ref="Q367:Q394" si="613">+P367*$X$1</f>
        <v>659</v>
      </c>
      <c r="R367" s="624">
        <f t="shared" ref="R367:R383" si="614">F367+42</f>
        <v>651</v>
      </c>
      <c r="S367" s="299">
        <f t="shared" ref="S367:S394" si="615">+R367*$X$1</f>
        <v>651</v>
      </c>
      <c r="T367" s="104">
        <f t="shared" ref="T367:T383" si="616">F367+34</f>
        <v>643</v>
      </c>
      <c r="U367" s="264">
        <f t="shared" ref="U367:U394" si="617">+T367*$X$1</f>
        <v>643</v>
      </c>
      <c r="V367" s="104">
        <f t="shared" ref="V367:V383" si="618">F367+29</f>
        <v>638</v>
      </c>
      <c r="W367" s="264">
        <f t="shared" ref="W367:W394" si="619">+V367*$X$1</f>
        <v>638</v>
      </c>
      <c r="X367" s="233"/>
      <c r="Y367" s="234"/>
      <c r="Z367" s="234"/>
      <c r="AA367" s="233"/>
      <c r="AB367" s="436">
        <v>2279</v>
      </c>
      <c r="AC367" s="66"/>
    </row>
    <row r="368" spans="1:29" ht="12.6" customHeight="1" x14ac:dyDescent="0.2">
      <c r="A368" s="18"/>
      <c r="B368" s="691" t="s">
        <v>255</v>
      </c>
      <c r="C368" s="692"/>
      <c r="D368" s="692"/>
      <c r="E368" s="692"/>
      <c r="F368" s="408">
        <f>0.484*X2</f>
        <v>491.26</v>
      </c>
      <c r="G368" s="300">
        <f t="shared" si="607"/>
        <v>491.26</v>
      </c>
      <c r="H368" s="290"/>
      <c r="I368" s="290"/>
      <c r="J368" s="514"/>
      <c r="K368" s="514"/>
      <c r="L368" s="514">
        <f t="shared" si="608"/>
        <v>611.26</v>
      </c>
      <c r="M368" s="300">
        <f t="shared" si="609"/>
        <v>611.26</v>
      </c>
      <c r="N368" s="514">
        <f t="shared" si="610"/>
        <v>551.26</v>
      </c>
      <c r="O368" s="300">
        <f t="shared" si="611"/>
        <v>551.26</v>
      </c>
      <c r="P368" s="514">
        <f t="shared" si="612"/>
        <v>541.26</v>
      </c>
      <c r="Q368" s="300">
        <f t="shared" si="613"/>
        <v>541.26</v>
      </c>
      <c r="R368" s="514">
        <f t="shared" si="614"/>
        <v>533.26</v>
      </c>
      <c r="S368" s="300">
        <f t="shared" si="615"/>
        <v>533.26</v>
      </c>
      <c r="T368" s="103">
        <f t="shared" si="616"/>
        <v>525.26</v>
      </c>
      <c r="U368" s="321">
        <f t="shared" si="617"/>
        <v>525.26</v>
      </c>
      <c r="V368" s="103">
        <f t="shared" si="618"/>
        <v>520.26</v>
      </c>
      <c r="W368" s="321">
        <f t="shared" si="619"/>
        <v>520.26</v>
      </c>
      <c r="X368" s="182"/>
      <c r="Y368" s="184"/>
      <c r="Z368" s="184"/>
      <c r="AA368" s="182"/>
      <c r="AB368" s="436">
        <v>2280</v>
      </c>
      <c r="AC368" s="66"/>
    </row>
    <row r="369" spans="1:29" ht="12.6" customHeight="1" x14ac:dyDescent="0.2">
      <c r="A369" s="18"/>
      <c r="B369" s="967" t="s">
        <v>503</v>
      </c>
      <c r="C369" s="968"/>
      <c r="D369" s="968"/>
      <c r="E369" s="968"/>
      <c r="F369" s="407">
        <f>0.42*X2</f>
        <v>426.3</v>
      </c>
      <c r="G369" s="299">
        <f t="shared" ref="G369:G373" si="620">+F369*$X$1</f>
        <v>426.3</v>
      </c>
      <c r="H369" s="291"/>
      <c r="I369" s="291"/>
      <c r="J369" s="624"/>
      <c r="K369" s="624"/>
      <c r="L369" s="624">
        <f t="shared" si="608"/>
        <v>546.29999999999995</v>
      </c>
      <c r="M369" s="299">
        <f t="shared" si="609"/>
        <v>546.29999999999995</v>
      </c>
      <c r="N369" s="624">
        <f t="shared" si="610"/>
        <v>486.3</v>
      </c>
      <c r="O369" s="299">
        <f t="shared" si="611"/>
        <v>486.3</v>
      </c>
      <c r="P369" s="624">
        <f t="shared" si="612"/>
        <v>476.3</v>
      </c>
      <c r="Q369" s="299">
        <f t="shared" si="613"/>
        <v>476.3</v>
      </c>
      <c r="R369" s="624">
        <f t="shared" si="614"/>
        <v>468.3</v>
      </c>
      <c r="S369" s="299">
        <f t="shared" si="615"/>
        <v>468.3</v>
      </c>
      <c r="T369" s="104">
        <f t="shared" si="616"/>
        <v>460.3</v>
      </c>
      <c r="U369" s="264">
        <f t="shared" si="617"/>
        <v>460.3</v>
      </c>
      <c r="V369" s="104">
        <f t="shared" si="618"/>
        <v>455.3</v>
      </c>
      <c r="W369" s="264">
        <f t="shared" si="619"/>
        <v>455.3</v>
      </c>
      <c r="X369" s="182"/>
      <c r="Y369" s="184"/>
      <c r="Z369" s="184"/>
      <c r="AA369" s="182"/>
      <c r="AB369" s="436">
        <v>2281</v>
      </c>
      <c r="AC369" s="66"/>
    </row>
    <row r="370" spans="1:29" ht="12.6" customHeight="1" x14ac:dyDescent="0.2">
      <c r="A370" s="18"/>
      <c r="B370" s="724" t="s">
        <v>917</v>
      </c>
      <c r="C370" s="725"/>
      <c r="D370" s="725"/>
      <c r="E370" s="726"/>
      <c r="F370" s="412">
        <f>0.61*X2</f>
        <v>619.15</v>
      </c>
      <c r="G370" s="300">
        <f t="shared" ref="G370" si="621">+F370*$X$1</f>
        <v>619.15</v>
      </c>
      <c r="H370" s="290"/>
      <c r="I370" s="365"/>
      <c r="J370" s="514"/>
      <c r="K370" s="300"/>
      <c r="L370" s="514">
        <f t="shared" si="608"/>
        <v>739.15</v>
      </c>
      <c r="M370" s="300">
        <f t="shared" si="609"/>
        <v>739.15</v>
      </c>
      <c r="N370" s="514">
        <f t="shared" si="610"/>
        <v>679.15</v>
      </c>
      <c r="O370" s="300">
        <f t="shared" si="611"/>
        <v>679.15</v>
      </c>
      <c r="P370" s="514">
        <f t="shared" si="612"/>
        <v>669.15</v>
      </c>
      <c r="Q370" s="300">
        <f t="shared" si="613"/>
        <v>669.15</v>
      </c>
      <c r="R370" s="514">
        <f t="shared" si="614"/>
        <v>661.15</v>
      </c>
      <c r="S370" s="300">
        <f t="shared" si="615"/>
        <v>661.15</v>
      </c>
      <c r="T370" s="103">
        <f t="shared" si="616"/>
        <v>653.15</v>
      </c>
      <c r="U370" s="321">
        <f t="shared" si="617"/>
        <v>653.15</v>
      </c>
      <c r="V370" s="103">
        <f t="shared" si="618"/>
        <v>648.15</v>
      </c>
      <c r="W370" s="321">
        <f t="shared" si="619"/>
        <v>648.15</v>
      </c>
      <c r="X370" s="135"/>
      <c r="Y370" s="135"/>
      <c r="Z370" s="135"/>
      <c r="AA370" s="135"/>
      <c r="AB370" s="436">
        <v>2282</v>
      </c>
    </row>
    <row r="371" spans="1:29" ht="12.6" customHeight="1" x14ac:dyDescent="0.2">
      <c r="A371" s="18"/>
      <c r="B371" s="724" t="s">
        <v>916</v>
      </c>
      <c r="C371" s="725"/>
      <c r="D371" s="725"/>
      <c r="E371" s="726"/>
      <c r="F371" s="413">
        <f>0.57*X2</f>
        <v>578.54999999999995</v>
      </c>
      <c r="G371" s="299">
        <f t="shared" si="620"/>
        <v>578.54999999999995</v>
      </c>
      <c r="H371" s="291"/>
      <c r="I371" s="364"/>
      <c r="J371" s="624"/>
      <c r="K371" s="299"/>
      <c r="L371" s="624">
        <f t="shared" si="608"/>
        <v>698.55</v>
      </c>
      <c r="M371" s="299">
        <f t="shared" si="609"/>
        <v>698.55</v>
      </c>
      <c r="N371" s="624">
        <f t="shared" si="610"/>
        <v>638.54999999999995</v>
      </c>
      <c r="O371" s="299">
        <f t="shared" si="611"/>
        <v>638.54999999999995</v>
      </c>
      <c r="P371" s="624">
        <f t="shared" si="612"/>
        <v>628.54999999999995</v>
      </c>
      <c r="Q371" s="299">
        <f t="shared" si="613"/>
        <v>628.54999999999995</v>
      </c>
      <c r="R371" s="624">
        <f t="shared" si="614"/>
        <v>620.54999999999995</v>
      </c>
      <c r="S371" s="299">
        <f t="shared" si="615"/>
        <v>620.54999999999995</v>
      </c>
      <c r="T371" s="104">
        <f t="shared" si="616"/>
        <v>612.54999999999995</v>
      </c>
      <c r="U371" s="264">
        <f t="shared" si="617"/>
        <v>612.54999999999995</v>
      </c>
      <c r="V371" s="104">
        <f t="shared" si="618"/>
        <v>607.54999999999995</v>
      </c>
      <c r="W371" s="264">
        <f t="shared" si="619"/>
        <v>607.54999999999995</v>
      </c>
      <c r="X371" s="135"/>
      <c r="Y371" s="135"/>
      <c r="Z371" s="135"/>
      <c r="AA371" s="135"/>
      <c r="AB371" s="436">
        <v>2283</v>
      </c>
    </row>
    <row r="372" spans="1:29" ht="12.6" customHeight="1" x14ac:dyDescent="0.2">
      <c r="A372" s="18"/>
      <c r="B372" s="691" t="s">
        <v>352</v>
      </c>
      <c r="C372" s="692"/>
      <c r="D372" s="692"/>
      <c r="E372" s="692"/>
      <c r="F372" s="408">
        <f>0.64*X2</f>
        <v>649.6</v>
      </c>
      <c r="G372" s="300">
        <f t="shared" si="620"/>
        <v>649.6</v>
      </c>
      <c r="H372" s="290"/>
      <c r="I372" s="290"/>
      <c r="J372" s="514"/>
      <c r="K372" s="514"/>
      <c r="L372" s="514">
        <f t="shared" si="608"/>
        <v>769.6</v>
      </c>
      <c r="M372" s="300">
        <f t="shared" si="609"/>
        <v>769.6</v>
      </c>
      <c r="N372" s="514">
        <f t="shared" si="610"/>
        <v>709.6</v>
      </c>
      <c r="O372" s="300">
        <f t="shared" si="611"/>
        <v>709.6</v>
      </c>
      <c r="P372" s="514">
        <f t="shared" si="612"/>
        <v>699.6</v>
      </c>
      <c r="Q372" s="300">
        <f t="shared" si="613"/>
        <v>699.6</v>
      </c>
      <c r="R372" s="514">
        <f t="shared" si="614"/>
        <v>691.6</v>
      </c>
      <c r="S372" s="300">
        <f t="shared" si="615"/>
        <v>691.6</v>
      </c>
      <c r="T372" s="103">
        <f t="shared" si="616"/>
        <v>683.6</v>
      </c>
      <c r="U372" s="321">
        <f t="shared" si="617"/>
        <v>683.6</v>
      </c>
      <c r="V372" s="103">
        <f t="shared" si="618"/>
        <v>678.6</v>
      </c>
      <c r="W372" s="321">
        <f t="shared" si="619"/>
        <v>678.6</v>
      </c>
      <c r="X372" s="195"/>
      <c r="Y372" s="194"/>
      <c r="Z372" s="194"/>
      <c r="AA372" s="195"/>
      <c r="AB372" s="436">
        <v>2285</v>
      </c>
      <c r="AC372" s="66"/>
    </row>
    <row r="373" spans="1:29" ht="12.6" customHeight="1" x14ac:dyDescent="0.2">
      <c r="A373" s="18"/>
      <c r="B373" s="967" t="s">
        <v>353</v>
      </c>
      <c r="C373" s="968"/>
      <c r="D373" s="968"/>
      <c r="E373" s="968"/>
      <c r="F373" s="407">
        <f>0.356*X2</f>
        <v>361.34</v>
      </c>
      <c r="G373" s="299">
        <f t="shared" si="620"/>
        <v>361.34</v>
      </c>
      <c r="H373" s="291"/>
      <c r="I373" s="291"/>
      <c r="J373" s="624"/>
      <c r="K373" s="624"/>
      <c r="L373" s="624">
        <f t="shared" si="608"/>
        <v>481.34</v>
      </c>
      <c r="M373" s="299">
        <f t="shared" si="609"/>
        <v>481.34</v>
      </c>
      <c r="N373" s="624">
        <f t="shared" si="610"/>
        <v>421.34</v>
      </c>
      <c r="O373" s="299">
        <f t="shared" si="611"/>
        <v>421.34</v>
      </c>
      <c r="P373" s="624">
        <f t="shared" si="612"/>
        <v>411.34</v>
      </c>
      <c r="Q373" s="299">
        <f t="shared" si="613"/>
        <v>411.34</v>
      </c>
      <c r="R373" s="624">
        <f t="shared" si="614"/>
        <v>403.34</v>
      </c>
      <c r="S373" s="299">
        <f t="shared" si="615"/>
        <v>403.34</v>
      </c>
      <c r="T373" s="104">
        <f t="shared" si="616"/>
        <v>395.34</v>
      </c>
      <c r="U373" s="264">
        <f t="shared" si="617"/>
        <v>395.34</v>
      </c>
      <c r="V373" s="104">
        <f t="shared" si="618"/>
        <v>390.34</v>
      </c>
      <c r="W373" s="264">
        <f t="shared" si="619"/>
        <v>390.34</v>
      </c>
      <c r="X373" s="196"/>
      <c r="Y373" s="197"/>
      <c r="Z373" s="197"/>
      <c r="AA373" s="196"/>
      <c r="AB373" s="436">
        <v>2286</v>
      </c>
      <c r="AC373" s="66"/>
    </row>
    <row r="374" spans="1:29" ht="12.6" customHeight="1" x14ac:dyDescent="0.2">
      <c r="A374" s="18"/>
      <c r="B374" s="1185" t="s">
        <v>391</v>
      </c>
      <c r="C374" s="1186"/>
      <c r="D374" s="1186"/>
      <c r="E374" s="1186"/>
      <c r="F374" s="412">
        <f>0.51*X2</f>
        <v>517.65</v>
      </c>
      <c r="G374" s="336">
        <f t="shared" ref="G374:G376" si="622">+F374*$X$1</f>
        <v>517.65</v>
      </c>
      <c r="H374" s="314"/>
      <c r="I374" s="314"/>
      <c r="J374" s="103"/>
      <c r="K374" s="103"/>
      <c r="L374" s="514">
        <f t="shared" si="608"/>
        <v>637.65</v>
      </c>
      <c r="M374" s="300">
        <f t="shared" si="609"/>
        <v>637.65</v>
      </c>
      <c r="N374" s="514">
        <f t="shared" si="610"/>
        <v>577.65</v>
      </c>
      <c r="O374" s="300">
        <f t="shared" si="611"/>
        <v>577.65</v>
      </c>
      <c r="P374" s="514">
        <f t="shared" si="612"/>
        <v>567.65</v>
      </c>
      <c r="Q374" s="300">
        <f t="shared" si="613"/>
        <v>567.65</v>
      </c>
      <c r="R374" s="514">
        <f t="shared" si="614"/>
        <v>559.65</v>
      </c>
      <c r="S374" s="300">
        <f t="shared" si="615"/>
        <v>559.65</v>
      </c>
      <c r="T374" s="103">
        <f t="shared" si="616"/>
        <v>551.65</v>
      </c>
      <c r="U374" s="321">
        <f t="shared" si="617"/>
        <v>551.65</v>
      </c>
      <c r="V374" s="103">
        <f t="shared" si="618"/>
        <v>546.65</v>
      </c>
      <c r="W374" s="321">
        <f t="shared" si="619"/>
        <v>546.65</v>
      </c>
      <c r="X374" s="228"/>
      <c r="Y374" s="227"/>
      <c r="Z374" s="227"/>
      <c r="AA374" s="228"/>
      <c r="AB374" s="436">
        <v>2287</v>
      </c>
      <c r="AC374" s="66"/>
    </row>
    <row r="375" spans="1:29" ht="12.6" customHeight="1" x14ac:dyDescent="0.2">
      <c r="A375" s="18"/>
      <c r="B375" s="1182" t="s">
        <v>402</v>
      </c>
      <c r="C375" s="1183"/>
      <c r="D375" s="1183"/>
      <c r="E375" s="1184"/>
      <c r="F375" s="407">
        <f>1.01*X2</f>
        <v>1025.1500000000001</v>
      </c>
      <c r="G375" s="299">
        <f t="shared" si="622"/>
        <v>1025.1500000000001</v>
      </c>
      <c r="H375" s="291"/>
      <c r="I375" s="291"/>
      <c r="J375" s="624"/>
      <c r="K375" s="624"/>
      <c r="L375" s="624">
        <f t="shared" si="608"/>
        <v>1145.1500000000001</v>
      </c>
      <c r="M375" s="299">
        <f t="shared" si="609"/>
        <v>1145.1500000000001</v>
      </c>
      <c r="N375" s="624">
        <f t="shared" si="610"/>
        <v>1085.1500000000001</v>
      </c>
      <c r="O375" s="299">
        <f t="shared" si="611"/>
        <v>1085.1500000000001</v>
      </c>
      <c r="P375" s="624">
        <f t="shared" si="612"/>
        <v>1075.1500000000001</v>
      </c>
      <c r="Q375" s="299">
        <f t="shared" si="613"/>
        <v>1075.1500000000001</v>
      </c>
      <c r="R375" s="624">
        <f t="shared" si="614"/>
        <v>1067.1500000000001</v>
      </c>
      <c r="S375" s="299">
        <f t="shared" si="615"/>
        <v>1067.1500000000001</v>
      </c>
      <c r="T375" s="104">
        <f t="shared" si="616"/>
        <v>1059.1500000000001</v>
      </c>
      <c r="U375" s="264">
        <f t="shared" si="617"/>
        <v>1059.1500000000001</v>
      </c>
      <c r="V375" s="104">
        <f t="shared" si="618"/>
        <v>1054.1500000000001</v>
      </c>
      <c r="W375" s="264">
        <f t="shared" si="619"/>
        <v>1054.1500000000001</v>
      </c>
      <c r="X375" s="229"/>
      <c r="Y375" s="230"/>
      <c r="Z375" s="230"/>
      <c r="AA375" s="229"/>
      <c r="AB375" s="436">
        <v>2289</v>
      </c>
      <c r="AC375" s="66"/>
    </row>
    <row r="376" spans="1:29" ht="12.6" customHeight="1" x14ac:dyDescent="0.2">
      <c r="A376" s="18"/>
      <c r="B376" s="700" t="s">
        <v>723</v>
      </c>
      <c r="C376" s="701"/>
      <c r="D376" s="701"/>
      <c r="E376" s="702"/>
      <c r="F376" s="412">
        <f>0.73*X2</f>
        <v>740.94999999999993</v>
      </c>
      <c r="G376" s="300">
        <f t="shared" si="622"/>
        <v>740.94999999999993</v>
      </c>
      <c r="H376" s="290"/>
      <c r="I376" s="290"/>
      <c r="J376" s="514"/>
      <c r="K376" s="514"/>
      <c r="L376" s="514">
        <f t="shared" si="608"/>
        <v>860.94999999999993</v>
      </c>
      <c r="M376" s="300">
        <f t="shared" si="609"/>
        <v>860.94999999999993</v>
      </c>
      <c r="N376" s="514">
        <f t="shared" si="610"/>
        <v>800.94999999999993</v>
      </c>
      <c r="O376" s="300">
        <f t="shared" si="611"/>
        <v>800.94999999999993</v>
      </c>
      <c r="P376" s="514">
        <f t="shared" si="612"/>
        <v>790.94999999999993</v>
      </c>
      <c r="Q376" s="300">
        <f t="shared" si="613"/>
        <v>790.94999999999993</v>
      </c>
      <c r="R376" s="514">
        <f t="shared" si="614"/>
        <v>782.94999999999993</v>
      </c>
      <c r="S376" s="300">
        <f t="shared" si="615"/>
        <v>782.94999999999993</v>
      </c>
      <c r="T376" s="103">
        <f t="shared" si="616"/>
        <v>774.94999999999993</v>
      </c>
      <c r="U376" s="321">
        <f t="shared" si="617"/>
        <v>774.94999999999993</v>
      </c>
      <c r="V376" s="103">
        <f t="shared" si="618"/>
        <v>769.94999999999993</v>
      </c>
      <c r="W376" s="321">
        <f t="shared" si="619"/>
        <v>769.94999999999993</v>
      </c>
      <c r="X376" s="483"/>
      <c r="Y376" s="484"/>
      <c r="Z376" s="484"/>
      <c r="AA376" s="483"/>
      <c r="AB376" s="436">
        <v>2290</v>
      </c>
      <c r="AC376" s="66"/>
    </row>
    <row r="377" spans="1:29" ht="12.6" customHeight="1" x14ac:dyDescent="0.2">
      <c r="A377" s="18"/>
      <c r="B377" s="1084" t="s">
        <v>502</v>
      </c>
      <c r="C377" s="1085"/>
      <c r="D377" s="1085"/>
      <c r="E377" s="1086"/>
      <c r="F377" s="413">
        <f>0.549*X2</f>
        <v>557.23500000000001</v>
      </c>
      <c r="G377" s="299">
        <f t="shared" ref="G377" si="623">+F377*$X$1</f>
        <v>557.23500000000001</v>
      </c>
      <c r="H377" s="291"/>
      <c r="I377" s="291"/>
      <c r="J377" s="624"/>
      <c r="K377" s="624"/>
      <c r="L377" s="624">
        <f t="shared" si="608"/>
        <v>677.23500000000001</v>
      </c>
      <c r="M377" s="299">
        <f t="shared" si="609"/>
        <v>677.23500000000001</v>
      </c>
      <c r="N377" s="624">
        <f t="shared" si="610"/>
        <v>617.23500000000001</v>
      </c>
      <c r="O377" s="299">
        <f t="shared" si="611"/>
        <v>617.23500000000001</v>
      </c>
      <c r="P377" s="624">
        <f t="shared" si="612"/>
        <v>607.23500000000001</v>
      </c>
      <c r="Q377" s="299">
        <f t="shared" si="613"/>
        <v>607.23500000000001</v>
      </c>
      <c r="R377" s="624">
        <f t="shared" si="614"/>
        <v>599.23500000000001</v>
      </c>
      <c r="S377" s="299">
        <f t="shared" si="615"/>
        <v>599.23500000000001</v>
      </c>
      <c r="T377" s="104">
        <f t="shared" si="616"/>
        <v>591.23500000000001</v>
      </c>
      <c r="U377" s="264">
        <f t="shared" si="617"/>
        <v>591.23500000000001</v>
      </c>
      <c r="V377" s="104">
        <f t="shared" si="618"/>
        <v>586.23500000000001</v>
      </c>
      <c r="W377" s="264">
        <f t="shared" si="619"/>
        <v>586.23500000000001</v>
      </c>
      <c r="X377" s="257"/>
      <c r="Y377" s="261"/>
      <c r="Z377" s="261"/>
      <c r="AA377" s="257"/>
      <c r="AB377" s="436">
        <v>2291</v>
      </c>
      <c r="AC377" s="66"/>
    </row>
    <row r="378" spans="1:29" ht="12.6" customHeight="1" x14ac:dyDescent="0.2">
      <c r="A378" s="18"/>
      <c r="B378" s="700" t="s">
        <v>641</v>
      </c>
      <c r="C378" s="701"/>
      <c r="D378" s="701"/>
      <c r="E378" s="702"/>
      <c r="F378" s="412">
        <f>0.4*X2</f>
        <v>406</v>
      </c>
      <c r="G378" s="300">
        <f t="shared" ref="G378" si="624">+F378*$X$1</f>
        <v>406</v>
      </c>
      <c r="H378" s="290"/>
      <c r="I378" s="290"/>
      <c r="J378" s="514"/>
      <c r="K378" s="514"/>
      <c r="L378" s="514">
        <f t="shared" si="608"/>
        <v>526</v>
      </c>
      <c r="M378" s="300">
        <f t="shared" si="609"/>
        <v>526</v>
      </c>
      <c r="N378" s="514">
        <f t="shared" si="610"/>
        <v>466</v>
      </c>
      <c r="O378" s="300">
        <f t="shared" si="611"/>
        <v>466</v>
      </c>
      <c r="P378" s="514">
        <f t="shared" si="612"/>
        <v>456</v>
      </c>
      <c r="Q378" s="300">
        <f t="shared" si="613"/>
        <v>456</v>
      </c>
      <c r="R378" s="514">
        <f t="shared" si="614"/>
        <v>448</v>
      </c>
      <c r="S378" s="300">
        <f t="shared" si="615"/>
        <v>448</v>
      </c>
      <c r="T378" s="103">
        <f t="shared" si="616"/>
        <v>440</v>
      </c>
      <c r="U378" s="321">
        <f t="shared" si="617"/>
        <v>440</v>
      </c>
      <c r="V378" s="103">
        <f t="shared" si="618"/>
        <v>435</v>
      </c>
      <c r="W378" s="321">
        <f t="shared" si="619"/>
        <v>435</v>
      </c>
      <c r="X378" s="262"/>
      <c r="Y378" s="263"/>
      <c r="Z378" s="263"/>
      <c r="AA378" s="262"/>
      <c r="AB378" s="436">
        <v>2292</v>
      </c>
      <c r="AC378" s="66"/>
    </row>
    <row r="379" spans="1:29" ht="12.6" customHeight="1" x14ac:dyDescent="0.2">
      <c r="A379" s="18"/>
      <c r="B379" s="1084" t="s">
        <v>520</v>
      </c>
      <c r="C379" s="1085"/>
      <c r="D379" s="1085"/>
      <c r="E379" s="1086"/>
      <c r="F379" s="413">
        <f>0.94*X2</f>
        <v>954.09999999999991</v>
      </c>
      <c r="G379" s="299">
        <f t="shared" ref="G379" si="625">+F379*$X$1</f>
        <v>954.09999999999991</v>
      </c>
      <c r="H379" s="291"/>
      <c r="I379" s="291"/>
      <c r="J379" s="624"/>
      <c r="K379" s="624"/>
      <c r="L379" s="624">
        <f t="shared" si="608"/>
        <v>1074.0999999999999</v>
      </c>
      <c r="M379" s="299">
        <f t="shared" si="609"/>
        <v>1074.0999999999999</v>
      </c>
      <c r="N379" s="624">
        <f t="shared" si="610"/>
        <v>1014.0999999999999</v>
      </c>
      <c r="O379" s="299">
        <f t="shared" si="611"/>
        <v>1014.0999999999999</v>
      </c>
      <c r="P379" s="624">
        <f t="shared" si="612"/>
        <v>1004.0999999999999</v>
      </c>
      <c r="Q379" s="299">
        <f t="shared" si="613"/>
        <v>1004.0999999999999</v>
      </c>
      <c r="R379" s="624">
        <f t="shared" si="614"/>
        <v>996.09999999999991</v>
      </c>
      <c r="S379" s="299">
        <f t="shared" si="615"/>
        <v>996.09999999999991</v>
      </c>
      <c r="T379" s="104">
        <f t="shared" si="616"/>
        <v>988.09999999999991</v>
      </c>
      <c r="U379" s="264">
        <f t="shared" si="617"/>
        <v>988.09999999999991</v>
      </c>
      <c r="V379" s="104">
        <f t="shared" si="618"/>
        <v>983.09999999999991</v>
      </c>
      <c r="W379" s="264">
        <f t="shared" si="619"/>
        <v>983.09999999999991</v>
      </c>
      <c r="X379" s="265"/>
      <c r="Y379" s="266"/>
      <c r="Z379" s="266"/>
      <c r="AA379" s="265"/>
      <c r="AB379" s="436">
        <v>2293</v>
      </c>
      <c r="AC379" s="66"/>
    </row>
    <row r="380" spans="1:29" ht="12.6" customHeight="1" x14ac:dyDescent="0.2">
      <c r="A380" s="18"/>
      <c r="B380" s="700" t="s">
        <v>580</v>
      </c>
      <c r="C380" s="701"/>
      <c r="D380" s="701"/>
      <c r="E380" s="702"/>
      <c r="F380" s="587">
        <v>380</v>
      </c>
      <c r="G380" s="300">
        <f t="shared" ref="G380" si="626">+F380*$X$1</f>
        <v>380</v>
      </c>
      <c r="H380" s="290"/>
      <c r="I380" s="290"/>
      <c r="J380" s="514"/>
      <c r="K380" s="514"/>
      <c r="L380" s="514">
        <f t="shared" si="608"/>
        <v>500</v>
      </c>
      <c r="M380" s="300">
        <f t="shared" si="609"/>
        <v>500</v>
      </c>
      <c r="N380" s="514">
        <f t="shared" si="610"/>
        <v>440</v>
      </c>
      <c r="O380" s="300">
        <f t="shared" si="611"/>
        <v>440</v>
      </c>
      <c r="P380" s="514">
        <f t="shared" si="612"/>
        <v>430</v>
      </c>
      <c r="Q380" s="300">
        <f t="shared" si="613"/>
        <v>430</v>
      </c>
      <c r="R380" s="514">
        <f t="shared" si="614"/>
        <v>422</v>
      </c>
      <c r="S380" s="300">
        <f t="shared" si="615"/>
        <v>422</v>
      </c>
      <c r="T380" s="103">
        <f t="shared" si="616"/>
        <v>414</v>
      </c>
      <c r="U380" s="321">
        <f t="shared" si="617"/>
        <v>414</v>
      </c>
      <c r="V380" s="103">
        <f t="shared" si="618"/>
        <v>409</v>
      </c>
      <c r="W380" s="321">
        <f t="shared" si="619"/>
        <v>409</v>
      </c>
      <c r="X380" s="345"/>
      <c r="Y380" s="346"/>
      <c r="Z380" s="346"/>
      <c r="AA380" s="345"/>
      <c r="AB380" s="436">
        <v>2294</v>
      </c>
      <c r="AC380" s="66"/>
    </row>
    <row r="381" spans="1:29" ht="12.6" customHeight="1" x14ac:dyDescent="0.2">
      <c r="A381" s="18"/>
      <c r="B381" s="1084" t="s">
        <v>459</v>
      </c>
      <c r="C381" s="1085"/>
      <c r="D381" s="1085"/>
      <c r="E381" s="1086"/>
      <c r="F381" s="413">
        <f>0.7*X2</f>
        <v>710.5</v>
      </c>
      <c r="G381" s="299">
        <f t="shared" ref="G381" si="627">+F381*$X$1</f>
        <v>710.5</v>
      </c>
      <c r="H381" s="291"/>
      <c r="I381" s="291"/>
      <c r="J381" s="624"/>
      <c r="K381" s="624"/>
      <c r="L381" s="624">
        <f t="shared" si="608"/>
        <v>830.5</v>
      </c>
      <c r="M381" s="299">
        <f t="shared" si="609"/>
        <v>830.5</v>
      </c>
      <c r="N381" s="624">
        <f t="shared" si="610"/>
        <v>770.5</v>
      </c>
      <c r="O381" s="299">
        <f t="shared" si="611"/>
        <v>770.5</v>
      </c>
      <c r="P381" s="624">
        <f t="shared" si="612"/>
        <v>760.5</v>
      </c>
      <c r="Q381" s="299">
        <f t="shared" si="613"/>
        <v>760.5</v>
      </c>
      <c r="R381" s="624">
        <f t="shared" si="614"/>
        <v>752.5</v>
      </c>
      <c r="S381" s="299">
        <f t="shared" si="615"/>
        <v>752.5</v>
      </c>
      <c r="T381" s="104">
        <f t="shared" si="616"/>
        <v>744.5</v>
      </c>
      <c r="U381" s="264">
        <f t="shared" si="617"/>
        <v>744.5</v>
      </c>
      <c r="V381" s="104">
        <f t="shared" si="618"/>
        <v>739.5</v>
      </c>
      <c r="W381" s="264">
        <f t="shared" si="619"/>
        <v>739.5</v>
      </c>
      <c r="X381" s="231"/>
      <c r="Y381" s="232"/>
      <c r="Z381" s="232"/>
      <c r="AA381" s="231"/>
      <c r="AB381" s="436">
        <v>2295</v>
      </c>
      <c r="AC381" s="66"/>
    </row>
    <row r="382" spans="1:29" ht="12.6" customHeight="1" x14ac:dyDescent="0.2">
      <c r="A382" s="18"/>
      <c r="B382" s="1150" t="s">
        <v>405</v>
      </c>
      <c r="C382" s="1151"/>
      <c r="D382" s="1151"/>
      <c r="E382" s="1152"/>
      <c r="F382" s="478">
        <f>0.46*X2</f>
        <v>466.90000000000003</v>
      </c>
      <c r="G382" s="357">
        <f t="shared" ref="G382" si="628">+F382*$X$1</f>
        <v>466.90000000000003</v>
      </c>
      <c r="H382" s="297"/>
      <c r="I382" s="297"/>
      <c r="J382" s="623"/>
      <c r="K382" s="623"/>
      <c r="L382" s="623">
        <f t="shared" si="608"/>
        <v>586.90000000000009</v>
      </c>
      <c r="M382" s="357">
        <f t="shared" si="609"/>
        <v>586.90000000000009</v>
      </c>
      <c r="N382" s="623">
        <f t="shared" si="610"/>
        <v>526.90000000000009</v>
      </c>
      <c r="O382" s="357">
        <f t="shared" si="611"/>
        <v>526.90000000000009</v>
      </c>
      <c r="P382" s="623">
        <f t="shared" si="612"/>
        <v>516.90000000000009</v>
      </c>
      <c r="Q382" s="357">
        <f t="shared" si="613"/>
        <v>516.90000000000009</v>
      </c>
      <c r="R382" s="623">
        <f t="shared" si="614"/>
        <v>508.90000000000003</v>
      </c>
      <c r="S382" s="357">
        <f t="shared" si="615"/>
        <v>508.90000000000003</v>
      </c>
      <c r="T382" s="116">
        <f t="shared" si="616"/>
        <v>500.90000000000003</v>
      </c>
      <c r="U382" s="405">
        <f t="shared" si="617"/>
        <v>500.90000000000003</v>
      </c>
      <c r="V382" s="116">
        <f t="shared" si="618"/>
        <v>495.90000000000003</v>
      </c>
      <c r="W382" s="405">
        <f t="shared" si="619"/>
        <v>495.90000000000003</v>
      </c>
      <c r="X382" s="231"/>
      <c r="Y382" s="232"/>
      <c r="Z382" s="232"/>
      <c r="AA382" s="231"/>
      <c r="AB382" s="436">
        <v>2296</v>
      </c>
      <c r="AC382" s="66"/>
    </row>
    <row r="383" spans="1:29" ht="12.6" customHeight="1" x14ac:dyDescent="0.2">
      <c r="A383" s="18"/>
      <c r="B383" s="1084" t="s">
        <v>562</v>
      </c>
      <c r="C383" s="1085"/>
      <c r="D383" s="1085"/>
      <c r="E383" s="1086"/>
      <c r="F383" s="413">
        <f>0.57*X2</f>
        <v>578.54999999999995</v>
      </c>
      <c r="G383" s="299">
        <f t="shared" ref="G383" si="629">+F383*$X$1</f>
        <v>578.54999999999995</v>
      </c>
      <c r="H383" s="291"/>
      <c r="I383" s="291"/>
      <c r="J383" s="624"/>
      <c r="K383" s="299"/>
      <c r="L383" s="624">
        <f t="shared" si="608"/>
        <v>698.55</v>
      </c>
      <c r="M383" s="299">
        <f t="shared" si="609"/>
        <v>698.55</v>
      </c>
      <c r="N383" s="624">
        <f t="shared" si="610"/>
        <v>638.54999999999995</v>
      </c>
      <c r="O383" s="299">
        <f t="shared" si="611"/>
        <v>638.54999999999995</v>
      </c>
      <c r="P383" s="624">
        <f t="shared" si="612"/>
        <v>628.54999999999995</v>
      </c>
      <c r="Q383" s="299">
        <f t="shared" si="613"/>
        <v>628.54999999999995</v>
      </c>
      <c r="R383" s="624">
        <f t="shared" si="614"/>
        <v>620.54999999999995</v>
      </c>
      <c r="S383" s="299">
        <f t="shared" si="615"/>
        <v>620.54999999999995</v>
      </c>
      <c r="T383" s="104">
        <f t="shared" si="616"/>
        <v>612.54999999999995</v>
      </c>
      <c r="U383" s="264">
        <f t="shared" si="617"/>
        <v>612.54999999999995</v>
      </c>
      <c r="V383" s="104">
        <f t="shared" si="618"/>
        <v>607.54999999999995</v>
      </c>
      <c r="W383" s="264">
        <f t="shared" si="619"/>
        <v>607.54999999999995</v>
      </c>
      <c r="X383" s="330"/>
      <c r="Y383" s="331"/>
      <c r="Z383" s="331"/>
      <c r="AA383" s="330"/>
      <c r="AB383" s="436">
        <v>2299</v>
      </c>
      <c r="AC383" s="66"/>
    </row>
    <row r="384" spans="1:29" ht="12.6" customHeight="1" x14ac:dyDescent="0.2">
      <c r="A384" s="18"/>
      <c r="B384" s="724" t="s">
        <v>928</v>
      </c>
      <c r="C384" s="741"/>
      <c r="D384" s="741"/>
      <c r="E384" s="742"/>
      <c r="F384" s="408">
        <f>1.98*X2</f>
        <v>2009.7</v>
      </c>
      <c r="G384" s="300">
        <f>+F384*$X$1</f>
        <v>2009.7</v>
      </c>
      <c r="H384" s="101">
        <f t="shared" ref="H384" si="630">F384+360</f>
        <v>2369.6999999999998</v>
      </c>
      <c r="I384" s="300">
        <f t="shared" ref="I384" si="631">+H384*$X$1</f>
        <v>2369.6999999999998</v>
      </c>
      <c r="J384" s="514">
        <f t="shared" ref="J384" si="632">F384+180</f>
        <v>2189.6999999999998</v>
      </c>
      <c r="K384" s="300">
        <f t="shared" ref="K384" si="633">+J384*$X$1</f>
        <v>2189.6999999999998</v>
      </c>
      <c r="L384" s="514">
        <f t="shared" si="608"/>
        <v>2129.6999999999998</v>
      </c>
      <c r="M384" s="300">
        <f t="shared" ref="M384" si="634">+L384*$X$1</f>
        <v>2129.6999999999998</v>
      </c>
      <c r="N384" s="514">
        <f t="shared" ref="N384" si="635">F384+61</f>
        <v>2070.6999999999998</v>
      </c>
      <c r="O384" s="300">
        <f t="shared" ref="O384" si="636">+N384*$X$1</f>
        <v>2070.6999999999998</v>
      </c>
      <c r="P384" s="514">
        <f t="shared" ref="P384" si="637">F384+54</f>
        <v>2063.6999999999998</v>
      </c>
      <c r="Q384" s="300">
        <f t="shared" ref="Q384" si="638">+P384*$X$1</f>
        <v>2063.6999999999998</v>
      </c>
      <c r="R384" s="514">
        <f t="shared" ref="R384" si="639">F384+47</f>
        <v>2056.6999999999998</v>
      </c>
      <c r="S384" s="300">
        <f t="shared" ref="S384" si="640">+R384*$X$1</f>
        <v>2056.6999999999998</v>
      </c>
      <c r="T384" s="514">
        <f t="shared" ref="T384" si="641">F384+38</f>
        <v>2047.7</v>
      </c>
      <c r="U384" s="300">
        <f t="shared" ref="U384" si="642">+T384*$X$1</f>
        <v>2047.7</v>
      </c>
      <c r="V384" s="514">
        <f t="shared" ref="V384" si="643">F384+33</f>
        <v>2042.7</v>
      </c>
      <c r="W384" s="300">
        <f t="shared" ref="W384" si="644">+V384*$X$1</f>
        <v>2042.7</v>
      </c>
      <c r="X384" s="711"/>
      <c r="Y384" s="743"/>
      <c r="Z384" s="743"/>
      <c r="AA384" s="698"/>
      <c r="AB384" s="436">
        <v>2310</v>
      </c>
      <c r="AC384" s="66"/>
    </row>
    <row r="385" spans="1:34" ht="12.6" customHeight="1" x14ac:dyDescent="0.2">
      <c r="A385" s="18"/>
      <c r="B385" s="967" t="s">
        <v>449</v>
      </c>
      <c r="C385" s="1178"/>
      <c r="D385" s="1178"/>
      <c r="E385" s="1178"/>
      <c r="F385" s="407">
        <f>1.35*X2</f>
        <v>1370.25</v>
      </c>
      <c r="G385" s="299">
        <f>+F385*$X$1</f>
        <v>1370.25</v>
      </c>
      <c r="H385" s="423">
        <f t="shared" ref="H385:H394" si="645">F385+360</f>
        <v>1730.25</v>
      </c>
      <c r="I385" s="299">
        <f t="shared" ref="I385:I394" si="646">+H385*$X$1</f>
        <v>1730.25</v>
      </c>
      <c r="J385" s="624">
        <f t="shared" ref="J385:J394" si="647">F385+180</f>
        <v>1550.25</v>
      </c>
      <c r="K385" s="299">
        <f t="shared" ref="K385:K394" si="648">+J385*$X$1</f>
        <v>1550.25</v>
      </c>
      <c r="L385" s="624">
        <f t="shared" ref="L385:L394" si="649">F385+120</f>
        <v>1490.25</v>
      </c>
      <c r="M385" s="299">
        <f t="shared" si="609"/>
        <v>1490.25</v>
      </c>
      <c r="N385" s="624">
        <f t="shared" ref="N385:N394" si="650">F385+61</f>
        <v>1431.25</v>
      </c>
      <c r="O385" s="299">
        <f t="shared" si="611"/>
        <v>1431.25</v>
      </c>
      <c r="P385" s="624">
        <f t="shared" ref="P385:P394" si="651">F385+54</f>
        <v>1424.25</v>
      </c>
      <c r="Q385" s="299">
        <f t="shared" si="613"/>
        <v>1424.25</v>
      </c>
      <c r="R385" s="624">
        <f t="shared" ref="R385:R394" si="652">F385+47</f>
        <v>1417.25</v>
      </c>
      <c r="S385" s="299">
        <f t="shared" si="615"/>
        <v>1417.25</v>
      </c>
      <c r="T385" s="624">
        <f t="shared" ref="T385:T394" si="653">F385+38</f>
        <v>1408.25</v>
      </c>
      <c r="U385" s="299">
        <f t="shared" si="617"/>
        <v>1408.25</v>
      </c>
      <c r="V385" s="624">
        <f t="shared" ref="V385:V394" si="654">F385+33</f>
        <v>1403.25</v>
      </c>
      <c r="W385" s="299">
        <f t="shared" si="619"/>
        <v>1403.25</v>
      </c>
      <c r="X385" s="711"/>
      <c r="Y385" s="743"/>
      <c r="Z385" s="743"/>
      <c r="AA385" s="698"/>
      <c r="AB385" s="436">
        <v>2322</v>
      </c>
      <c r="AC385" s="66"/>
    </row>
    <row r="386" spans="1:34" ht="12.6" customHeight="1" x14ac:dyDescent="0.2">
      <c r="A386" s="18"/>
      <c r="B386" s="691" t="s">
        <v>879</v>
      </c>
      <c r="C386" s="950"/>
      <c r="D386" s="950"/>
      <c r="E386" s="950"/>
      <c r="F386" s="408">
        <f>1.71*X2</f>
        <v>1735.6499999999999</v>
      </c>
      <c r="G386" s="300">
        <f>+F386*$X$1</f>
        <v>1735.6499999999999</v>
      </c>
      <c r="H386" s="101">
        <f t="shared" si="645"/>
        <v>2095.6499999999996</v>
      </c>
      <c r="I386" s="300">
        <f t="shared" si="646"/>
        <v>2095.6499999999996</v>
      </c>
      <c r="J386" s="514">
        <f t="shared" si="647"/>
        <v>1915.6499999999999</v>
      </c>
      <c r="K386" s="300">
        <f t="shared" si="648"/>
        <v>1915.6499999999999</v>
      </c>
      <c r="L386" s="514">
        <f t="shared" si="649"/>
        <v>1855.6499999999999</v>
      </c>
      <c r="M386" s="300">
        <f t="shared" si="609"/>
        <v>1855.6499999999999</v>
      </c>
      <c r="N386" s="514">
        <f t="shared" si="650"/>
        <v>1796.6499999999999</v>
      </c>
      <c r="O386" s="300">
        <f t="shared" si="611"/>
        <v>1796.6499999999999</v>
      </c>
      <c r="P386" s="514">
        <f t="shared" si="651"/>
        <v>1789.6499999999999</v>
      </c>
      <c r="Q386" s="300">
        <f t="shared" si="613"/>
        <v>1789.6499999999999</v>
      </c>
      <c r="R386" s="514">
        <f t="shared" si="652"/>
        <v>1782.6499999999999</v>
      </c>
      <c r="S386" s="300">
        <f t="shared" si="615"/>
        <v>1782.6499999999999</v>
      </c>
      <c r="T386" s="514">
        <f t="shared" si="653"/>
        <v>1773.6499999999999</v>
      </c>
      <c r="U386" s="300">
        <f t="shared" si="617"/>
        <v>1773.6499999999999</v>
      </c>
      <c r="V386" s="514">
        <f t="shared" si="654"/>
        <v>1768.6499999999999</v>
      </c>
      <c r="W386" s="300">
        <f t="shared" si="619"/>
        <v>1768.6499999999999</v>
      </c>
      <c r="X386" s="711"/>
      <c r="Y386" s="743"/>
      <c r="Z386" s="743"/>
      <c r="AA386" s="698"/>
      <c r="AB386" s="436">
        <v>2327</v>
      </c>
      <c r="AC386" s="66"/>
    </row>
    <row r="387" spans="1:34" ht="12.6" customHeight="1" x14ac:dyDescent="0.2">
      <c r="A387" s="18"/>
      <c r="B387" s="673" t="s">
        <v>256</v>
      </c>
      <c r="C387" s="674"/>
      <c r="D387" s="674"/>
      <c r="E387" s="675"/>
      <c r="F387" s="407">
        <f>3.407*X2</f>
        <v>3458.105</v>
      </c>
      <c r="G387" s="299">
        <f>+F387*$X$1</f>
        <v>3458.105</v>
      </c>
      <c r="H387" s="423">
        <f t="shared" si="645"/>
        <v>3818.105</v>
      </c>
      <c r="I387" s="299">
        <f t="shared" si="646"/>
        <v>3818.105</v>
      </c>
      <c r="J387" s="624">
        <f t="shared" si="647"/>
        <v>3638.105</v>
      </c>
      <c r="K387" s="299">
        <f t="shared" si="648"/>
        <v>3638.105</v>
      </c>
      <c r="L387" s="624">
        <f t="shared" si="649"/>
        <v>3578.105</v>
      </c>
      <c r="M387" s="299">
        <f t="shared" si="609"/>
        <v>3578.105</v>
      </c>
      <c r="N387" s="624">
        <f t="shared" si="650"/>
        <v>3519.105</v>
      </c>
      <c r="O387" s="299">
        <f t="shared" si="611"/>
        <v>3519.105</v>
      </c>
      <c r="P387" s="624">
        <f t="shared" si="651"/>
        <v>3512.105</v>
      </c>
      <c r="Q387" s="299">
        <f t="shared" si="613"/>
        <v>3512.105</v>
      </c>
      <c r="R387" s="624">
        <f t="shared" si="652"/>
        <v>3505.105</v>
      </c>
      <c r="S387" s="299">
        <f t="shared" si="615"/>
        <v>3505.105</v>
      </c>
      <c r="T387" s="624">
        <f t="shared" si="653"/>
        <v>3496.105</v>
      </c>
      <c r="U387" s="299">
        <f t="shared" si="617"/>
        <v>3496.105</v>
      </c>
      <c r="V387" s="624">
        <f t="shared" si="654"/>
        <v>3491.105</v>
      </c>
      <c r="W387" s="299">
        <f t="shared" si="619"/>
        <v>3491.105</v>
      </c>
      <c r="X387" s="711"/>
      <c r="Y387" s="743"/>
      <c r="Z387" s="743"/>
      <c r="AA387" s="698"/>
      <c r="AB387" s="436">
        <v>2330</v>
      </c>
      <c r="AC387" s="66"/>
    </row>
    <row r="388" spans="1:34" ht="12.6" customHeight="1" x14ac:dyDescent="0.2">
      <c r="A388" s="107"/>
      <c r="B388" s="670" t="s">
        <v>406</v>
      </c>
      <c r="C388" s="679"/>
      <c r="D388" s="679"/>
      <c r="E388" s="680"/>
      <c r="F388" s="408">
        <f>1.26*X2</f>
        <v>1278.9000000000001</v>
      </c>
      <c r="G388" s="300">
        <f t="shared" ref="G388" si="655">+F388*$X$1</f>
        <v>1278.9000000000001</v>
      </c>
      <c r="H388" s="101">
        <f t="shared" si="645"/>
        <v>1638.9</v>
      </c>
      <c r="I388" s="300">
        <f t="shared" si="646"/>
        <v>1638.9</v>
      </c>
      <c r="J388" s="514">
        <f t="shared" si="647"/>
        <v>1458.9</v>
      </c>
      <c r="K388" s="300">
        <f t="shared" si="648"/>
        <v>1458.9</v>
      </c>
      <c r="L388" s="514">
        <f t="shared" si="649"/>
        <v>1398.9</v>
      </c>
      <c r="M388" s="300">
        <f t="shared" si="609"/>
        <v>1398.9</v>
      </c>
      <c r="N388" s="514">
        <f t="shared" si="650"/>
        <v>1339.9</v>
      </c>
      <c r="O388" s="300">
        <f t="shared" si="611"/>
        <v>1339.9</v>
      </c>
      <c r="P388" s="514">
        <f t="shared" si="651"/>
        <v>1332.9</v>
      </c>
      <c r="Q388" s="300">
        <f t="shared" si="613"/>
        <v>1332.9</v>
      </c>
      <c r="R388" s="514">
        <f t="shared" si="652"/>
        <v>1325.9</v>
      </c>
      <c r="S388" s="300">
        <f t="shared" si="615"/>
        <v>1325.9</v>
      </c>
      <c r="T388" s="514">
        <f t="shared" si="653"/>
        <v>1316.9</v>
      </c>
      <c r="U388" s="300">
        <f t="shared" si="617"/>
        <v>1316.9</v>
      </c>
      <c r="V388" s="514">
        <f t="shared" si="654"/>
        <v>1311.9</v>
      </c>
      <c r="W388" s="300">
        <f t="shared" si="619"/>
        <v>1311.9</v>
      </c>
      <c r="X388" s="711"/>
      <c r="Y388" s="743"/>
      <c r="Z388" s="743"/>
      <c r="AA388" s="698"/>
      <c r="AB388" s="436">
        <v>2334</v>
      </c>
      <c r="AC388" s="66"/>
    </row>
    <row r="389" spans="1:34" ht="12.6" customHeight="1" x14ac:dyDescent="0.2">
      <c r="A389" s="107"/>
      <c r="B389" s="727" t="s">
        <v>257</v>
      </c>
      <c r="C389" s="728"/>
      <c r="D389" s="728"/>
      <c r="E389" s="729"/>
      <c r="F389" s="413">
        <f>1.5*X2</f>
        <v>1522.5</v>
      </c>
      <c r="G389" s="322">
        <f t="shared" ref="G389" si="656">+F389*$X$1</f>
        <v>1522.5</v>
      </c>
      <c r="H389" s="423">
        <f t="shared" si="645"/>
        <v>1882.5</v>
      </c>
      <c r="I389" s="299">
        <f t="shared" si="646"/>
        <v>1882.5</v>
      </c>
      <c r="J389" s="624">
        <f t="shared" si="647"/>
        <v>1702.5</v>
      </c>
      <c r="K389" s="299">
        <f t="shared" si="648"/>
        <v>1702.5</v>
      </c>
      <c r="L389" s="624">
        <f t="shared" si="649"/>
        <v>1642.5</v>
      </c>
      <c r="M389" s="299">
        <f t="shared" si="609"/>
        <v>1642.5</v>
      </c>
      <c r="N389" s="624">
        <f t="shared" si="650"/>
        <v>1583.5</v>
      </c>
      <c r="O389" s="299">
        <f t="shared" si="611"/>
        <v>1583.5</v>
      </c>
      <c r="P389" s="624">
        <f t="shared" si="651"/>
        <v>1576.5</v>
      </c>
      <c r="Q389" s="299">
        <f t="shared" si="613"/>
        <v>1576.5</v>
      </c>
      <c r="R389" s="624">
        <f t="shared" si="652"/>
        <v>1569.5</v>
      </c>
      <c r="S389" s="299">
        <f t="shared" si="615"/>
        <v>1569.5</v>
      </c>
      <c r="T389" s="624">
        <f t="shared" si="653"/>
        <v>1560.5</v>
      </c>
      <c r="U389" s="299">
        <f t="shared" si="617"/>
        <v>1560.5</v>
      </c>
      <c r="V389" s="624">
        <f t="shared" si="654"/>
        <v>1555.5</v>
      </c>
      <c r="W389" s="299">
        <f t="shared" si="619"/>
        <v>1555.5</v>
      </c>
      <c r="X389" s="711"/>
      <c r="Y389" s="743"/>
      <c r="Z389" s="743"/>
      <c r="AA389" s="698"/>
      <c r="AB389" s="450">
        <v>2336</v>
      </c>
      <c r="AC389" s="66"/>
    </row>
    <row r="390" spans="1:34" ht="12.6" customHeight="1" x14ac:dyDescent="0.2">
      <c r="A390" s="18"/>
      <c r="B390" s="670" t="s">
        <v>258</v>
      </c>
      <c r="C390" s="679"/>
      <c r="D390" s="679"/>
      <c r="E390" s="680"/>
      <c r="F390" s="408">
        <f>1.4*X2</f>
        <v>1421</v>
      </c>
      <c r="G390" s="300">
        <f>+F390*$X$1</f>
        <v>1421</v>
      </c>
      <c r="H390" s="101">
        <f t="shared" si="645"/>
        <v>1781</v>
      </c>
      <c r="I390" s="300">
        <f t="shared" si="646"/>
        <v>1781</v>
      </c>
      <c r="J390" s="514">
        <f t="shared" si="647"/>
        <v>1601</v>
      </c>
      <c r="K390" s="300">
        <f t="shared" si="648"/>
        <v>1601</v>
      </c>
      <c r="L390" s="514">
        <f t="shared" si="649"/>
        <v>1541</v>
      </c>
      <c r="M390" s="300">
        <f t="shared" si="609"/>
        <v>1541</v>
      </c>
      <c r="N390" s="514">
        <f t="shared" si="650"/>
        <v>1482</v>
      </c>
      <c r="O390" s="300">
        <f t="shared" si="611"/>
        <v>1482</v>
      </c>
      <c r="P390" s="514">
        <f t="shared" si="651"/>
        <v>1475</v>
      </c>
      <c r="Q390" s="300">
        <f t="shared" si="613"/>
        <v>1475</v>
      </c>
      <c r="R390" s="514">
        <f t="shared" si="652"/>
        <v>1468</v>
      </c>
      <c r="S390" s="300">
        <f t="shared" si="615"/>
        <v>1468</v>
      </c>
      <c r="T390" s="514">
        <f t="shared" si="653"/>
        <v>1459</v>
      </c>
      <c r="U390" s="300">
        <f t="shared" si="617"/>
        <v>1459</v>
      </c>
      <c r="V390" s="514">
        <f t="shared" si="654"/>
        <v>1454</v>
      </c>
      <c r="W390" s="300">
        <f t="shared" si="619"/>
        <v>1454</v>
      </c>
      <c r="X390" s="711"/>
      <c r="Y390" s="743"/>
      <c r="Z390" s="743"/>
      <c r="AA390" s="698"/>
      <c r="AB390" s="436">
        <v>2337</v>
      </c>
      <c r="AC390" s="66"/>
    </row>
    <row r="391" spans="1:34" ht="12.6" customHeight="1" x14ac:dyDescent="0.2">
      <c r="A391" s="18"/>
      <c r="B391" s="673" t="s">
        <v>259</v>
      </c>
      <c r="C391" s="676"/>
      <c r="D391" s="676"/>
      <c r="E391" s="677"/>
      <c r="F391" s="407">
        <f>1.85*X2</f>
        <v>1877.75</v>
      </c>
      <c r="G391" s="299">
        <f t="shared" ref="G391" si="657">+F391*$X$1</f>
        <v>1877.75</v>
      </c>
      <c r="H391" s="423">
        <f t="shared" si="645"/>
        <v>2237.75</v>
      </c>
      <c r="I391" s="299">
        <f t="shared" si="646"/>
        <v>2237.75</v>
      </c>
      <c r="J391" s="624">
        <f t="shared" si="647"/>
        <v>2057.75</v>
      </c>
      <c r="K391" s="299">
        <f t="shared" si="648"/>
        <v>2057.75</v>
      </c>
      <c r="L391" s="624">
        <f t="shared" si="649"/>
        <v>1997.75</v>
      </c>
      <c r="M391" s="299">
        <f t="shared" si="609"/>
        <v>1997.75</v>
      </c>
      <c r="N391" s="624">
        <f t="shared" si="650"/>
        <v>1938.75</v>
      </c>
      <c r="O391" s="299">
        <f t="shared" si="611"/>
        <v>1938.75</v>
      </c>
      <c r="P391" s="624">
        <f t="shared" si="651"/>
        <v>1931.75</v>
      </c>
      <c r="Q391" s="299">
        <f t="shared" si="613"/>
        <v>1931.75</v>
      </c>
      <c r="R391" s="624">
        <f t="shared" si="652"/>
        <v>1924.75</v>
      </c>
      <c r="S391" s="299">
        <f t="shared" si="615"/>
        <v>1924.75</v>
      </c>
      <c r="T391" s="624">
        <f t="shared" si="653"/>
        <v>1915.75</v>
      </c>
      <c r="U391" s="299">
        <f t="shared" si="617"/>
        <v>1915.75</v>
      </c>
      <c r="V391" s="624">
        <f t="shared" si="654"/>
        <v>1910.75</v>
      </c>
      <c r="W391" s="299">
        <f t="shared" si="619"/>
        <v>1910.75</v>
      </c>
      <c r="X391" s="711"/>
      <c r="Y391" s="743"/>
      <c r="Z391" s="743"/>
      <c r="AA391" s="698"/>
      <c r="AB391" s="436">
        <v>2338</v>
      </c>
      <c r="AC391" s="66"/>
    </row>
    <row r="392" spans="1:34" ht="12.6" customHeight="1" x14ac:dyDescent="0.2">
      <c r="A392" s="18"/>
      <c r="B392" s="670" t="s">
        <v>341</v>
      </c>
      <c r="C392" s="679"/>
      <c r="D392" s="679"/>
      <c r="E392" s="680"/>
      <c r="F392" s="414">
        <f>1.4*X2</f>
        <v>1421</v>
      </c>
      <c r="G392" s="300">
        <f>+F392*$X$1</f>
        <v>1421</v>
      </c>
      <c r="H392" s="101">
        <f t="shared" si="645"/>
        <v>1781</v>
      </c>
      <c r="I392" s="300">
        <f t="shared" si="646"/>
        <v>1781</v>
      </c>
      <c r="J392" s="514">
        <f t="shared" si="647"/>
        <v>1601</v>
      </c>
      <c r="K392" s="300">
        <f t="shared" si="648"/>
        <v>1601</v>
      </c>
      <c r="L392" s="514">
        <f t="shared" si="649"/>
        <v>1541</v>
      </c>
      <c r="M392" s="300">
        <f t="shared" si="609"/>
        <v>1541</v>
      </c>
      <c r="N392" s="514">
        <f t="shared" si="650"/>
        <v>1482</v>
      </c>
      <c r="O392" s="300">
        <f t="shared" si="611"/>
        <v>1482</v>
      </c>
      <c r="P392" s="514">
        <f t="shared" si="651"/>
        <v>1475</v>
      </c>
      <c r="Q392" s="300">
        <f t="shared" si="613"/>
        <v>1475</v>
      </c>
      <c r="R392" s="514">
        <f t="shared" si="652"/>
        <v>1468</v>
      </c>
      <c r="S392" s="300">
        <f t="shared" si="615"/>
        <v>1468</v>
      </c>
      <c r="T392" s="514">
        <f t="shared" si="653"/>
        <v>1459</v>
      </c>
      <c r="U392" s="300">
        <f t="shared" si="617"/>
        <v>1459</v>
      </c>
      <c r="V392" s="514">
        <f t="shared" si="654"/>
        <v>1454</v>
      </c>
      <c r="W392" s="300">
        <f t="shared" si="619"/>
        <v>1454</v>
      </c>
      <c r="X392" s="181"/>
      <c r="Y392" s="184"/>
      <c r="Z392" s="184"/>
      <c r="AA392" s="183"/>
      <c r="AB392" s="436">
        <v>2340</v>
      </c>
      <c r="AC392" s="66"/>
    </row>
    <row r="393" spans="1:34" ht="12.6" customHeight="1" x14ac:dyDescent="0.2">
      <c r="A393" s="18"/>
      <c r="B393" s="673" t="s">
        <v>733</v>
      </c>
      <c r="C393" s="676"/>
      <c r="D393" s="676"/>
      <c r="E393" s="677"/>
      <c r="F393" s="407">
        <f>12.42*X2</f>
        <v>12606.3</v>
      </c>
      <c r="G393" s="299">
        <f t="shared" ref="G393" si="658">+F393*$X$1</f>
        <v>12606.3</v>
      </c>
      <c r="H393" s="423">
        <f t="shared" si="645"/>
        <v>12966.3</v>
      </c>
      <c r="I393" s="299">
        <f t="shared" si="646"/>
        <v>12966.3</v>
      </c>
      <c r="J393" s="624">
        <f t="shared" si="647"/>
        <v>12786.3</v>
      </c>
      <c r="K393" s="299">
        <f t="shared" si="648"/>
        <v>12786.3</v>
      </c>
      <c r="L393" s="624">
        <f t="shared" si="649"/>
        <v>12726.3</v>
      </c>
      <c r="M393" s="299">
        <f t="shared" si="609"/>
        <v>12726.3</v>
      </c>
      <c r="N393" s="624">
        <f t="shared" si="650"/>
        <v>12667.3</v>
      </c>
      <c r="O393" s="299">
        <f t="shared" si="611"/>
        <v>12667.3</v>
      </c>
      <c r="P393" s="624">
        <f t="shared" si="651"/>
        <v>12660.3</v>
      </c>
      <c r="Q393" s="299">
        <f t="shared" si="613"/>
        <v>12660.3</v>
      </c>
      <c r="R393" s="624">
        <f t="shared" si="652"/>
        <v>12653.3</v>
      </c>
      <c r="S393" s="299">
        <f t="shared" si="615"/>
        <v>12653.3</v>
      </c>
      <c r="T393" s="624">
        <f t="shared" si="653"/>
        <v>12644.3</v>
      </c>
      <c r="U393" s="299">
        <f t="shared" si="617"/>
        <v>12644.3</v>
      </c>
      <c r="V393" s="624">
        <f t="shared" si="654"/>
        <v>12639.3</v>
      </c>
      <c r="W393" s="299">
        <f t="shared" si="619"/>
        <v>12639.3</v>
      </c>
      <c r="X393" s="487"/>
      <c r="Y393" s="488"/>
      <c r="Z393" s="488"/>
      <c r="AA393" s="489"/>
      <c r="AB393" s="436">
        <v>2342</v>
      </c>
      <c r="AC393" s="66"/>
    </row>
    <row r="394" spans="1:34" ht="12.6" customHeight="1" x14ac:dyDescent="0.2">
      <c r="A394" s="18"/>
      <c r="B394" s="670" t="s">
        <v>732</v>
      </c>
      <c r="C394" s="679"/>
      <c r="D394" s="679"/>
      <c r="E394" s="680"/>
      <c r="F394" s="408">
        <f>14.9*X2</f>
        <v>15123.5</v>
      </c>
      <c r="G394" s="300">
        <f t="shared" ref="G394" si="659">+F394*$X$1</f>
        <v>15123.5</v>
      </c>
      <c r="H394" s="101">
        <f t="shared" si="645"/>
        <v>15483.5</v>
      </c>
      <c r="I394" s="300">
        <f t="shared" si="646"/>
        <v>15483.5</v>
      </c>
      <c r="J394" s="514">
        <f t="shared" si="647"/>
        <v>15303.5</v>
      </c>
      <c r="K394" s="300">
        <f t="shared" si="648"/>
        <v>15303.5</v>
      </c>
      <c r="L394" s="514">
        <f t="shared" si="649"/>
        <v>15243.5</v>
      </c>
      <c r="M394" s="300">
        <f t="shared" si="609"/>
        <v>15243.5</v>
      </c>
      <c r="N394" s="514">
        <f t="shared" si="650"/>
        <v>15184.5</v>
      </c>
      <c r="O394" s="300">
        <f t="shared" si="611"/>
        <v>15184.5</v>
      </c>
      <c r="P394" s="514">
        <f t="shared" si="651"/>
        <v>15177.5</v>
      </c>
      <c r="Q394" s="300">
        <f t="shared" si="613"/>
        <v>15177.5</v>
      </c>
      <c r="R394" s="514">
        <f t="shared" si="652"/>
        <v>15170.5</v>
      </c>
      <c r="S394" s="300">
        <f t="shared" si="615"/>
        <v>15170.5</v>
      </c>
      <c r="T394" s="514">
        <f t="shared" si="653"/>
        <v>15161.5</v>
      </c>
      <c r="U394" s="300">
        <f t="shared" si="617"/>
        <v>15161.5</v>
      </c>
      <c r="V394" s="514">
        <f t="shared" si="654"/>
        <v>15156.5</v>
      </c>
      <c r="W394" s="300">
        <f t="shared" si="619"/>
        <v>15156.5</v>
      </c>
      <c r="X394" s="487"/>
      <c r="Y394" s="488"/>
      <c r="Z394" s="488"/>
      <c r="AA394" s="489"/>
      <c r="AB394" s="436">
        <v>2343</v>
      </c>
      <c r="AC394" s="66"/>
    </row>
    <row r="395" spans="1:34" s="4" customFormat="1" ht="12.6" customHeight="1" x14ac:dyDescent="0.2">
      <c r="A395" s="19"/>
      <c r="B395" s="16"/>
      <c r="C395" s="12"/>
      <c r="D395" s="12"/>
      <c r="E395" s="12"/>
      <c r="F395" s="59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8"/>
      <c r="B398" s="699" t="s">
        <v>11</v>
      </c>
      <c r="C398" s="840" t="s">
        <v>12</v>
      </c>
      <c r="D398" s="841"/>
      <c r="E398" s="841"/>
      <c r="F398" s="651" t="s">
        <v>13</v>
      </c>
      <c r="G398" s="651" t="s">
        <v>13</v>
      </c>
      <c r="H398" s="653" t="s">
        <v>844</v>
      </c>
      <c r="I398" s="653"/>
      <c r="J398" s="654"/>
      <c r="K398" s="654"/>
      <c r="L398" s="654"/>
      <c r="M398" s="654"/>
      <c r="N398" s="654"/>
      <c r="O398" s="654"/>
      <c r="P398" s="654"/>
      <c r="Q398" s="654"/>
      <c r="R398" s="654"/>
      <c r="S398" s="654"/>
      <c r="T398" s="654"/>
      <c r="U398" s="654"/>
      <c r="V398" s="654"/>
      <c r="W398" s="654"/>
      <c r="X398" s="637" t="s">
        <v>14</v>
      </c>
      <c r="Y398" s="638"/>
      <c r="Z398" s="638"/>
      <c r="AA398" s="639"/>
      <c r="AB398" s="643" t="s">
        <v>15</v>
      </c>
      <c r="AE398" s="65"/>
      <c r="AF398" s="625" t="s">
        <v>3</v>
      </c>
      <c r="AG398" s="626"/>
      <c r="AH398" s="626"/>
    </row>
    <row r="399" spans="1:34" ht="12" customHeight="1" x14ac:dyDescent="0.2">
      <c r="A399" s="18"/>
      <c r="B399" s="699"/>
      <c r="C399" s="841"/>
      <c r="D399" s="841"/>
      <c r="E399" s="841"/>
      <c r="F399" s="652"/>
      <c r="G399" s="652"/>
      <c r="H399" s="539"/>
      <c r="I399" s="531" t="s">
        <v>297</v>
      </c>
      <c r="J399" s="533"/>
      <c r="K399" s="531" t="s">
        <v>17</v>
      </c>
      <c r="L399" s="534"/>
      <c r="M399" s="534" t="s">
        <v>18</v>
      </c>
      <c r="N399" s="534"/>
      <c r="O399" s="531" t="s">
        <v>19</v>
      </c>
      <c r="P399" s="534"/>
      <c r="Q399" s="534" t="s">
        <v>299</v>
      </c>
      <c r="R399" s="534"/>
      <c r="S399" s="534" t="s">
        <v>20</v>
      </c>
      <c r="T399" s="534"/>
      <c r="U399" s="534" t="s">
        <v>21</v>
      </c>
      <c r="V399" s="534"/>
      <c r="W399" s="534" t="s">
        <v>22</v>
      </c>
      <c r="X399" s="640"/>
      <c r="Y399" s="641"/>
      <c r="Z399" s="641"/>
      <c r="AA399" s="642"/>
      <c r="AB399" s="644"/>
    </row>
    <row r="400" spans="1:34" ht="12.6" customHeight="1" x14ac:dyDescent="0.2">
      <c r="A400" s="18"/>
      <c r="B400" s="724" t="s">
        <v>891</v>
      </c>
      <c r="C400" s="741"/>
      <c r="D400" s="741"/>
      <c r="E400" s="742"/>
      <c r="F400" s="407">
        <f>9.5*X2</f>
        <v>9642.5</v>
      </c>
      <c r="G400" s="299">
        <f>+F400*$X$1</f>
        <v>9642.5</v>
      </c>
      <c r="H400" s="624">
        <f>F400+360</f>
        <v>10002.5</v>
      </c>
      <c r="I400" s="299">
        <f>+H400*$X$1</f>
        <v>10002.5</v>
      </c>
      <c r="J400" s="624">
        <f>F400+180</f>
        <v>9822.5</v>
      </c>
      <c r="K400" s="299">
        <f>+J400*$X$1</f>
        <v>9822.5</v>
      </c>
      <c r="L400" s="624">
        <f>F400+120</f>
        <v>9762.5</v>
      </c>
      <c r="M400" s="299">
        <f>+L400*$X$1</f>
        <v>9762.5</v>
      </c>
      <c r="N400" s="624">
        <f>F400+61</f>
        <v>9703.5</v>
      </c>
      <c r="O400" s="299">
        <f>+N400*$X$1</f>
        <v>9703.5</v>
      </c>
      <c r="P400" s="624">
        <f>F400+54</f>
        <v>9696.5</v>
      </c>
      <c r="Q400" s="299">
        <f>+P400*$X$1</f>
        <v>9696.5</v>
      </c>
      <c r="R400" s="624">
        <f>F400+47</f>
        <v>9689.5</v>
      </c>
      <c r="S400" s="299">
        <f>+R400*$X$1</f>
        <v>9689.5</v>
      </c>
      <c r="T400" s="624">
        <f>F400+38</f>
        <v>9680.5</v>
      </c>
      <c r="U400" s="299">
        <f>+T400*$X$1</f>
        <v>9680.5</v>
      </c>
      <c r="V400" s="624">
        <f>F400+33</f>
        <v>9675.5</v>
      </c>
      <c r="W400" s="299">
        <f>+V400*$X$1</f>
        <v>9675.5</v>
      </c>
      <c r="X400" s="578"/>
      <c r="Y400" s="579"/>
      <c r="Z400" s="579"/>
      <c r="AA400" s="580"/>
      <c r="AB400" s="436" t="s">
        <v>892</v>
      </c>
      <c r="AC400" s="66"/>
    </row>
    <row r="401" spans="1:35" ht="12.6" customHeight="1" x14ac:dyDescent="0.2">
      <c r="A401" s="18"/>
      <c r="B401" s="670" t="s">
        <v>460</v>
      </c>
      <c r="C401" s="679"/>
      <c r="D401" s="679"/>
      <c r="E401" s="680"/>
      <c r="F401" s="408">
        <f>8.48*X2</f>
        <v>8607.2000000000007</v>
      </c>
      <c r="G401" s="300">
        <f t="shared" ref="G401" si="660">+F401*$X$1</f>
        <v>8607.2000000000007</v>
      </c>
      <c r="H401" s="514">
        <f t="shared" ref="H401:H406" si="661">F401+360</f>
        <v>8967.2000000000007</v>
      </c>
      <c r="I401" s="300">
        <f t="shared" ref="I401:I406" si="662">+H401*$X$1</f>
        <v>8967.2000000000007</v>
      </c>
      <c r="J401" s="514">
        <f t="shared" ref="J401:J406" si="663">F401+180</f>
        <v>8787.2000000000007</v>
      </c>
      <c r="K401" s="300">
        <f t="shared" ref="K401:K405" si="664">+J401*$X$1</f>
        <v>8787.2000000000007</v>
      </c>
      <c r="L401" s="514">
        <f t="shared" ref="L401:L406" si="665">F401+120</f>
        <v>8727.2000000000007</v>
      </c>
      <c r="M401" s="300">
        <f t="shared" ref="M401:M405" si="666">+L401*$X$1</f>
        <v>8727.2000000000007</v>
      </c>
      <c r="N401" s="514">
        <f t="shared" ref="N401:N406" si="667">F401+61</f>
        <v>8668.2000000000007</v>
      </c>
      <c r="O401" s="300">
        <f t="shared" ref="O401:O405" si="668">+N401*$X$1</f>
        <v>8668.2000000000007</v>
      </c>
      <c r="P401" s="514">
        <f t="shared" ref="P401:P406" si="669">F401+54</f>
        <v>8661.2000000000007</v>
      </c>
      <c r="Q401" s="300">
        <f t="shared" ref="Q401:Q405" si="670">+P401*$X$1</f>
        <v>8661.2000000000007</v>
      </c>
      <c r="R401" s="514">
        <f t="shared" ref="R401:R406" si="671">F401+47</f>
        <v>8654.2000000000007</v>
      </c>
      <c r="S401" s="300">
        <f t="shared" ref="S401:S405" si="672">+R401*$X$1</f>
        <v>8654.2000000000007</v>
      </c>
      <c r="T401" s="514">
        <f>F401+38</f>
        <v>8645.2000000000007</v>
      </c>
      <c r="U401" s="300">
        <f t="shared" ref="U401:U404" si="673">+T401*$X$1</f>
        <v>8645.2000000000007</v>
      </c>
      <c r="V401" s="514">
        <f>F401+33</f>
        <v>8640.2000000000007</v>
      </c>
      <c r="W401" s="300">
        <f t="shared" ref="W401:W404" si="674">+V401*$X$1</f>
        <v>8640.2000000000007</v>
      </c>
      <c r="X401" s="247"/>
      <c r="Y401" s="245"/>
      <c r="Z401" s="245"/>
      <c r="AA401" s="246"/>
      <c r="AB401" s="436">
        <v>2346</v>
      </c>
      <c r="AC401" s="66"/>
    </row>
    <row r="402" spans="1:35" ht="12.6" customHeight="1" x14ac:dyDescent="0.2">
      <c r="A402" s="18"/>
      <c r="B402" s="673" t="s">
        <v>734</v>
      </c>
      <c r="C402" s="676"/>
      <c r="D402" s="676"/>
      <c r="E402" s="677"/>
      <c r="F402" s="407">
        <f>11.84*X2</f>
        <v>12017.6</v>
      </c>
      <c r="G402" s="299">
        <f t="shared" ref="G402" si="675">+F402*$X$1</f>
        <v>12017.6</v>
      </c>
      <c r="H402" s="624">
        <f t="shared" si="661"/>
        <v>12377.6</v>
      </c>
      <c r="I402" s="299">
        <f t="shared" si="662"/>
        <v>12377.6</v>
      </c>
      <c r="J402" s="624">
        <f t="shared" si="663"/>
        <v>12197.6</v>
      </c>
      <c r="K402" s="299">
        <f t="shared" si="664"/>
        <v>12197.6</v>
      </c>
      <c r="L402" s="624">
        <f t="shared" si="665"/>
        <v>12137.6</v>
      </c>
      <c r="M402" s="299">
        <f t="shared" si="666"/>
        <v>12137.6</v>
      </c>
      <c r="N402" s="624">
        <f t="shared" si="667"/>
        <v>12078.6</v>
      </c>
      <c r="O402" s="299">
        <f t="shared" si="668"/>
        <v>12078.6</v>
      </c>
      <c r="P402" s="624">
        <f t="shared" si="669"/>
        <v>12071.6</v>
      </c>
      <c r="Q402" s="299">
        <f t="shared" si="670"/>
        <v>12071.6</v>
      </c>
      <c r="R402" s="624">
        <f t="shared" si="671"/>
        <v>12064.6</v>
      </c>
      <c r="S402" s="299">
        <f t="shared" si="672"/>
        <v>12064.6</v>
      </c>
      <c r="T402" s="624">
        <f>F402+38</f>
        <v>12055.6</v>
      </c>
      <c r="U402" s="299">
        <f t="shared" si="673"/>
        <v>12055.6</v>
      </c>
      <c r="V402" s="624">
        <f>F402+33</f>
        <v>12050.6</v>
      </c>
      <c r="W402" s="299">
        <f t="shared" si="674"/>
        <v>12050.6</v>
      </c>
      <c r="X402" s="487"/>
      <c r="Y402" s="488"/>
      <c r="Z402" s="488"/>
      <c r="AA402" s="489"/>
      <c r="AB402" s="436" t="s">
        <v>743</v>
      </c>
      <c r="AC402" s="66"/>
    </row>
    <row r="403" spans="1:35" ht="12.6" customHeight="1" x14ac:dyDescent="0.2">
      <c r="A403" s="18"/>
      <c r="B403" s="670" t="s">
        <v>735</v>
      </c>
      <c r="C403" s="679"/>
      <c r="D403" s="679"/>
      <c r="E403" s="680"/>
      <c r="F403" s="408">
        <f>12.63*X2</f>
        <v>12819.45</v>
      </c>
      <c r="G403" s="300">
        <f t="shared" ref="G403" si="676">+F403*$X$1</f>
        <v>12819.45</v>
      </c>
      <c r="H403" s="514">
        <f t="shared" si="661"/>
        <v>13179.45</v>
      </c>
      <c r="I403" s="300">
        <f t="shared" si="662"/>
        <v>13179.45</v>
      </c>
      <c r="J403" s="514">
        <f t="shared" si="663"/>
        <v>12999.45</v>
      </c>
      <c r="K403" s="300">
        <f t="shared" si="664"/>
        <v>12999.45</v>
      </c>
      <c r="L403" s="514">
        <f t="shared" si="665"/>
        <v>12939.45</v>
      </c>
      <c r="M403" s="300">
        <f t="shared" si="666"/>
        <v>12939.45</v>
      </c>
      <c r="N403" s="514">
        <f t="shared" si="667"/>
        <v>12880.45</v>
      </c>
      <c r="O403" s="300">
        <f t="shared" si="668"/>
        <v>12880.45</v>
      </c>
      <c r="P403" s="514">
        <f t="shared" si="669"/>
        <v>12873.45</v>
      </c>
      <c r="Q403" s="300">
        <f t="shared" si="670"/>
        <v>12873.45</v>
      </c>
      <c r="R403" s="514">
        <f t="shared" si="671"/>
        <v>12866.45</v>
      </c>
      <c r="S403" s="300">
        <f t="shared" si="672"/>
        <v>12866.45</v>
      </c>
      <c r="T403" s="514">
        <f>F403+38</f>
        <v>12857.45</v>
      </c>
      <c r="U403" s="300">
        <f t="shared" si="673"/>
        <v>12857.45</v>
      </c>
      <c r="V403" s="514">
        <f>F403+33</f>
        <v>12852.45</v>
      </c>
      <c r="W403" s="300">
        <f t="shared" si="674"/>
        <v>12852.45</v>
      </c>
      <c r="X403" s="487"/>
      <c r="Y403" s="488"/>
      <c r="Z403" s="488"/>
      <c r="AA403" s="489"/>
      <c r="AB403" s="436" t="s">
        <v>795</v>
      </c>
      <c r="AC403" s="66"/>
    </row>
    <row r="404" spans="1:35" ht="12.6" customHeight="1" x14ac:dyDescent="0.2">
      <c r="A404" s="18"/>
      <c r="B404" s="673" t="s">
        <v>615</v>
      </c>
      <c r="C404" s="676"/>
      <c r="D404" s="676"/>
      <c r="E404" s="677"/>
      <c r="F404" s="407">
        <f>2.56*X2</f>
        <v>2598.4</v>
      </c>
      <c r="G404" s="299">
        <f t="shared" ref="G404" si="677">+F404*$X$1</f>
        <v>2598.4</v>
      </c>
      <c r="H404" s="624">
        <f t="shared" si="661"/>
        <v>2958.4</v>
      </c>
      <c r="I404" s="299">
        <f t="shared" si="662"/>
        <v>2958.4</v>
      </c>
      <c r="J404" s="624">
        <f t="shared" si="663"/>
        <v>2778.4</v>
      </c>
      <c r="K404" s="299">
        <f t="shared" si="664"/>
        <v>2778.4</v>
      </c>
      <c r="L404" s="624">
        <f t="shared" si="665"/>
        <v>2718.4</v>
      </c>
      <c r="M404" s="299">
        <f t="shared" si="666"/>
        <v>2718.4</v>
      </c>
      <c r="N404" s="624">
        <f t="shared" si="667"/>
        <v>2659.4</v>
      </c>
      <c r="O404" s="299">
        <f t="shared" si="668"/>
        <v>2659.4</v>
      </c>
      <c r="P404" s="624">
        <f t="shared" si="669"/>
        <v>2652.4</v>
      </c>
      <c r="Q404" s="299">
        <f t="shared" si="670"/>
        <v>2652.4</v>
      </c>
      <c r="R404" s="624">
        <f t="shared" si="671"/>
        <v>2645.4</v>
      </c>
      <c r="S404" s="299">
        <f t="shared" si="672"/>
        <v>2645.4</v>
      </c>
      <c r="T404" s="624">
        <f>F404+38</f>
        <v>2636.4</v>
      </c>
      <c r="U404" s="299">
        <f t="shared" si="673"/>
        <v>2636.4</v>
      </c>
      <c r="V404" s="624">
        <f>F404+33</f>
        <v>2631.4</v>
      </c>
      <c r="W404" s="299">
        <f t="shared" si="674"/>
        <v>2631.4</v>
      </c>
      <c r="X404" s="400"/>
      <c r="Y404" s="401"/>
      <c r="Z404" s="401"/>
      <c r="AA404" s="402"/>
      <c r="AB404" s="436">
        <v>2350</v>
      </c>
      <c r="AC404" s="66"/>
    </row>
    <row r="405" spans="1:35" ht="12.6" customHeight="1" x14ac:dyDescent="0.2">
      <c r="A405" s="18"/>
      <c r="B405" s="670" t="s">
        <v>703</v>
      </c>
      <c r="C405" s="679"/>
      <c r="D405" s="679"/>
      <c r="E405" s="680"/>
      <c r="F405" s="408">
        <f>3.3*X2</f>
        <v>3349.5</v>
      </c>
      <c r="G405" s="300">
        <f t="shared" ref="G405" si="678">+F405*$X$1</f>
        <v>3349.5</v>
      </c>
      <c r="H405" s="514">
        <f t="shared" si="661"/>
        <v>3709.5</v>
      </c>
      <c r="I405" s="300">
        <f t="shared" si="662"/>
        <v>3709.5</v>
      </c>
      <c r="J405" s="514">
        <f t="shared" si="663"/>
        <v>3529.5</v>
      </c>
      <c r="K405" s="300">
        <f t="shared" si="664"/>
        <v>3529.5</v>
      </c>
      <c r="L405" s="514">
        <f t="shared" si="665"/>
        <v>3469.5</v>
      </c>
      <c r="M405" s="300">
        <f t="shared" si="666"/>
        <v>3469.5</v>
      </c>
      <c r="N405" s="514">
        <f t="shared" si="667"/>
        <v>3410.5</v>
      </c>
      <c r="O405" s="300">
        <f t="shared" si="668"/>
        <v>3410.5</v>
      </c>
      <c r="P405" s="514">
        <f t="shared" si="669"/>
        <v>3403.5</v>
      </c>
      <c r="Q405" s="300">
        <f t="shared" si="670"/>
        <v>3403.5</v>
      </c>
      <c r="R405" s="514">
        <f t="shared" si="671"/>
        <v>3396.5</v>
      </c>
      <c r="S405" s="300">
        <f t="shared" si="672"/>
        <v>3396.5</v>
      </c>
      <c r="T405" s="514"/>
      <c r="U405" s="300"/>
      <c r="V405" s="514"/>
      <c r="W405" s="300"/>
      <c r="X405" s="469"/>
      <c r="Y405" s="470"/>
      <c r="Z405" s="470"/>
      <c r="AA405" s="471"/>
      <c r="AB405" s="436">
        <v>2351</v>
      </c>
      <c r="AC405" s="66"/>
    </row>
    <row r="406" spans="1:35" ht="12.6" customHeight="1" x14ac:dyDescent="0.2">
      <c r="A406" s="18"/>
      <c r="B406" s="673" t="s">
        <v>716</v>
      </c>
      <c r="C406" s="676"/>
      <c r="D406" s="676"/>
      <c r="E406" s="677"/>
      <c r="F406" s="407">
        <f>1.59*X2</f>
        <v>1613.8500000000001</v>
      </c>
      <c r="G406" s="299">
        <f t="shared" ref="G406" si="679">+F406*$X$1</f>
        <v>1613.8500000000001</v>
      </c>
      <c r="H406" s="624">
        <f t="shared" si="661"/>
        <v>1973.8500000000001</v>
      </c>
      <c r="I406" s="299">
        <f t="shared" si="662"/>
        <v>1973.8500000000001</v>
      </c>
      <c r="J406" s="624">
        <f t="shared" si="663"/>
        <v>1793.8500000000001</v>
      </c>
      <c r="K406" s="299">
        <f t="shared" ref="K406" si="680">+J406*$X$1</f>
        <v>1793.8500000000001</v>
      </c>
      <c r="L406" s="624">
        <f t="shared" si="665"/>
        <v>1733.8500000000001</v>
      </c>
      <c r="M406" s="299">
        <f t="shared" ref="M406" si="681">+L406*$X$1</f>
        <v>1733.8500000000001</v>
      </c>
      <c r="N406" s="624">
        <f t="shared" si="667"/>
        <v>1674.8500000000001</v>
      </c>
      <c r="O406" s="299">
        <f t="shared" ref="O406" si="682">+N406*$X$1</f>
        <v>1674.8500000000001</v>
      </c>
      <c r="P406" s="624">
        <f t="shared" si="669"/>
        <v>1667.8500000000001</v>
      </c>
      <c r="Q406" s="299">
        <f t="shared" ref="Q406" si="683">+P406*$X$1</f>
        <v>1667.8500000000001</v>
      </c>
      <c r="R406" s="624">
        <f t="shared" si="671"/>
        <v>1660.8500000000001</v>
      </c>
      <c r="S406" s="299">
        <f t="shared" ref="S406" si="684">+R406*$X$1</f>
        <v>1660.8500000000001</v>
      </c>
      <c r="T406" s="624">
        <f>F406+38</f>
        <v>1651.8500000000001</v>
      </c>
      <c r="U406" s="299">
        <f t="shared" ref="U406" si="685">+T406*$X$1</f>
        <v>1651.8500000000001</v>
      </c>
      <c r="V406" s="624">
        <f>F406+33</f>
        <v>1646.8500000000001</v>
      </c>
      <c r="W406" s="299">
        <f t="shared" ref="W406" si="686">+V406*$X$1</f>
        <v>1646.8500000000001</v>
      </c>
      <c r="X406" s="475"/>
      <c r="Y406" s="476"/>
      <c r="Z406" s="476"/>
      <c r="AA406" s="477"/>
      <c r="AB406" s="436">
        <v>2352</v>
      </c>
      <c r="AC406" s="66"/>
    </row>
    <row r="407" spans="1:35" ht="12.6" customHeight="1" x14ac:dyDescent="0.2">
      <c r="A407" s="18"/>
      <c r="B407" s="670" t="s">
        <v>870</v>
      </c>
      <c r="C407" s="679"/>
      <c r="D407" s="679"/>
      <c r="E407" s="680"/>
      <c r="F407" s="300">
        <f>3.463*X2</f>
        <v>3514.9450000000002</v>
      </c>
      <c r="G407" s="300">
        <f>+F407*$X$1</f>
        <v>3514.9450000000002</v>
      </c>
      <c r="H407" s="514">
        <f>F407+450</f>
        <v>3964.9450000000002</v>
      </c>
      <c r="I407" s="300">
        <f t="shared" ref="I407" si="687">+H407*$X$1</f>
        <v>3964.9450000000002</v>
      </c>
      <c r="J407" s="514">
        <f>F407+200</f>
        <v>3714.9450000000002</v>
      </c>
      <c r="K407" s="300">
        <f>+J407*$X$1</f>
        <v>3714.9450000000002</v>
      </c>
      <c r="L407" s="514">
        <f>F407+140</f>
        <v>3654.9450000000002</v>
      </c>
      <c r="M407" s="300">
        <f>+L407*$X$1</f>
        <v>3654.9450000000002</v>
      </c>
      <c r="N407" s="514">
        <f>F407+70</f>
        <v>3584.9450000000002</v>
      </c>
      <c r="O407" s="300">
        <f>+N407*$X$1</f>
        <v>3584.9450000000002</v>
      </c>
      <c r="P407" s="514">
        <f>F407+60</f>
        <v>3574.9450000000002</v>
      </c>
      <c r="Q407" s="300">
        <f>+P407*$X$1</f>
        <v>3574.9450000000002</v>
      </c>
      <c r="R407" s="514">
        <f>F407+50</f>
        <v>3564.9450000000002</v>
      </c>
      <c r="S407" s="300">
        <f>+R407*$X$1</f>
        <v>3564.9450000000002</v>
      </c>
      <c r="T407" s="103">
        <f>F407+44</f>
        <v>3558.9450000000002</v>
      </c>
      <c r="U407" s="321">
        <f>+T407*$X$1</f>
        <v>3558.9450000000002</v>
      </c>
      <c r="V407" s="103">
        <f>F407+38</f>
        <v>3552.9450000000002</v>
      </c>
      <c r="W407" s="321">
        <f>+V407*$X$1</f>
        <v>3552.9450000000002</v>
      </c>
      <c r="X407" s="711"/>
      <c r="Y407" s="697"/>
      <c r="Z407" s="697"/>
      <c r="AA407" s="698"/>
      <c r="AB407" s="436">
        <v>2503</v>
      </c>
    </row>
    <row r="408" spans="1:35" ht="12.6" customHeight="1" x14ac:dyDescent="0.2">
      <c r="A408" s="18"/>
      <c r="B408" s="673" t="s">
        <v>871</v>
      </c>
      <c r="C408" s="676"/>
      <c r="D408" s="676"/>
      <c r="E408" s="677"/>
      <c r="F408" s="299">
        <f>0.76*X2</f>
        <v>771.4</v>
      </c>
      <c r="G408" s="299">
        <f t="shared" ref="G408" si="688">+F408*$X$1</f>
        <v>771.4</v>
      </c>
      <c r="H408" s="624">
        <f>F408+450</f>
        <v>1221.4000000000001</v>
      </c>
      <c r="I408" s="299">
        <f t="shared" ref="I408" si="689">+H408*$X$1</f>
        <v>1221.4000000000001</v>
      </c>
      <c r="J408" s="624">
        <f>F408+200</f>
        <v>971.4</v>
      </c>
      <c r="K408" s="299">
        <f>+J408*$X$1</f>
        <v>971.4</v>
      </c>
      <c r="L408" s="624">
        <f>F408+140</f>
        <v>911.4</v>
      </c>
      <c r="M408" s="299">
        <f>+L408*$X$1</f>
        <v>911.4</v>
      </c>
      <c r="N408" s="624">
        <f>F408+70</f>
        <v>841.4</v>
      </c>
      <c r="O408" s="299">
        <f>+N408*$X$1</f>
        <v>841.4</v>
      </c>
      <c r="P408" s="624">
        <f>F408+60</f>
        <v>831.4</v>
      </c>
      <c r="Q408" s="299">
        <f>+P408*$X$1</f>
        <v>831.4</v>
      </c>
      <c r="R408" s="624">
        <f>F408+50</f>
        <v>821.4</v>
      </c>
      <c r="S408" s="299">
        <f>+R408*$X$1</f>
        <v>821.4</v>
      </c>
      <c r="T408" s="104">
        <f>F408+44</f>
        <v>815.4</v>
      </c>
      <c r="U408" s="264">
        <f>+T408*$X$1</f>
        <v>815.4</v>
      </c>
      <c r="V408" s="104">
        <f>F408+38</f>
        <v>809.4</v>
      </c>
      <c r="W408" s="264">
        <f>+V408*$X$1</f>
        <v>809.4</v>
      </c>
      <c r="X408" s="711"/>
      <c r="Y408" s="697"/>
      <c r="Z408" s="697"/>
      <c r="AA408" s="698"/>
      <c r="AB408" s="436">
        <v>2504</v>
      </c>
    </row>
    <row r="409" spans="1:35" ht="12.6" customHeight="1" x14ac:dyDescent="0.2">
      <c r="A409" s="18"/>
      <c r="B409" s="670" t="s">
        <v>510</v>
      </c>
      <c r="C409" s="671"/>
      <c r="D409" s="671"/>
      <c r="E409" s="672"/>
      <c r="F409" s="408">
        <f>3.88*X2</f>
        <v>3938.2</v>
      </c>
      <c r="G409" s="300">
        <f t="shared" ref="G409" si="690">+F409*$X$1</f>
        <v>3938.2</v>
      </c>
      <c r="H409" s="514"/>
      <c r="I409" s="300"/>
      <c r="J409" s="514">
        <f>F409+200</f>
        <v>4138.2</v>
      </c>
      <c r="K409" s="300">
        <f>+J409*$X$1</f>
        <v>4138.2</v>
      </c>
      <c r="L409" s="514">
        <f>F409+140</f>
        <v>4078.2</v>
      </c>
      <c r="M409" s="300">
        <f>+L409*$X$1</f>
        <v>4078.2</v>
      </c>
      <c r="N409" s="514">
        <f>F409+70</f>
        <v>4008.2</v>
      </c>
      <c r="O409" s="300">
        <f>+N409*$X$1</f>
        <v>4008.2</v>
      </c>
      <c r="P409" s="514">
        <f>F409+60</f>
        <v>3998.2</v>
      </c>
      <c r="Q409" s="300">
        <f>+P409*$X$1</f>
        <v>3998.2</v>
      </c>
      <c r="R409" s="514">
        <f>F409+50</f>
        <v>3988.2</v>
      </c>
      <c r="S409" s="300">
        <f>+R409*$X$1</f>
        <v>3988.2</v>
      </c>
      <c r="T409" s="103">
        <f>F409+44</f>
        <v>3982.2</v>
      </c>
      <c r="U409" s="321">
        <f>+T409*$X$1</f>
        <v>3982.2</v>
      </c>
      <c r="V409" s="103">
        <f>F409+38</f>
        <v>3976.2</v>
      </c>
      <c r="W409" s="321">
        <f>+V409*$X$1</f>
        <v>3976.2</v>
      </c>
      <c r="X409" s="169"/>
      <c r="Y409" s="139"/>
      <c r="Z409" s="139"/>
      <c r="AA409" s="142"/>
      <c r="AB409" s="448">
        <v>3001</v>
      </c>
    </row>
    <row r="410" spans="1:35" ht="12.6" customHeight="1" x14ac:dyDescent="0.2">
      <c r="A410" s="107"/>
      <c r="B410" s="967" t="s">
        <v>826</v>
      </c>
      <c r="C410" s="968"/>
      <c r="D410" s="968"/>
      <c r="E410" s="968"/>
      <c r="F410" s="299">
        <v>3710</v>
      </c>
      <c r="G410" s="299">
        <f t="shared" ref="G410" si="691">+F410*$X$1</f>
        <v>3710</v>
      </c>
      <c r="H410" s="291"/>
      <c r="I410" s="364"/>
      <c r="J410" s="624"/>
      <c r="K410" s="299"/>
      <c r="L410" s="624">
        <f>F410+1000</f>
        <v>4710</v>
      </c>
      <c r="M410" s="299">
        <f>+L410*$X$1</f>
        <v>4710</v>
      </c>
      <c r="N410" s="624">
        <f>F410+770</f>
        <v>4480</v>
      </c>
      <c r="O410" s="299">
        <f t="shared" ref="O410:O411" si="692">+N410*$X$1</f>
        <v>4480</v>
      </c>
      <c r="P410" s="624">
        <f>F410+720</f>
        <v>4430</v>
      </c>
      <c r="Q410" s="299">
        <f t="shared" ref="Q410:Q411" si="693">+P410*$X$1</f>
        <v>4430</v>
      </c>
      <c r="R410" s="624">
        <f>F410+690</f>
        <v>4400</v>
      </c>
      <c r="S410" s="299">
        <f>+R410*$X$1</f>
        <v>4400</v>
      </c>
      <c r="T410" s="624">
        <f>F410+660</f>
        <v>4370</v>
      </c>
      <c r="U410" s="299">
        <f>+T410*$X$1</f>
        <v>4370</v>
      </c>
      <c r="V410" s="624"/>
      <c r="W410" s="299"/>
      <c r="X410" s="221"/>
      <c r="Y410" s="223"/>
      <c r="Z410" s="223"/>
      <c r="AA410" s="222"/>
      <c r="AB410" s="436">
        <v>5003</v>
      </c>
      <c r="AC410" s="66"/>
    </row>
    <row r="411" spans="1:35" ht="12.6" customHeight="1" x14ac:dyDescent="0.2">
      <c r="A411" s="107"/>
      <c r="B411" s="951" t="s">
        <v>827</v>
      </c>
      <c r="C411" s="1081"/>
      <c r="D411" s="1081"/>
      <c r="E411" s="1081"/>
      <c r="F411" s="300">
        <v>3710</v>
      </c>
      <c r="G411" s="300">
        <f t="shared" ref="G411" si="694">+F411*$X$1</f>
        <v>3710</v>
      </c>
      <c r="H411" s="514">
        <f>F411+500</f>
        <v>4210</v>
      </c>
      <c r="I411" s="300">
        <f>+H411*$X$1</f>
        <v>4210</v>
      </c>
      <c r="J411" s="90">
        <f>F411+220</f>
        <v>3930</v>
      </c>
      <c r="K411" s="300">
        <f t="shared" ref="K411" si="695">+J411*$X$1</f>
        <v>3930</v>
      </c>
      <c r="L411" s="514">
        <f>F411+176</f>
        <v>3886</v>
      </c>
      <c r="M411" s="300">
        <f t="shared" ref="M411" si="696">+L411*$X$1</f>
        <v>3886</v>
      </c>
      <c r="N411" s="514">
        <f>F411+143</f>
        <v>3853</v>
      </c>
      <c r="O411" s="300">
        <f t="shared" si="692"/>
        <v>3853</v>
      </c>
      <c r="P411" s="514">
        <f>F411+110</f>
        <v>3820</v>
      </c>
      <c r="Q411" s="300">
        <f t="shared" si="693"/>
        <v>3820</v>
      </c>
      <c r="R411" s="514">
        <f>F411+95</f>
        <v>3805</v>
      </c>
      <c r="S411" s="300">
        <f t="shared" ref="S411" si="697">+R411*$X$1</f>
        <v>3805</v>
      </c>
      <c r="T411" s="514">
        <f>F411+77</f>
        <v>3787</v>
      </c>
      <c r="U411" s="300">
        <f t="shared" ref="U411" si="698">+T411*$X$1</f>
        <v>3787</v>
      </c>
      <c r="V411" s="514"/>
      <c r="W411" s="300"/>
      <c r="X411" s="474"/>
      <c r="Y411" s="472"/>
      <c r="Z411" s="472"/>
      <c r="AA411" s="473"/>
      <c r="AB411" s="436" t="s">
        <v>728</v>
      </c>
      <c r="AC411" s="66"/>
    </row>
    <row r="412" spans="1:35" ht="12.6" customHeight="1" x14ac:dyDescent="0.2">
      <c r="A412" s="18"/>
      <c r="B412" s="663" t="s">
        <v>553</v>
      </c>
      <c r="C412" s="693"/>
      <c r="D412" s="693"/>
      <c r="E412" s="693"/>
      <c r="F412" s="299">
        <v>4992</v>
      </c>
      <c r="G412" s="299">
        <f t="shared" ref="G412:G421" si="699">+F412*$X$1</f>
        <v>4992</v>
      </c>
      <c r="H412" s="291"/>
      <c r="I412" s="364"/>
      <c r="J412" s="624"/>
      <c r="K412" s="299"/>
      <c r="L412" s="624">
        <f>F412+1300</f>
        <v>6292</v>
      </c>
      <c r="M412" s="299">
        <f t="shared" ref="M412" si="700">+L412*$X$1</f>
        <v>6292</v>
      </c>
      <c r="N412" s="624">
        <f>F412+1000</f>
        <v>5992</v>
      </c>
      <c r="O412" s="299">
        <f t="shared" ref="O412" si="701">+N412*$X$1</f>
        <v>5992</v>
      </c>
      <c r="P412" s="624">
        <f>F412+900</f>
        <v>5892</v>
      </c>
      <c r="Q412" s="299">
        <f t="shared" ref="Q412" si="702">+P412*$X$1</f>
        <v>5892</v>
      </c>
      <c r="R412" s="624">
        <f>F412+860</f>
        <v>5852</v>
      </c>
      <c r="S412" s="299">
        <f>+R412*$X$1</f>
        <v>5852</v>
      </c>
      <c r="T412" s="624">
        <f>F412+830</f>
        <v>5822</v>
      </c>
      <c r="U412" s="299">
        <f>+T412*$X$1</f>
        <v>5822</v>
      </c>
      <c r="V412" s="624"/>
      <c r="W412" s="299"/>
      <c r="X412" s="1154"/>
      <c r="Y412" s="1155"/>
      <c r="Z412" s="1155"/>
      <c r="AA412" s="1156"/>
      <c r="AB412" s="200">
        <v>5008</v>
      </c>
      <c r="AC412" s="39"/>
      <c r="AD412" s="39"/>
      <c r="AE412" s="39"/>
      <c r="AF412" s="39"/>
      <c r="AG412" s="39"/>
      <c r="AH412" s="39"/>
      <c r="AI412" s="39"/>
    </row>
    <row r="413" spans="1:35" ht="12.6" customHeight="1" x14ac:dyDescent="0.2">
      <c r="A413" s="18"/>
      <c r="B413" s="670" t="s">
        <v>554</v>
      </c>
      <c r="C413" s="679"/>
      <c r="D413" s="679"/>
      <c r="E413" s="680"/>
      <c r="F413" s="300">
        <v>6786</v>
      </c>
      <c r="G413" s="300">
        <f t="shared" si="699"/>
        <v>6786</v>
      </c>
      <c r="H413" s="290"/>
      <c r="I413" s="365"/>
      <c r="J413" s="514"/>
      <c r="K413" s="300"/>
      <c r="L413" s="514">
        <f>F413+1300</f>
        <v>8086</v>
      </c>
      <c r="M413" s="300">
        <f t="shared" ref="M413:M415" si="703">+L413*$X$1</f>
        <v>8086</v>
      </c>
      <c r="N413" s="514">
        <f>F413+1000</f>
        <v>7786</v>
      </c>
      <c r="O413" s="300">
        <f t="shared" ref="O413:O415" si="704">+N413*$X$1</f>
        <v>7786</v>
      </c>
      <c r="P413" s="514">
        <f>F413+900</f>
        <v>7686</v>
      </c>
      <c r="Q413" s="300">
        <f t="shared" ref="Q413:Q415" si="705">+P413*$X$1</f>
        <v>7686</v>
      </c>
      <c r="R413" s="514">
        <f>F413+860</f>
        <v>7646</v>
      </c>
      <c r="S413" s="300">
        <f>+R413*$X$1</f>
        <v>7646</v>
      </c>
      <c r="T413" s="514">
        <f>F413+830</f>
        <v>7616</v>
      </c>
      <c r="U413" s="300">
        <f>+T413*$X$1</f>
        <v>7616</v>
      </c>
      <c r="V413" s="514"/>
      <c r="W413" s="300"/>
      <c r="X413" s="1154"/>
      <c r="Y413" s="1155"/>
      <c r="Z413" s="1155"/>
      <c r="AA413" s="1156"/>
      <c r="AB413" s="448">
        <v>5010</v>
      </c>
      <c r="AC413" s="39"/>
      <c r="AD413" s="39"/>
      <c r="AE413" s="39"/>
      <c r="AF413" s="39"/>
      <c r="AG413" s="39"/>
      <c r="AH413" s="39"/>
      <c r="AI413" s="39"/>
    </row>
    <row r="414" spans="1:35" ht="12.6" customHeight="1" x14ac:dyDescent="0.2">
      <c r="A414" s="18"/>
      <c r="B414" s="673" t="s">
        <v>555</v>
      </c>
      <c r="C414" s="676"/>
      <c r="D414" s="676"/>
      <c r="E414" s="677"/>
      <c r="F414" s="299">
        <v>3783</v>
      </c>
      <c r="G414" s="299">
        <f t="shared" ref="G414" si="706">+F414*$X$1</f>
        <v>3783</v>
      </c>
      <c r="H414" s="291"/>
      <c r="I414" s="364"/>
      <c r="J414" s="624"/>
      <c r="K414" s="299"/>
      <c r="L414" s="624">
        <f>F414+1300</f>
        <v>5083</v>
      </c>
      <c r="M414" s="299">
        <f t="shared" si="703"/>
        <v>5083</v>
      </c>
      <c r="N414" s="624">
        <f>F414+1000</f>
        <v>4783</v>
      </c>
      <c r="O414" s="299">
        <f t="shared" si="704"/>
        <v>4783</v>
      </c>
      <c r="P414" s="624">
        <f>F414+900</f>
        <v>4683</v>
      </c>
      <c r="Q414" s="299">
        <f t="shared" si="705"/>
        <v>4683</v>
      </c>
      <c r="R414" s="624">
        <f>F414+860</f>
        <v>4643</v>
      </c>
      <c r="S414" s="299">
        <f>+R414*$X$1</f>
        <v>4643</v>
      </c>
      <c r="T414" s="624">
        <f>F414+830</f>
        <v>4613</v>
      </c>
      <c r="U414" s="299">
        <f>+T414*$X$1</f>
        <v>4613</v>
      </c>
      <c r="V414" s="624"/>
      <c r="W414" s="299"/>
      <c r="X414" s="1154"/>
      <c r="Y414" s="1155"/>
      <c r="Z414" s="1155"/>
      <c r="AA414" s="1156"/>
      <c r="AB414" s="448"/>
      <c r="AC414" s="39"/>
      <c r="AD414" s="39"/>
      <c r="AE414" s="39"/>
      <c r="AF414" s="39"/>
      <c r="AG414" s="39"/>
      <c r="AH414" s="39"/>
      <c r="AI414" s="39"/>
    </row>
    <row r="415" spans="1:35" ht="12.6" customHeight="1" x14ac:dyDescent="0.2">
      <c r="A415" s="18"/>
      <c r="B415" s="670" t="s">
        <v>556</v>
      </c>
      <c r="C415" s="679"/>
      <c r="D415" s="679"/>
      <c r="E415" s="680"/>
      <c r="F415" s="300">
        <v>5616</v>
      </c>
      <c r="G415" s="300">
        <f t="shared" ref="G415:G418" si="707">+F415*$X$1</f>
        <v>5616</v>
      </c>
      <c r="H415" s="290"/>
      <c r="I415" s="365"/>
      <c r="J415" s="514"/>
      <c r="K415" s="300"/>
      <c r="L415" s="514">
        <f>F415+1300</f>
        <v>6916</v>
      </c>
      <c r="M415" s="300">
        <f t="shared" si="703"/>
        <v>6916</v>
      </c>
      <c r="N415" s="514">
        <f>F415+1000</f>
        <v>6616</v>
      </c>
      <c r="O415" s="300">
        <f t="shared" si="704"/>
        <v>6616</v>
      </c>
      <c r="P415" s="514">
        <f>F415+900</f>
        <v>6516</v>
      </c>
      <c r="Q415" s="300">
        <f t="shared" si="705"/>
        <v>6516</v>
      </c>
      <c r="R415" s="514">
        <f>F415+860</f>
        <v>6476</v>
      </c>
      <c r="S415" s="300">
        <f>+R415*$X$1</f>
        <v>6476</v>
      </c>
      <c r="T415" s="514">
        <f>F415+830</f>
        <v>6446</v>
      </c>
      <c r="U415" s="300">
        <f>+T415*$X$1</f>
        <v>6446</v>
      </c>
      <c r="V415" s="514"/>
      <c r="W415" s="300"/>
      <c r="X415" s="1154"/>
      <c r="Y415" s="1155"/>
      <c r="Z415" s="1155"/>
      <c r="AA415" s="1156"/>
      <c r="AB415" s="448"/>
      <c r="AC415" s="39"/>
      <c r="AD415" s="39"/>
      <c r="AE415" s="39"/>
      <c r="AF415" s="39"/>
      <c r="AG415" s="39"/>
      <c r="AH415" s="39"/>
      <c r="AI415" s="39"/>
    </row>
    <row r="416" spans="1:35" ht="12.6" customHeight="1" x14ac:dyDescent="0.2">
      <c r="A416" s="18"/>
      <c r="B416" s="663" t="s">
        <v>875</v>
      </c>
      <c r="C416" s="664"/>
      <c r="D416" s="664"/>
      <c r="E416" s="664"/>
      <c r="F416" s="299">
        <v>1980</v>
      </c>
      <c r="G416" s="299">
        <f t="shared" si="707"/>
        <v>1980</v>
      </c>
      <c r="H416" s="291"/>
      <c r="I416" s="364"/>
      <c r="J416" s="624">
        <f>F416+200</f>
        <v>2180</v>
      </c>
      <c r="K416" s="299">
        <f t="shared" ref="K416" si="708">+J416*$X$1</f>
        <v>2180</v>
      </c>
      <c r="L416" s="624">
        <f>F416+130</f>
        <v>2110</v>
      </c>
      <c r="M416" s="299">
        <f t="shared" ref="M416" si="709">+L416*$X$1</f>
        <v>2110</v>
      </c>
      <c r="N416" s="624">
        <f>F416+70</f>
        <v>2050</v>
      </c>
      <c r="O416" s="299">
        <f t="shared" ref="O416" si="710">+N416*$X$1</f>
        <v>2050</v>
      </c>
      <c r="P416" s="624">
        <f>F416+60</f>
        <v>2040</v>
      </c>
      <c r="Q416" s="299">
        <f t="shared" ref="Q416:Q417" si="711">+P416*$X$1</f>
        <v>2040</v>
      </c>
      <c r="R416" s="624">
        <f>F416+52</f>
        <v>2032</v>
      </c>
      <c r="S416" s="299">
        <f t="shared" ref="S416" si="712">+R416*$X$1</f>
        <v>2032</v>
      </c>
      <c r="T416" s="104">
        <f>F416+45</f>
        <v>2025</v>
      </c>
      <c r="U416" s="264">
        <f t="shared" ref="U416" si="713">+T416*$X$1</f>
        <v>2025</v>
      </c>
      <c r="V416" s="104">
        <f>F416+40</f>
        <v>2020</v>
      </c>
      <c r="W416" s="264">
        <f t="shared" ref="W416" si="714">+V416*$X$1</f>
        <v>2020</v>
      </c>
      <c r="X416" s="1137"/>
      <c r="Y416" s="1138"/>
      <c r="Z416" s="1138"/>
      <c r="AA416" s="1139"/>
      <c r="AB416" s="448">
        <v>11604</v>
      </c>
    </row>
    <row r="417" spans="1:33" ht="12.6" customHeight="1" x14ac:dyDescent="0.2">
      <c r="A417" s="18"/>
      <c r="B417" s="685" t="s">
        <v>552</v>
      </c>
      <c r="C417" s="901"/>
      <c r="D417" s="901"/>
      <c r="E417" s="901"/>
      <c r="F417" s="300">
        <v>1980</v>
      </c>
      <c r="G417" s="300">
        <f t="shared" si="699"/>
        <v>1980</v>
      </c>
      <c r="H417" s="290"/>
      <c r="I417" s="365"/>
      <c r="J417" s="514">
        <f>F417+300</f>
        <v>2280</v>
      </c>
      <c r="K417" s="300">
        <f t="shared" ref="K417" si="715">+J417*$X$1</f>
        <v>2280</v>
      </c>
      <c r="L417" s="514">
        <f>F417+240</f>
        <v>2220</v>
      </c>
      <c r="M417" s="300">
        <f>+L417*$X$1</f>
        <v>2220</v>
      </c>
      <c r="N417" s="514">
        <f>F417+204</f>
        <v>2184</v>
      </c>
      <c r="O417" s="300">
        <f>+N417*$X$1</f>
        <v>2184</v>
      </c>
      <c r="P417" s="514">
        <f>F417+170</f>
        <v>2150</v>
      </c>
      <c r="Q417" s="300">
        <f t="shared" si="711"/>
        <v>2150</v>
      </c>
      <c r="R417" s="514">
        <f>F417+145</f>
        <v>2125</v>
      </c>
      <c r="S417" s="300">
        <f>+R417*$X$1</f>
        <v>2125</v>
      </c>
      <c r="T417" s="514">
        <f>F417+120</f>
        <v>2100</v>
      </c>
      <c r="U417" s="300">
        <f t="shared" ref="U417" si="716">+T417*$X$1</f>
        <v>2100</v>
      </c>
      <c r="V417" s="514">
        <f>F417+110</f>
        <v>2090</v>
      </c>
      <c r="W417" s="300">
        <f>+V417*$X$1</f>
        <v>2090</v>
      </c>
      <c r="X417" s="1137"/>
      <c r="Y417" s="1138"/>
      <c r="Z417" s="1138"/>
      <c r="AA417" s="1139"/>
      <c r="AB417" s="448">
        <v>11605</v>
      </c>
    </row>
    <row r="418" spans="1:33" ht="12.6" customHeight="1" x14ac:dyDescent="0.2">
      <c r="A418" s="18"/>
      <c r="B418" s="1000" t="s">
        <v>873</v>
      </c>
      <c r="C418" s="1179"/>
      <c r="D418" s="1179"/>
      <c r="E418" s="1179"/>
      <c r="F418" s="299">
        <v>670</v>
      </c>
      <c r="G418" s="299">
        <f t="shared" si="707"/>
        <v>670</v>
      </c>
      <c r="H418" s="291"/>
      <c r="I418" s="291"/>
      <c r="J418" s="624"/>
      <c r="K418" s="299"/>
      <c r="L418" s="624"/>
      <c r="M418" s="299"/>
      <c r="N418" s="624"/>
      <c r="O418" s="299"/>
      <c r="P418" s="624"/>
      <c r="Q418" s="299"/>
      <c r="R418" s="624"/>
      <c r="S418" s="299"/>
      <c r="T418" s="104"/>
      <c r="U418" s="264"/>
      <c r="V418" s="104"/>
      <c r="W418" s="264"/>
      <c r="X418" s="1137"/>
      <c r="Y418" s="1138"/>
      <c r="Z418" s="1138"/>
      <c r="AA418" s="1139"/>
      <c r="AB418" s="451"/>
    </row>
    <row r="419" spans="1:33" ht="12.6" customHeight="1" x14ac:dyDescent="0.2">
      <c r="A419" s="18"/>
      <c r="B419" s="685" t="s">
        <v>260</v>
      </c>
      <c r="C419" s="901"/>
      <c r="D419" s="901"/>
      <c r="E419" s="901"/>
      <c r="F419" s="300">
        <v>1090</v>
      </c>
      <c r="G419" s="300">
        <f t="shared" si="699"/>
        <v>1090</v>
      </c>
      <c r="H419" s="290"/>
      <c r="I419" s="290"/>
      <c r="J419" s="514">
        <f>F419+200</f>
        <v>1290</v>
      </c>
      <c r="K419" s="300">
        <f t="shared" ref="K419" si="717">+J419*$X$1</f>
        <v>1290</v>
      </c>
      <c r="L419" s="514">
        <f>F419+130</f>
        <v>1220</v>
      </c>
      <c r="M419" s="300">
        <f t="shared" ref="M419" si="718">+L419*$X$1</f>
        <v>1220</v>
      </c>
      <c r="N419" s="514">
        <f>F419+70</f>
        <v>1160</v>
      </c>
      <c r="O419" s="300">
        <f t="shared" ref="O419" si="719">+N419*$X$1</f>
        <v>1160</v>
      </c>
      <c r="P419" s="514">
        <f>F419+60</f>
        <v>1150</v>
      </c>
      <c r="Q419" s="300">
        <f t="shared" ref="Q419" si="720">+P419*$X$1</f>
        <v>1150</v>
      </c>
      <c r="R419" s="514">
        <f>F419+52</f>
        <v>1142</v>
      </c>
      <c r="S419" s="300">
        <f t="shared" ref="S419" si="721">+R419*$X$1</f>
        <v>1142</v>
      </c>
      <c r="T419" s="103">
        <f>F419+45</f>
        <v>1135</v>
      </c>
      <c r="U419" s="321">
        <f t="shared" ref="U419" si="722">+T419*$X$1</f>
        <v>1135</v>
      </c>
      <c r="V419" s="103">
        <f>F419+40</f>
        <v>1130</v>
      </c>
      <c r="W419" s="321">
        <f t="shared" ref="W419" si="723">+V419*$X$1</f>
        <v>1130</v>
      </c>
      <c r="X419" s="158"/>
      <c r="Y419" s="135"/>
      <c r="Z419" s="135"/>
      <c r="AA419" s="135"/>
      <c r="AB419" s="452"/>
    </row>
    <row r="420" spans="1:33" ht="12.6" customHeight="1" x14ac:dyDescent="0.2">
      <c r="A420" s="107"/>
      <c r="B420" s="896" t="s">
        <v>261</v>
      </c>
      <c r="C420" s="1083"/>
      <c r="D420" s="1083"/>
      <c r="E420" s="1083"/>
      <c r="F420" s="357">
        <v>40</v>
      </c>
      <c r="G420" s="357">
        <f t="shared" si="699"/>
        <v>40</v>
      </c>
      <c r="H420" s="623"/>
      <c r="I420" s="623"/>
      <c r="J420" s="623"/>
      <c r="K420" s="623"/>
      <c r="L420" s="623"/>
      <c r="M420" s="623"/>
      <c r="N420" s="623"/>
      <c r="O420" s="357"/>
      <c r="P420" s="623"/>
      <c r="Q420" s="357"/>
      <c r="R420" s="623"/>
      <c r="S420" s="357"/>
      <c r="T420" s="623"/>
      <c r="U420" s="357"/>
      <c r="V420" s="623"/>
      <c r="W420" s="357"/>
      <c r="X420" s="158"/>
      <c r="Y420" s="135"/>
      <c r="Z420" s="135"/>
      <c r="AA420" s="135"/>
      <c r="AB420" s="200">
        <v>11612</v>
      </c>
    </row>
    <row r="421" spans="1:33" ht="12.6" customHeight="1" x14ac:dyDescent="0.2">
      <c r="A421" s="18"/>
      <c r="B421" s="670" t="s">
        <v>867</v>
      </c>
      <c r="C421" s="679"/>
      <c r="D421" s="679"/>
      <c r="E421" s="680"/>
      <c r="F421" s="408">
        <f>1.47*X2</f>
        <v>1492.05</v>
      </c>
      <c r="G421" s="300">
        <f t="shared" si="699"/>
        <v>1492.05</v>
      </c>
      <c r="H421" s="514">
        <f t="shared" ref="H421:H428" si="724">F421+360</f>
        <v>1852.05</v>
      </c>
      <c r="I421" s="300">
        <f t="shared" ref="I421:I428" si="725">+H421*$X$1</f>
        <v>1852.05</v>
      </c>
      <c r="J421" s="514">
        <f t="shared" ref="J421:J428" si="726">F421+180</f>
        <v>1672.05</v>
      </c>
      <c r="K421" s="300">
        <f t="shared" ref="K421:K424" si="727">+J421*$X$1</f>
        <v>1672.05</v>
      </c>
      <c r="L421" s="514">
        <f t="shared" ref="L421:L428" si="728">F421+120</f>
        <v>1612.05</v>
      </c>
      <c r="M421" s="300">
        <f t="shared" ref="M421:M424" si="729">+L421*$X$1</f>
        <v>1612.05</v>
      </c>
      <c r="N421" s="514">
        <f t="shared" ref="N421:N428" si="730">F421+61</f>
        <v>1553.05</v>
      </c>
      <c r="O421" s="300">
        <f t="shared" ref="O421:O424" si="731">+N421*$X$1</f>
        <v>1553.05</v>
      </c>
      <c r="P421" s="514">
        <f t="shared" ref="P421:P428" si="732">F421+54</f>
        <v>1546.05</v>
      </c>
      <c r="Q421" s="300">
        <f t="shared" ref="Q421:Q424" si="733">+P421*$X$1</f>
        <v>1546.05</v>
      </c>
      <c r="R421" s="514">
        <f t="shared" ref="R421:R428" si="734">F421+47</f>
        <v>1539.05</v>
      </c>
      <c r="S421" s="300">
        <f t="shared" ref="S421:S424" si="735">+R421*$X$1</f>
        <v>1539.05</v>
      </c>
      <c r="T421" s="514">
        <f t="shared" ref="T421:T428" si="736">F421+38</f>
        <v>1530.05</v>
      </c>
      <c r="U421" s="300">
        <f t="shared" ref="U421:U424" si="737">+T421*$X$1</f>
        <v>1530.05</v>
      </c>
      <c r="V421" s="514">
        <f t="shared" ref="V421:V428" si="738">F421+33</f>
        <v>1525.05</v>
      </c>
      <c r="W421" s="300">
        <f t="shared" ref="W421:W424" si="739">+V421*$X$1</f>
        <v>1525.05</v>
      </c>
      <c r="X421" s="697"/>
      <c r="Y421" s="743"/>
      <c r="Z421" s="743"/>
      <c r="AA421" s="698"/>
      <c r="AB421" s="200" t="s">
        <v>868</v>
      </c>
    </row>
    <row r="422" spans="1:33" ht="12.6" customHeight="1" x14ac:dyDescent="0.2">
      <c r="A422" s="18"/>
      <c r="B422" s="673" t="s">
        <v>866</v>
      </c>
      <c r="C422" s="676"/>
      <c r="D422" s="676"/>
      <c r="E422" s="677"/>
      <c r="F422" s="407">
        <f>1.35*X2</f>
        <v>1370.25</v>
      </c>
      <c r="G422" s="299">
        <f t="shared" ref="G422" si="740">+F422*$X$1</f>
        <v>1370.25</v>
      </c>
      <c r="H422" s="624">
        <f t="shared" si="724"/>
        <v>1730.25</v>
      </c>
      <c r="I422" s="299">
        <f t="shared" si="725"/>
        <v>1730.25</v>
      </c>
      <c r="J422" s="624">
        <f t="shared" si="726"/>
        <v>1550.25</v>
      </c>
      <c r="K422" s="299">
        <f t="shared" si="727"/>
        <v>1550.25</v>
      </c>
      <c r="L422" s="624">
        <f t="shared" si="728"/>
        <v>1490.25</v>
      </c>
      <c r="M422" s="299">
        <f t="shared" si="729"/>
        <v>1490.25</v>
      </c>
      <c r="N422" s="624">
        <f t="shared" si="730"/>
        <v>1431.25</v>
      </c>
      <c r="O422" s="299">
        <f t="shared" si="731"/>
        <v>1431.25</v>
      </c>
      <c r="P422" s="624">
        <f t="shared" si="732"/>
        <v>1424.25</v>
      </c>
      <c r="Q422" s="299">
        <f t="shared" si="733"/>
        <v>1424.25</v>
      </c>
      <c r="R422" s="624">
        <f t="shared" si="734"/>
        <v>1417.25</v>
      </c>
      <c r="S422" s="299">
        <f t="shared" si="735"/>
        <v>1417.25</v>
      </c>
      <c r="T422" s="624">
        <f t="shared" si="736"/>
        <v>1408.25</v>
      </c>
      <c r="U422" s="299">
        <f t="shared" si="737"/>
        <v>1408.25</v>
      </c>
      <c r="V422" s="624">
        <f t="shared" si="738"/>
        <v>1403.25</v>
      </c>
      <c r="W422" s="299">
        <f t="shared" si="739"/>
        <v>1403.25</v>
      </c>
      <c r="X422" s="697"/>
      <c r="Y422" s="743"/>
      <c r="Z422" s="743"/>
      <c r="AA422" s="698"/>
      <c r="AB422" s="200" t="s">
        <v>537</v>
      </c>
    </row>
    <row r="423" spans="1:33" ht="12.6" customHeight="1" x14ac:dyDescent="0.2">
      <c r="A423" s="107"/>
      <c r="B423" s="691" t="s">
        <v>688</v>
      </c>
      <c r="C423" s="692"/>
      <c r="D423" s="692"/>
      <c r="E423" s="692"/>
      <c r="F423" s="408">
        <f>4.1*X2</f>
        <v>4161.5</v>
      </c>
      <c r="G423" s="300">
        <f>+F423*$X$1</f>
        <v>4161.5</v>
      </c>
      <c r="H423" s="101">
        <f t="shared" si="724"/>
        <v>4521.5</v>
      </c>
      <c r="I423" s="300">
        <f t="shared" si="725"/>
        <v>4521.5</v>
      </c>
      <c r="J423" s="514">
        <f t="shared" si="726"/>
        <v>4341.5</v>
      </c>
      <c r="K423" s="300">
        <f t="shared" si="727"/>
        <v>4341.5</v>
      </c>
      <c r="L423" s="514">
        <f t="shared" si="728"/>
        <v>4281.5</v>
      </c>
      <c r="M423" s="300">
        <f t="shared" si="729"/>
        <v>4281.5</v>
      </c>
      <c r="N423" s="514">
        <f t="shared" si="730"/>
        <v>4222.5</v>
      </c>
      <c r="O423" s="300">
        <f t="shared" si="731"/>
        <v>4222.5</v>
      </c>
      <c r="P423" s="514">
        <f t="shared" si="732"/>
        <v>4215.5</v>
      </c>
      <c r="Q423" s="300">
        <f t="shared" si="733"/>
        <v>4215.5</v>
      </c>
      <c r="R423" s="514">
        <f t="shared" si="734"/>
        <v>4208.5</v>
      </c>
      <c r="S423" s="300">
        <f t="shared" si="735"/>
        <v>4208.5</v>
      </c>
      <c r="T423" s="514">
        <f t="shared" si="736"/>
        <v>4199.5</v>
      </c>
      <c r="U423" s="300">
        <f t="shared" si="737"/>
        <v>4199.5</v>
      </c>
      <c r="V423" s="514">
        <f t="shared" si="738"/>
        <v>4194.5</v>
      </c>
      <c r="W423" s="300">
        <f t="shared" si="739"/>
        <v>4194.5</v>
      </c>
      <c r="X423" s="697"/>
      <c r="Y423" s="697"/>
      <c r="Z423" s="697"/>
      <c r="AA423" s="697"/>
      <c r="AB423" s="436" t="s">
        <v>687</v>
      </c>
      <c r="AC423" s="66"/>
    </row>
    <row r="424" spans="1:33" ht="12.6" customHeight="1" x14ac:dyDescent="0.2">
      <c r="A424" s="107"/>
      <c r="B424" s="967" t="s">
        <v>678</v>
      </c>
      <c r="C424" s="968"/>
      <c r="D424" s="968"/>
      <c r="E424" s="968"/>
      <c r="F424" s="407">
        <f>4.836*X2</f>
        <v>4908.54</v>
      </c>
      <c r="G424" s="299">
        <f t="shared" ref="G424:G427" si="741">+F424*$X$1</f>
        <v>4908.54</v>
      </c>
      <c r="H424" s="423">
        <f t="shared" si="724"/>
        <v>5268.54</v>
      </c>
      <c r="I424" s="299">
        <f t="shared" si="725"/>
        <v>5268.54</v>
      </c>
      <c r="J424" s="624">
        <f t="shared" si="726"/>
        <v>5088.54</v>
      </c>
      <c r="K424" s="299">
        <f t="shared" si="727"/>
        <v>5088.54</v>
      </c>
      <c r="L424" s="624">
        <f t="shared" si="728"/>
        <v>5028.54</v>
      </c>
      <c r="M424" s="299">
        <f t="shared" si="729"/>
        <v>5028.54</v>
      </c>
      <c r="N424" s="624">
        <f t="shared" si="730"/>
        <v>4969.54</v>
      </c>
      <c r="O424" s="299">
        <f t="shared" si="731"/>
        <v>4969.54</v>
      </c>
      <c r="P424" s="624">
        <f t="shared" si="732"/>
        <v>4962.54</v>
      </c>
      <c r="Q424" s="299">
        <f t="shared" si="733"/>
        <v>4962.54</v>
      </c>
      <c r="R424" s="624">
        <f t="shared" si="734"/>
        <v>4955.54</v>
      </c>
      <c r="S424" s="299">
        <f t="shared" si="735"/>
        <v>4955.54</v>
      </c>
      <c r="T424" s="624">
        <f t="shared" si="736"/>
        <v>4946.54</v>
      </c>
      <c r="U424" s="299">
        <f t="shared" si="737"/>
        <v>4946.54</v>
      </c>
      <c r="V424" s="624">
        <f t="shared" si="738"/>
        <v>4941.54</v>
      </c>
      <c r="W424" s="299">
        <f t="shared" si="739"/>
        <v>4941.54</v>
      </c>
      <c r="X424" s="697"/>
      <c r="Y424" s="697"/>
      <c r="Z424" s="697"/>
      <c r="AA424" s="697"/>
      <c r="AB424" s="436" t="s">
        <v>677</v>
      </c>
      <c r="AC424" s="66"/>
    </row>
    <row r="425" spans="1:33" ht="12.6" customHeight="1" x14ac:dyDescent="0.2">
      <c r="A425" s="107"/>
      <c r="B425" s="691" t="s">
        <v>849</v>
      </c>
      <c r="C425" s="692"/>
      <c r="D425" s="692"/>
      <c r="E425" s="692"/>
      <c r="F425" s="408">
        <f>4.81*X2</f>
        <v>4882.1499999999996</v>
      </c>
      <c r="G425" s="300">
        <f t="shared" ref="G425" si="742">+F425*$X$1</f>
        <v>4882.1499999999996</v>
      </c>
      <c r="H425" s="101">
        <f t="shared" si="724"/>
        <v>5242.1499999999996</v>
      </c>
      <c r="I425" s="300">
        <f t="shared" si="725"/>
        <v>5242.1499999999996</v>
      </c>
      <c r="J425" s="514">
        <f t="shared" si="726"/>
        <v>5062.1499999999996</v>
      </c>
      <c r="K425" s="300">
        <f t="shared" ref="K425:K428" si="743">+J425*$X$1</f>
        <v>5062.1499999999996</v>
      </c>
      <c r="L425" s="514">
        <f t="shared" si="728"/>
        <v>5002.1499999999996</v>
      </c>
      <c r="M425" s="300">
        <f t="shared" ref="M425:M428" si="744">+L425*$X$1</f>
        <v>5002.1499999999996</v>
      </c>
      <c r="N425" s="514">
        <f t="shared" si="730"/>
        <v>4943.1499999999996</v>
      </c>
      <c r="O425" s="300">
        <f t="shared" ref="O425:O428" si="745">+N425*$X$1</f>
        <v>4943.1499999999996</v>
      </c>
      <c r="P425" s="514">
        <f t="shared" si="732"/>
        <v>4936.1499999999996</v>
      </c>
      <c r="Q425" s="300">
        <f t="shared" ref="Q425:Q428" si="746">+P425*$X$1</f>
        <v>4936.1499999999996</v>
      </c>
      <c r="R425" s="514">
        <f t="shared" si="734"/>
        <v>4929.1499999999996</v>
      </c>
      <c r="S425" s="300">
        <f t="shared" ref="S425:S428" si="747">+R425*$X$1</f>
        <v>4929.1499999999996</v>
      </c>
      <c r="T425" s="514">
        <f t="shared" si="736"/>
        <v>4920.1499999999996</v>
      </c>
      <c r="U425" s="300">
        <f t="shared" ref="U425:U428" si="748">+T425*$X$1</f>
        <v>4920.1499999999996</v>
      </c>
      <c r="V425" s="514">
        <f t="shared" si="738"/>
        <v>4915.1499999999996</v>
      </c>
      <c r="W425" s="300">
        <f t="shared" ref="W425:W428" si="749">+V425*$X$1</f>
        <v>4915.1499999999996</v>
      </c>
      <c r="X425" s="697"/>
      <c r="Y425" s="697"/>
      <c r="Z425" s="697"/>
      <c r="AA425" s="697"/>
      <c r="AB425" s="436" t="s">
        <v>850</v>
      </c>
      <c r="AC425" s="66"/>
    </row>
    <row r="426" spans="1:33" ht="12.6" customHeight="1" x14ac:dyDescent="0.2">
      <c r="A426" s="107"/>
      <c r="B426" s="967" t="s">
        <v>681</v>
      </c>
      <c r="C426" s="968"/>
      <c r="D426" s="968"/>
      <c r="E426" s="968"/>
      <c r="F426" s="407">
        <f>4.056*X2</f>
        <v>4116.84</v>
      </c>
      <c r="G426" s="299">
        <f t="shared" si="741"/>
        <v>4116.84</v>
      </c>
      <c r="H426" s="423">
        <f t="shared" si="724"/>
        <v>4476.84</v>
      </c>
      <c r="I426" s="299">
        <f t="shared" si="725"/>
        <v>4476.84</v>
      </c>
      <c r="J426" s="624">
        <f t="shared" si="726"/>
        <v>4296.84</v>
      </c>
      <c r="K426" s="299">
        <f t="shared" si="743"/>
        <v>4296.84</v>
      </c>
      <c r="L426" s="624">
        <f t="shared" si="728"/>
        <v>4236.84</v>
      </c>
      <c r="M426" s="299">
        <f t="shared" si="744"/>
        <v>4236.84</v>
      </c>
      <c r="N426" s="624">
        <f t="shared" si="730"/>
        <v>4177.84</v>
      </c>
      <c r="O426" s="299">
        <f t="shared" si="745"/>
        <v>4177.84</v>
      </c>
      <c r="P426" s="624">
        <f t="shared" si="732"/>
        <v>4170.84</v>
      </c>
      <c r="Q426" s="299">
        <f t="shared" si="746"/>
        <v>4170.84</v>
      </c>
      <c r="R426" s="624">
        <f t="shared" si="734"/>
        <v>4163.84</v>
      </c>
      <c r="S426" s="299">
        <f t="shared" si="747"/>
        <v>4163.84</v>
      </c>
      <c r="T426" s="624">
        <f t="shared" si="736"/>
        <v>4154.84</v>
      </c>
      <c r="U426" s="299">
        <f t="shared" si="748"/>
        <v>4154.84</v>
      </c>
      <c r="V426" s="624">
        <f t="shared" si="738"/>
        <v>4149.84</v>
      </c>
      <c r="W426" s="299">
        <f t="shared" si="749"/>
        <v>4149.84</v>
      </c>
      <c r="X426" s="697"/>
      <c r="Y426" s="697"/>
      <c r="Z426" s="697"/>
      <c r="AA426" s="697"/>
      <c r="AB426" s="436" t="s">
        <v>679</v>
      </c>
      <c r="AC426" s="66"/>
    </row>
    <row r="427" spans="1:33" ht="12.6" customHeight="1" x14ac:dyDescent="0.2">
      <c r="A427" s="107"/>
      <c r="B427" s="691" t="s">
        <v>682</v>
      </c>
      <c r="C427" s="692"/>
      <c r="D427" s="692"/>
      <c r="E427" s="692"/>
      <c r="F427" s="408">
        <f>4.056*X2</f>
        <v>4116.84</v>
      </c>
      <c r="G427" s="300">
        <f t="shared" si="741"/>
        <v>4116.84</v>
      </c>
      <c r="H427" s="101">
        <f t="shared" si="724"/>
        <v>4476.84</v>
      </c>
      <c r="I427" s="300">
        <f t="shared" si="725"/>
        <v>4476.84</v>
      </c>
      <c r="J427" s="514">
        <f t="shared" si="726"/>
        <v>4296.84</v>
      </c>
      <c r="K427" s="300">
        <f t="shared" si="743"/>
        <v>4296.84</v>
      </c>
      <c r="L427" s="514">
        <f t="shared" si="728"/>
        <v>4236.84</v>
      </c>
      <c r="M427" s="300">
        <f t="shared" si="744"/>
        <v>4236.84</v>
      </c>
      <c r="N427" s="514">
        <f t="shared" si="730"/>
        <v>4177.84</v>
      </c>
      <c r="O427" s="300">
        <f t="shared" si="745"/>
        <v>4177.84</v>
      </c>
      <c r="P427" s="514">
        <f t="shared" si="732"/>
        <v>4170.84</v>
      </c>
      <c r="Q427" s="300">
        <f t="shared" si="746"/>
        <v>4170.84</v>
      </c>
      <c r="R427" s="514">
        <f t="shared" si="734"/>
        <v>4163.84</v>
      </c>
      <c r="S427" s="300">
        <f t="shared" si="747"/>
        <v>4163.84</v>
      </c>
      <c r="T427" s="514">
        <f t="shared" si="736"/>
        <v>4154.84</v>
      </c>
      <c r="U427" s="300">
        <f t="shared" si="748"/>
        <v>4154.84</v>
      </c>
      <c r="V427" s="514">
        <f t="shared" si="738"/>
        <v>4149.84</v>
      </c>
      <c r="W427" s="300">
        <f t="shared" si="749"/>
        <v>4149.84</v>
      </c>
      <c r="X427" s="697"/>
      <c r="Y427" s="697"/>
      <c r="Z427" s="697"/>
      <c r="AA427" s="697"/>
      <c r="AB427" s="436" t="s">
        <v>680</v>
      </c>
      <c r="AC427" s="66"/>
    </row>
    <row r="428" spans="1:33" ht="12.6" customHeight="1" x14ac:dyDescent="0.2">
      <c r="A428" s="107"/>
      <c r="B428" s="967" t="s">
        <v>683</v>
      </c>
      <c r="C428" s="968"/>
      <c r="D428" s="968"/>
      <c r="E428" s="968"/>
      <c r="F428" s="407">
        <f>4.036*X2</f>
        <v>4096.54</v>
      </c>
      <c r="G428" s="299">
        <f t="shared" ref="G428" si="750">+F428*$X$1</f>
        <v>4096.54</v>
      </c>
      <c r="H428" s="423">
        <f t="shared" si="724"/>
        <v>4456.54</v>
      </c>
      <c r="I428" s="299">
        <f t="shared" si="725"/>
        <v>4456.54</v>
      </c>
      <c r="J428" s="624">
        <f t="shared" si="726"/>
        <v>4276.54</v>
      </c>
      <c r="K428" s="299">
        <f t="shared" si="743"/>
        <v>4276.54</v>
      </c>
      <c r="L428" s="624">
        <f t="shared" si="728"/>
        <v>4216.54</v>
      </c>
      <c r="M428" s="299">
        <f t="shared" si="744"/>
        <v>4216.54</v>
      </c>
      <c r="N428" s="624">
        <f t="shared" si="730"/>
        <v>4157.54</v>
      </c>
      <c r="O428" s="299">
        <f t="shared" si="745"/>
        <v>4157.54</v>
      </c>
      <c r="P428" s="624">
        <f t="shared" si="732"/>
        <v>4150.54</v>
      </c>
      <c r="Q428" s="299">
        <f t="shared" si="746"/>
        <v>4150.54</v>
      </c>
      <c r="R428" s="624">
        <f t="shared" si="734"/>
        <v>4143.54</v>
      </c>
      <c r="S428" s="299">
        <f t="shared" si="747"/>
        <v>4143.54</v>
      </c>
      <c r="T428" s="624">
        <f t="shared" si="736"/>
        <v>4134.54</v>
      </c>
      <c r="U428" s="299">
        <f t="shared" si="748"/>
        <v>4134.54</v>
      </c>
      <c r="V428" s="624">
        <f t="shared" si="738"/>
        <v>4129.54</v>
      </c>
      <c r="W428" s="299">
        <f t="shared" si="749"/>
        <v>4129.54</v>
      </c>
      <c r="X428" s="697"/>
      <c r="Y428" s="697"/>
      <c r="Z428" s="697"/>
      <c r="AA428" s="697"/>
      <c r="AB428" s="436" t="s">
        <v>684</v>
      </c>
      <c r="AC428" s="66"/>
    </row>
    <row r="429" spans="1:33" ht="12.6" customHeight="1" x14ac:dyDescent="0.2">
      <c r="A429" s="18"/>
      <c r="B429" s="670" t="s">
        <v>357</v>
      </c>
      <c r="C429" s="679"/>
      <c r="D429" s="679"/>
      <c r="E429" s="680"/>
      <c r="F429" s="347">
        <v>1225</v>
      </c>
      <c r="G429" s="300">
        <f t="shared" ref="G429:G439" si="751">+F429*$X$1</f>
        <v>1225</v>
      </c>
      <c r="H429" s="269"/>
      <c r="I429" s="1140" t="s">
        <v>523</v>
      </c>
      <c r="J429" s="1141"/>
      <c r="K429" s="1141"/>
      <c r="L429" s="1141"/>
      <c r="M429" s="1142"/>
      <c r="N429" s="514">
        <v>1750</v>
      </c>
      <c r="O429" s="300">
        <f>+N429*$X$1</f>
        <v>1750</v>
      </c>
      <c r="P429" s="108">
        <v>1745</v>
      </c>
      <c r="Q429" s="300">
        <f t="shared" ref="Q429" si="752">+P429*$X$1</f>
        <v>1745</v>
      </c>
      <c r="R429" s="514">
        <v>1571</v>
      </c>
      <c r="S429" s="300">
        <f>+R429*$X$1</f>
        <v>1571</v>
      </c>
      <c r="T429" s="514">
        <v>1462</v>
      </c>
      <c r="U429" s="300">
        <f>+T429*$X$1</f>
        <v>1462</v>
      </c>
      <c r="V429" s="514">
        <v>1419</v>
      </c>
      <c r="W429" s="300">
        <f t="shared" ref="W429" si="753">+V429*$X$1</f>
        <v>1419</v>
      </c>
      <c r="X429" s="139"/>
      <c r="Y429" s="139"/>
      <c r="Z429" s="139"/>
      <c r="AA429" s="142"/>
      <c r="AB429" s="29"/>
    </row>
    <row r="430" spans="1:33" ht="12.6" customHeight="1" x14ac:dyDescent="0.2">
      <c r="A430" s="18"/>
      <c r="B430" s="673" t="s">
        <v>358</v>
      </c>
      <c r="C430" s="676"/>
      <c r="D430" s="676"/>
      <c r="E430" s="677"/>
      <c r="F430" s="348">
        <v>1225</v>
      </c>
      <c r="G430" s="299">
        <f t="shared" si="751"/>
        <v>1225</v>
      </c>
      <c r="H430" s="269"/>
      <c r="I430" s="1143"/>
      <c r="J430" s="1144"/>
      <c r="K430" s="1144"/>
      <c r="L430" s="1144"/>
      <c r="M430" s="1145"/>
      <c r="N430" s="620">
        <v>1750</v>
      </c>
      <c r="O430" s="299">
        <f>+N430*$X$1</f>
        <v>1750</v>
      </c>
      <c r="P430" s="102">
        <v>1745</v>
      </c>
      <c r="Q430" s="299">
        <f t="shared" ref="Q430:Q431" si="754">+P430*$X$1</f>
        <v>1745</v>
      </c>
      <c r="R430" s="620">
        <v>1571</v>
      </c>
      <c r="S430" s="299">
        <f>+R430*$X$1</f>
        <v>1571</v>
      </c>
      <c r="T430" s="620">
        <v>1462</v>
      </c>
      <c r="U430" s="299">
        <f>+T430*$X$1</f>
        <v>1462</v>
      </c>
      <c r="V430" s="620">
        <v>1419</v>
      </c>
      <c r="W430" s="299">
        <f t="shared" ref="W430:W431" si="755">+V430*$X$1</f>
        <v>1419</v>
      </c>
      <c r="X430" s="139"/>
      <c r="Y430" s="139"/>
      <c r="Z430" s="139"/>
      <c r="AA430" s="142"/>
      <c r="AB430" s="200"/>
    </row>
    <row r="431" spans="1:33" ht="12.6" customHeight="1" x14ac:dyDescent="0.2">
      <c r="A431" s="18"/>
      <c r="B431" s="670" t="s">
        <v>359</v>
      </c>
      <c r="C431" s="679"/>
      <c r="D431" s="679"/>
      <c r="E431" s="680"/>
      <c r="F431" s="347">
        <v>1225</v>
      </c>
      <c r="G431" s="300">
        <f t="shared" si="751"/>
        <v>1225</v>
      </c>
      <c r="H431" s="17"/>
      <c r="I431" s="1146"/>
      <c r="J431" s="1147"/>
      <c r="K431" s="1147"/>
      <c r="L431" s="1147"/>
      <c r="M431" s="1148"/>
      <c r="N431" s="514">
        <v>1750</v>
      </c>
      <c r="O431" s="300">
        <f>+N431*$X$1</f>
        <v>1750</v>
      </c>
      <c r="P431" s="108">
        <v>1745</v>
      </c>
      <c r="Q431" s="300">
        <f t="shared" si="754"/>
        <v>1745</v>
      </c>
      <c r="R431" s="514">
        <v>1571</v>
      </c>
      <c r="S431" s="300">
        <f>+R431*$X$1</f>
        <v>1571</v>
      </c>
      <c r="T431" s="514">
        <v>1462</v>
      </c>
      <c r="U431" s="300">
        <f>+T431*$X$1</f>
        <v>1462</v>
      </c>
      <c r="V431" s="514">
        <v>1419</v>
      </c>
      <c r="W431" s="300">
        <f t="shared" si="755"/>
        <v>1419</v>
      </c>
      <c r="X431" s="139"/>
      <c r="Y431" s="139"/>
      <c r="Z431" s="139"/>
      <c r="AA431" s="142"/>
      <c r="AB431" s="200"/>
      <c r="AG431" s="236"/>
    </row>
    <row r="432" spans="1:33" ht="12.6" customHeight="1" x14ac:dyDescent="0.2">
      <c r="A432" s="18"/>
      <c r="B432" s="1000" t="s">
        <v>262</v>
      </c>
      <c r="C432" s="1001"/>
      <c r="D432" s="1001"/>
      <c r="E432" s="1001"/>
      <c r="F432" s="407">
        <f>3.11*X2</f>
        <v>3156.65</v>
      </c>
      <c r="G432" s="299">
        <f t="shared" si="751"/>
        <v>3156.65</v>
      </c>
      <c r="H432" s="291"/>
      <c r="I432" s="291"/>
      <c r="J432" s="624">
        <f>F432+200</f>
        <v>3356.65</v>
      </c>
      <c r="K432" s="299">
        <f>+J432*$X$1</f>
        <v>3356.65</v>
      </c>
      <c r="L432" s="624">
        <f>F432+140</f>
        <v>3296.65</v>
      </c>
      <c r="M432" s="299">
        <f>+L432*$X$1</f>
        <v>3296.65</v>
      </c>
      <c r="N432" s="624">
        <f>F432+70</f>
        <v>3226.65</v>
      </c>
      <c r="O432" s="299">
        <f>+N432*$X$1</f>
        <v>3226.65</v>
      </c>
      <c r="P432" s="624">
        <f>F432+60</f>
        <v>3216.65</v>
      </c>
      <c r="Q432" s="299">
        <f>+P432*$X$1</f>
        <v>3216.65</v>
      </c>
      <c r="R432" s="624">
        <f>F432+50</f>
        <v>3206.65</v>
      </c>
      <c r="S432" s="299">
        <f>+R432*$X$1</f>
        <v>3206.65</v>
      </c>
      <c r="T432" s="104">
        <f>F432+44</f>
        <v>3200.65</v>
      </c>
      <c r="U432" s="264">
        <f>+T432*$X$1</f>
        <v>3200.65</v>
      </c>
      <c r="V432" s="104">
        <f>F432+38</f>
        <v>3194.65</v>
      </c>
      <c r="W432" s="264">
        <f>+V432*$X$1</f>
        <v>3194.65</v>
      </c>
      <c r="X432" s="681"/>
      <c r="Y432" s="681"/>
      <c r="Z432" s="681"/>
      <c r="AA432" s="667"/>
      <c r="AB432" s="200" t="s">
        <v>263</v>
      </c>
    </row>
    <row r="433" spans="1:31" ht="12.6" customHeight="1" x14ac:dyDescent="0.2">
      <c r="A433" s="18"/>
      <c r="B433" s="685" t="s">
        <v>416</v>
      </c>
      <c r="C433" s="686"/>
      <c r="D433" s="686"/>
      <c r="E433" s="686"/>
      <c r="F433" s="408">
        <f>1.1*X2</f>
        <v>1116.5</v>
      </c>
      <c r="G433" s="300">
        <f t="shared" si="751"/>
        <v>1116.5</v>
      </c>
      <c r="H433" s="290"/>
      <c r="I433" s="290"/>
      <c r="J433" s="514">
        <f>F433+200</f>
        <v>1316.5</v>
      </c>
      <c r="K433" s="300">
        <f>+J433*$X$1</f>
        <v>1316.5</v>
      </c>
      <c r="L433" s="514">
        <f>F433+140</f>
        <v>1256.5</v>
      </c>
      <c r="M433" s="300">
        <f>+L433*$X$1</f>
        <v>1256.5</v>
      </c>
      <c r="N433" s="514">
        <f>F433+70</f>
        <v>1186.5</v>
      </c>
      <c r="O433" s="300">
        <f>+N433*$X$1</f>
        <v>1186.5</v>
      </c>
      <c r="P433" s="514">
        <f>F433+60</f>
        <v>1176.5</v>
      </c>
      <c r="Q433" s="300">
        <f>+P433*$X$1</f>
        <v>1176.5</v>
      </c>
      <c r="R433" s="514">
        <f>F433+50</f>
        <v>1166.5</v>
      </c>
      <c r="S433" s="300">
        <f>+R433*$X$1</f>
        <v>1166.5</v>
      </c>
      <c r="T433" s="103">
        <f>F433+44</f>
        <v>1160.5</v>
      </c>
      <c r="U433" s="321">
        <f>+T433*$X$1</f>
        <v>1160.5</v>
      </c>
      <c r="V433" s="103">
        <f>F433+38</f>
        <v>1154.5</v>
      </c>
      <c r="W433" s="321">
        <f>+V433*$X$1</f>
        <v>1154.5</v>
      </c>
      <c r="X433" s="681"/>
      <c r="Y433" s="681"/>
      <c r="Z433" s="681"/>
      <c r="AA433" s="667"/>
      <c r="AB433" s="200" t="s">
        <v>453</v>
      </c>
    </row>
    <row r="434" spans="1:31" s="66" customFormat="1" ht="12.6" customHeight="1" x14ac:dyDescent="0.25">
      <c r="A434" s="98"/>
      <c r="B434" s="914" t="s">
        <v>355</v>
      </c>
      <c r="C434" s="1149"/>
      <c r="D434" s="1149"/>
      <c r="E434" s="1149"/>
      <c r="F434" s="348">
        <v>635</v>
      </c>
      <c r="G434" s="299">
        <f t="shared" si="751"/>
        <v>635</v>
      </c>
      <c r="H434" s="289"/>
      <c r="I434" s="1140" t="s">
        <v>519</v>
      </c>
      <c r="J434" s="1158"/>
      <c r="K434" s="1158"/>
      <c r="L434" s="1159"/>
      <c r="M434" s="1160"/>
      <c r="N434" s="620">
        <v>1243</v>
      </c>
      <c r="O434" s="299">
        <f t="shared" ref="O434:O443" si="756">+N434*$X$1</f>
        <v>1243</v>
      </c>
      <c r="P434" s="311">
        <v>1238</v>
      </c>
      <c r="Q434" s="299">
        <f t="shared" ref="Q434:Q443" si="757">+P434*$X$1</f>
        <v>1238</v>
      </c>
      <c r="R434" s="620">
        <v>1143</v>
      </c>
      <c r="S434" s="299">
        <f t="shared" ref="S434:S443" si="758">+R434*$X$1</f>
        <v>1143</v>
      </c>
      <c r="T434" s="620">
        <v>1039</v>
      </c>
      <c r="U434" s="299">
        <f t="shared" ref="U434:U443" si="759">+T434*$X$1</f>
        <v>1039</v>
      </c>
      <c r="V434" s="620">
        <v>989</v>
      </c>
      <c r="W434" s="299">
        <f t="shared" ref="W434:W443" si="760">+V434*$X$1</f>
        <v>989</v>
      </c>
      <c r="X434" s="156"/>
      <c r="Y434" s="156"/>
      <c r="Z434" s="156"/>
      <c r="AA434" s="157"/>
      <c r="AB434" s="453" t="s">
        <v>264</v>
      </c>
    </row>
    <row r="435" spans="1:31" s="66" customFormat="1" ht="12.6" customHeight="1" x14ac:dyDescent="0.25">
      <c r="A435" s="98"/>
      <c r="B435" s="685" t="s">
        <v>356</v>
      </c>
      <c r="C435" s="686"/>
      <c r="D435" s="686"/>
      <c r="E435" s="686"/>
      <c r="F435" s="347">
        <v>635</v>
      </c>
      <c r="G435" s="300">
        <f t="shared" si="751"/>
        <v>635</v>
      </c>
      <c r="H435" s="295"/>
      <c r="I435" s="1161"/>
      <c r="J435" s="1162"/>
      <c r="K435" s="1162"/>
      <c r="L435" s="1163"/>
      <c r="M435" s="1164"/>
      <c r="N435" s="514">
        <v>1562</v>
      </c>
      <c r="O435" s="300">
        <f t="shared" si="756"/>
        <v>1562</v>
      </c>
      <c r="P435" s="310">
        <v>1557</v>
      </c>
      <c r="Q435" s="300">
        <f t="shared" si="757"/>
        <v>1557</v>
      </c>
      <c r="R435" s="514">
        <v>1471</v>
      </c>
      <c r="S435" s="300">
        <f t="shared" si="758"/>
        <v>1471</v>
      </c>
      <c r="T435" s="514">
        <v>1416</v>
      </c>
      <c r="U435" s="300">
        <f t="shared" si="759"/>
        <v>1416</v>
      </c>
      <c r="V435" s="514">
        <v>1347</v>
      </c>
      <c r="W435" s="300">
        <f t="shared" si="760"/>
        <v>1347</v>
      </c>
      <c r="X435" s="178"/>
      <c r="Y435" s="139"/>
      <c r="Z435" s="139"/>
      <c r="AA435" s="142"/>
      <c r="AB435" s="454"/>
    </row>
    <row r="436" spans="1:31" s="66" customFormat="1" ht="12.6" customHeight="1" x14ac:dyDescent="0.25">
      <c r="A436" s="98"/>
      <c r="B436" s="663" t="s">
        <v>371</v>
      </c>
      <c r="C436" s="693"/>
      <c r="D436" s="693"/>
      <c r="E436" s="693"/>
      <c r="F436" s="348">
        <v>635</v>
      </c>
      <c r="G436" s="299">
        <f t="shared" si="751"/>
        <v>635</v>
      </c>
      <c r="H436" s="287"/>
      <c r="I436" s="1161"/>
      <c r="J436" s="1162"/>
      <c r="K436" s="1162"/>
      <c r="L436" s="1163"/>
      <c r="M436" s="1164"/>
      <c r="N436" s="620">
        <v>1243</v>
      </c>
      <c r="O436" s="299">
        <f t="shared" ref="O436:O437" si="761">+N436*$X$1</f>
        <v>1243</v>
      </c>
      <c r="P436" s="311">
        <v>1238</v>
      </c>
      <c r="Q436" s="299">
        <f t="shared" ref="Q436:Q437" si="762">+P436*$X$1</f>
        <v>1238</v>
      </c>
      <c r="R436" s="620">
        <v>1143</v>
      </c>
      <c r="S436" s="299">
        <f t="shared" ref="S436:S437" si="763">+R436*$X$1</f>
        <v>1143</v>
      </c>
      <c r="T436" s="620">
        <v>1039</v>
      </c>
      <c r="U436" s="299">
        <f t="shared" ref="U436:U437" si="764">+T436*$X$1</f>
        <v>1039</v>
      </c>
      <c r="V436" s="620">
        <v>989</v>
      </c>
      <c r="W436" s="299">
        <f t="shared" ref="W436:W437" si="765">+V436*$X$1</f>
        <v>989</v>
      </c>
      <c r="X436" s="139"/>
      <c r="Y436" s="139"/>
      <c r="Z436" s="139"/>
      <c r="AA436" s="142"/>
      <c r="AB436" s="453" t="s">
        <v>265</v>
      </c>
    </row>
    <row r="437" spans="1:31" s="66" customFormat="1" ht="12" customHeight="1" x14ac:dyDescent="0.25">
      <c r="A437" s="98"/>
      <c r="B437" s="685" t="s">
        <v>372</v>
      </c>
      <c r="C437" s="686"/>
      <c r="D437" s="686"/>
      <c r="E437" s="686"/>
      <c r="F437" s="347">
        <v>635</v>
      </c>
      <c r="G437" s="300">
        <f t="shared" si="751"/>
        <v>635</v>
      </c>
      <c r="H437" s="295"/>
      <c r="I437" s="1161"/>
      <c r="J437" s="1162"/>
      <c r="K437" s="1162"/>
      <c r="L437" s="1163"/>
      <c r="M437" s="1164"/>
      <c r="N437" s="514">
        <v>1562</v>
      </c>
      <c r="O437" s="300">
        <f t="shared" si="761"/>
        <v>1562</v>
      </c>
      <c r="P437" s="310">
        <v>1557</v>
      </c>
      <c r="Q437" s="300">
        <f t="shared" si="762"/>
        <v>1557</v>
      </c>
      <c r="R437" s="514">
        <v>1471</v>
      </c>
      <c r="S437" s="300">
        <f t="shared" si="763"/>
        <v>1471</v>
      </c>
      <c r="T437" s="514">
        <v>1416</v>
      </c>
      <c r="U437" s="300">
        <f t="shared" si="764"/>
        <v>1416</v>
      </c>
      <c r="V437" s="514">
        <v>1347</v>
      </c>
      <c r="W437" s="300">
        <f t="shared" si="765"/>
        <v>1347</v>
      </c>
      <c r="X437" s="156"/>
      <c r="Y437" s="156"/>
      <c r="Z437" s="139"/>
      <c r="AA437" s="142"/>
      <c r="AB437" s="454"/>
    </row>
    <row r="438" spans="1:31" s="66" customFormat="1" ht="12.6" customHeight="1" x14ac:dyDescent="0.25">
      <c r="A438" s="98"/>
      <c r="B438" s="663" t="s">
        <v>266</v>
      </c>
      <c r="C438" s="693"/>
      <c r="D438" s="693"/>
      <c r="E438" s="693"/>
      <c r="F438" s="348">
        <v>635</v>
      </c>
      <c r="G438" s="299">
        <f t="shared" si="751"/>
        <v>635</v>
      </c>
      <c r="H438" s="287"/>
      <c r="I438" s="1165"/>
      <c r="J438" s="1166"/>
      <c r="K438" s="1166"/>
      <c r="L438" s="1163"/>
      <c r="M438" s="1164"/>
      <c r="N438" s="620">
        <v>1407</v>
      </c>
      <c r="O438" s="299">
        <f t="shared" ref="O438" si="766">+N438*$X$1</f>
        <v>1407</v>
      </c>
      <c r="P438" s="311">
        <v>1403</v>
      </c>
      <c r="Q438" s="299">
        <f t="shared" ref="Q438" si="767">+P438*$X$1</f>
        <v>1403</v>
      </c>
      <c r="R438" s="620">
        <v>1254</v>
      </c>
      <c r="S438" s="299">
        <f t="shared" ref="S438" si="768">+R438*$X$1</f>
        <v>1254</v>
      </c>
      <c r="T438" s="620">
        <v>1159</v>
      </c>
      <c r="U438" s="299">
        <f t="shared" ref="U438" si="769">+T438*$X$1</f>
        <v>1159</v>
      </c>
      <c r="V438" s="620">
        <v>1095</v>
      </c>
      <c r="W438" s="299">
        <f t="shared" ref="W438" si="770">+V438*$X$1</f>
        <v>1095</v>
      </c>
      <c r="X438" s="139"/>
      <c r="Y438" s="139"/>
      <c r="Z438" s="139"/>
      <c r="AA438" s="142"/>
      <c r="AB438" s="453" t="s">
        <v>267</v>
      </c>
      <c r="AE438" s="249"/>
    </row>
    <row r="439" spans="1:31" s="66" customFormat="1" ht="12.6" customHeight="1" x14ac:dyDescent="0.25">
      <c r="A439" s="98"/>
      <c r="B439" s="685" t="s">
        <v>268</v>
      </c>
      <c r="C439" s="686"/>
      <c r="D439" s="686"/>
      <c r="E439" s="686"/>
      <c r="F439" s="347">
        <v>635</v>
      </c>
      <c r="G439" s="300">
        <f t="shared" si="751"/>
        <v>635</v>
      </c>
      <c r="H439" s="295"/>
      <c r="I439" s="1167"/>
      <c r="J439" s="1168"/>
      <c r="K439" s="1168"/>
      <c r="L439" s="1168"/>
      <c r="M439" s="1169"/>
      <c r="N439" s="514">
        <v>1710</v>
      </c>
      <c r="O439" s="300">
        <f t="shared" si="756"/>
        <v>1710</v>
      </c>
      <c r="P439" s="310">
        <v>1706</v>
      </c>
      <c r="Q439" s="300">
        <f t="shared" si="757"/>
        <v>1706</v>
      </c>
      <c r="R439" s="514">
        <v>1616</v>
      </c>
      <c r="S439" s="300">
        <f t="shared" si="758"/>
        <v>1616</v>
      </c>
      <c r="T439" s="514">
        <v>1568</v>
      </c>
      <c r="U439" s="300">
        <f t="shared" si="759"/>
        <v>1568</v>
      </c>
      <c r="V439" s="514">
        <v>1501</v>
      </c>
      <c r="W439" s="300">
        <f t="shared" si="760"/>
        <v>1501</v>
      </c>
      <c r="X439" s="139"/>
      <c r="Y439" s="139"/>
      <c r="Z439" s="139"/>
      <c r="AA439" s="142"/>
      <c r="AB439" s="453" t="s">
        <v>269</v>
      </c>
    </row>
    <row r="440" spans="1:31" ht="12.6" customHeight="1" x14ac:dyDescent="0.2">
      <c r="A440" s="18"/>
      <c r="B440" s="673" t="s">
        <v>270</v>
      </c>
      <c r="C440" s="676"/>
      <c r="D440" s="676"/>
      <c r="E440" s="677"/>
      <c r="F440" s="407">
        <f>2.97*X2</f>
        <v>3014.55</v>
      </c>
      <c r="G440" s="299">
        <f t="shared" ref="G440:G441" si="771">+F440*$X$1</f>
        <v>3014.55</v>
      </c>
      <c r="H440" s="624">
        <f t="shared" ref="H440:H445" si="772">F440+360</f>
        <v>3374.55</v>
      </c>
      <c r="I440" s="299">
        <f t="shared" ref="I440:I445" si="773">+H440*$X$1</f>
        <v>3374.55</v>
      </c>
      <c r="J440" s="624">
        <f t="shared" ref="J440:J445" si="774">F440+180</f>
        <v>3194.55</v>
      </c>
      <c r="K440" s="299">
        <f t="shared" ref="K440:K444" si="775">+J440*$X$1</f>
        <v>3194.55</v>
      </c>
      <c r="L440" s="624">
        <f>F440+120</f>
        <v>3134.55</v>
      </c>
      <c r="M440" s="299">
        <f t="shared" ref="M440:M443" si="776">+L440*$X$1</f>
        <v>3134.55</v>
      </c>
      <c r="N440" s="624"/>
      <c r="O440" s="299"/>
      <c r="P440" s="624">
        <f>F440+54</f>
        <v>3068.55</v>
      </c>
      <c r="Q440" s="299"/>
      <c r="R440" s="624"/>
      <c r="S440" s="299"/>
      <c r="T440" s="624"/>
      <c r="U440" s="299"/>
      <c r="V440" s="624"/>
      <c r="W440" s="299"/>
      <c r="X440" s="697"/>
      <c r="Y440" s="697"/>
      <c r="Z440" s="697"/>
      <c r="AA440" s="698"/>
      <c r="AB440" s="200" t="s">
        <v>271</v>
      </c>
    </row>
    <row r="441" spans="1:31" ht="12.6" customHeight="1" x14ac:dyDescent="0.2">
      <c r="A441" s="18"/>
      <c r="B441" s="670" t="s">
        <v>272</v>
      </c>
      <c r="C441" s="679"/>
      <c r="D441" s="679"/>
      <c r="E441" s="680"/>
      <c r="F441" s="408">
        <f>2.25*X2</f>
        <v>2283.75</v>
      </c>
      <c r="G441" s="300">
        <f t="shared" si="771"/>
        <v>2283.75</v>
      </c>
      <c r="H441" s="514">
        <f t="shared" si="772"/>
        <v>2643.75</v>
      </c>
      <c r="I441" s="300">
        <f t="shared" si="773"/>
        <v>2643.75</v>
      </c>
      <c r="J441" s="514">
        <f t="shared" si="774"/>
        <v>2463.75</v>
      </c>
      <c r="K441" s="300">
        <f t="shared" si="775"/>
        <v>2463.75</v>
      </c>
      <c r="L441" s="514">
        <f>F441+120</f>
        <v>2403.75</v>
      </c>
      <c r="M441" s="300">
        <f t="shared" si="776"/>
        <v>2403.75</v>
      </c>
      <c r="N441" s="514">
        <f>F441+61</f>
        <v>2344.75</v>
      </c>
      <c r="O441" s="300">
        <f t="shared" si="756"/>
        <v>2344.75</v>
      </c>
      <c r="P441" s="514">
        <f>F441+54</f>
        <v>2337.75</v>
      </c>
      <c r="Q441" s="300">
        <f t="shared" si="757"/>
        <v>2337.75</v>
      </c>
      <c r="R441" s="514">
        <f>F441+47</f>
        <v>2330.75</v>
      </c>
      <c r="S441" s="300">
        <f t="shared" si="758"/>
        <v>2330.75</v>
      </c>
      <c r="T441" s="514">
        <f>F441+38</f>
        <v>2321.75</v>
      </c>
      <c r="U441" s="300">
        <f t="shared" si="759"/>
        <v>2321.75</v>
      </c>
      <c r="V441" s="514">
        <f>F441+33</f>
        <v>2316.75</v>
      </c>
      <c r="W441" s="300">
        <f t="shared" si="760"/>
        <v>2316.75</v>
      </c>
      <c r="X441" s="697"/>
      <c r="Y441" s="697"/>
      <c r="Z441" s="697"/>
      <c r="AA441" s="698"/>
      <c r="AB441" s="200" t="s">
        <v>446</v>
      </c>
    </row>
    <row r="442" spans="1:31" ht="12.6" customHeight="1" x14ac:dyDescent="0.2">
      <c r="A442" s="18"/>
      <c r="B442" s="724" t="s">
        <v>813</v>
      </c>
      <c r="C442" s="741"/>
      <c r="D442" s="741"/>
      <c r="E442" s="742"/>
      <c r="F442" s="348">
        <v>3321</v>
      </c>
      <c r="G442" s="299">
        <f t="shared" ref="G442" si="777">+F442*$X$1</f>
        <v>3321</v>
      </c>
      <c r="H442" s="624">
        <f t="shared" si="772"/>
        <v>3681</v>
      </c>
      <c r="I442" s="299">
        <f t="shared" si="773"/>
        <v>3681</v>
      </c>
      <c r="J442" s="624">
        <f t="shared" si="774"/>
        <v>3501</v>
      </c>
      <c r="K442" s="299">
        <f t="shared" si="775"/>
        <v>3501</v>
      </c>
      <c r="L442" s="624">
        <f>F442+120</f>
        <v>3441</v>
      </c>
      <c r="M442" s="299">
        <f t="shared" si="776"/>
        <v>3441</v>
      </c>
      <c r="N442" s="624">
        <f>F442+61</f>
        <v>3382</v>
      </c>
      <c r="O442" s="299">
        <f t="shared" si="756"/>
        <v>3382</v>
      </c>
      <c r="P442" s="624">
        <f>F442+54</f>
        <v>3375</v>
      </c>
      <c r="Q442" s="299">
        <f t="shared" si="757"/>
        <v>3375</v>
      </c>
      <c r="R442" s="624">
        <f>F442+47</f>
        <v>3368</v>
      </c>
      <c r="S442" s="299">
        <f t="shared" si="758"/>
        <v>3368</v>
      </c>
      <c r="T442" s="624">
        <f>F442+38</f>
        <v>3359</v>
      </c>
      <c r="U442" s="299">
        <f t="shared" si="759"/>
        <v>3359</v>
      </c>
      <c r="V442" s="624">
        <f>F442+33</f>
        <v>3354</v>
      </c>
      <c r="W442" s="299">
        <f t="shared" si="760"/>
        <v>3354</v>
      </c>
      <c r="X442" s="697"/>
      <c r="Y442" s="697"/>
      <c r="Z442" s="697"/>
      <c r="AA442" s="698"/>
      <c r="AB442" s="200" t="s">
        <v>812</v>
      </c>
    </row>
    <row r="443" spans="1:31" ht="12.6" customHeight="1" x14ac:dyDescent="0.2">
      <c r="A443" s="18"/>
      <c r="B443" s="670" t="s">
        <v>400</v>
      </c>
      <c r="C443" s="679"/>
      <c r="D443" s="679"/>
      <c r="E443" s="680"/>
      <c r="F443" s="408">
        <f>1.2*X2</f>
        <v>1218</v>
      </c>
      <c r="G443" s="300">
        <f t="shared" ref="G443:G445" si="778">+F443*$X$1</f>
        <v>1218</v>
      </c>
      <c r="H443" s="514">
        <f t="shared" si="772"/>
        <v>1578</v>
      </c>
      <c r="I443" s="300">
        <f t="shared" si="773"/>
        <v>1578</v>
      </c>
      <c r="J443" s="514">
        <f t="shared" si="774"/>
        <v>1398</v>
      </c>
      <c r="K443" s="300">
        <f t="shared" si="775"/>
        <v>1398</v>
      </c>
      <c r="L443" s="514">
        <f>F443+120</f>
        <v>1338</v>
      </c>
      <c r="M443" s="300">
        <f t="shared" si="776"/>
        <v>1338</v>
      </c>
      <c r="N443" s="514">
        <f>F443+61</f>
        <v>1279</v>
      </c>
      <c r="O443" s="300">
        <f t="shared" si="756"/>
        <v>1279</v>
      </c>
      <c r="P443" s="514">
        <f>F443+54</f>
        <v>1272</v>
      </c>
      <c r="Q443" s="300">
        <f t="shared" si="757"/>
        <v>1272</v>
      </c>
      <c r="R443" s="514">
        <f>F443+47</f>
        <v>1265</v>
      </c>
      <c r="S443" s="300">
        <f t="shared" si="758"/>
        <v>1265</v>
      </c>
      <c r="T443" s="514">
        <f>F443+38</f>
        <v>1256</v>
      </c>
      <c r="U443" s="300">
        <f t="shared" si="759"/>
        <v>1256</v>
      </c>
      <c r="V443" s="514">
        <f>F443+33</f>
        <v>1251</v>
      </c>
      <c r="W443" s="300">
        <f t="shared" si="760"/>
        <v>1251</v>
      </c>
      <c r="X443" s="697"/>
      <c r="Y443" s="743"/>
      <c r="Z443" s="743"/>
      <c r="AA443" s="698"/>
      <c r="AB443" s="200" t="s">
        <v>447</v>
      </c>
    </row>
    <row r="444" spans="1:31" ht="12.6" customHeight="1" x14ac:dyDescent="0.2">
      <c r="A444" s="107"/>
      <c r="B444" s="880" t="s">
        <v>273</v>
      </c>
      <c r="C444" s="881"/>
      <c r="D444" s="881"/>
      <c r="E444" s="881"/>
      <c r="F444" s="358">
        <v>750</v>
      </c>
      <c r="G444" s="357">
        <f t="shared" si="778"/>
        <v>750</v>
      </c>
      <c r="H444" s="623">
        <f t="shared" si="772"/>
        <v>1110</v>
      </c>
      <c r="I444" s="357">
        <f t="shared" si="773"/>
        <v>1110</v>
      </c>
      <c r="J444" s="623">
        <f t="shared" si="774"/>
        <v>930</v>
      </c>
      <c r="K444" s="357">
        <f t="shared" si="775"/>
        <v>930</v>
      </c>
      <c r="L444" s="623"/>
      <c r="M444" s="357"/>
      <c r="N444" s="623"/>
      <c r="O444" s="357"/>
      <c r="P444" s="623"/>
      <c r="Q444" s="357"/>
      <c r="R444" s="623"/>
      <c r="S444" s="357"/>
      <c r="T444" s="623"/>
      <c r="U444" s="357"/>
      <c r="V444" s="623"/>
      <c r="W444" s="357"/>
      <c r="X444" s="697"/>
      <c r="Y444" s="697"/>
      <c r="Z444" s="697"/>
      <c r="AA444" s="697"/>
      <c r="AB444" s="437" t="s">
        <v>274</v>
      </c>
    </row>
    <row r="445" spans="1:31" ht="12.6" customHeight="1" x14ac:dyDescent="0.2">
      <c r="A445" s="18"/>
      <c r="B445" s="670" t="s">
        <v>846</v>
      </c>
      <c r="C445" s="679"/>
      <c r="D445" s="679"/>
      <c r="E445" s="680"/>
      <c r="F445" s="408">
        <f>3.89*X2</f>
        <v>3948.35</v>
      </c>
      <c r="G445" s="300">
        <f t="shared" si="778"/>
        <v>3948.35</v>
      </c>
      <c r="H445" s="514">
        <f t="shared" si="772"/>
        <v>4308.3500000000004</v>
      </c>
      <c r="I445" s="300">
        <f t="shared" si="773"/>
        <v>4308.3500000000004</v>
      </c>
      <c r="J445" s="514">
        <f t="shared" si="774"/>
        <v>4128.3500000000004</v>
      </c>
      <c r="K445" s="300">
        <f t="shared" ref="K445" si="779">+J445*$X$1</f>
        <v>4128.3500000000004</v>
      </c>
      <c r="L445" s="514">
        <f>F445+120</f>
        <v>4068.35</v>
      </c>
      <c r="M445" s="300">
        <f t="shared" ref="M445" si="780">+L445*$X$1</f>
        <v>4068.35</v>
      </c>
      <c r="N445" s="514">
        <f>F445+61</f>
        <v>4009.35</v>
      </c>
      <c r="O445" s="300">
        <f t="shared" ref="O445" si="781">+N445*$X$1</f>
        <v>4009.35</v>
      </c>
      <c r="P445" s="514">
        <f>F445+54</f>
        <v>4002.35</v>
      </c>
      <c r="Q445" s="300">
        <f t="shared" ref="Q445" si="782">+P445*$X$1</f>
        <v>4002.35</v>
      </c>
      <c r="R445" s="514">
        <f>F445+47</f>
        <v>3995.35</v>
      </c>
      <c r="S445" s="300">
        <f t="shared" ref="S445" si="783">+R445*$X$1</f>
        <v>3995.35</v>
      </c>
      <c r="T445" s="514">
        <f>F445+38</f>
        <v>3986.35</v>
      </c>
      <c r="U445" s="300">
        <f t="shared" ref="U445" si="784">+T445*$X$1</f>
        <v>3986.35</v>
      </c>
      <c r="V445" s="514">
        <f>F445+33</f>
        <v>3981.35</v>
      </c>
      <c r="W445" s="300">
        <f t="shared" ref="W445" si="785">+V445*$X$1</f>
        <v>3981.35</v>
      </c>
      <c r="X445" s="697"/>
      <c r="Y445" s="697"/>
      <c r="Z445" s="697"/>
      <c r="AA445" s="698"/>
      <c r="AB445" s="200" t="s">
        <v>847</v>
      </c>
    </row>
    <row r="446" spans="1:31" ht="12.6" customHeight="1" x14ac:dyDescent="0.2">
      <c r="A446" s="18"/>
      <c r="B446" s="914" t="s">
        <v>275</v>
      </c>
      <c r="C446" s="891"/>
      <c r="D446" s="891"/>
      <c r="E446" s="891"/>
      <c r="F446" s="322">
        <v>3637</v>
      </c>
      <c r="G446" s="299">
        <f t="shared" ref="G446:G452" si="786">+F446*$X$1</f>
        <v>3637</v>
      </c>
      <c r="H446" s="291"/>
      <c r="I446" s="364"/>
      <c r="J446" s="561">
        <f>F446+66</f>
        <v>3703</v>
      </c>
      <c r="K446" s="299"/>
      <c r="L446" s="561">
        <f t="shared" ref="L446:L451" si="787">F446+300</f>
        <v>3937</v>
      </c>
      <c r="M446" s="299">
        <f t="shared" ref="M446:M457" si="788">+L446*$X$1</f>
        <v>3937</v>
      </c>
      <c r="N446" s="561">
        <f>F446+270</f>
        <v>3907</v>
      </c>
      <c r="O446" s="299">
        <f t="shared" ref="O446" si="789">+N446*$X$1</f>
        <v>3907</v>
      </c>
      <c r="P446" s="561">
        <f t="shared" ref="P446:P451" si="790">F446+250</f>
        <v>3887</v>
      </c>
      <c r="Q446" s="299">
        <f t="shared" ref="Q446:Q451" si="791">+P446*$X$1</f>
        <v>3887</v>
      </c>
      <c r="R446" s="561">
        <f>F446+230</f>
        <v>3867</v>
      </c>
      <c r="S446" s="299">
        <f t="shared" ref="S446" si="792">+R446*$X$1</f>
        <v>3867</v>
      </c>
      <c r="T446" s="561">
        <f t="shared" ref="T446:T451" si="793">F446+200</f>
        <v>3837</v>
      </c>
      <c r="U446" s="299">
        <f t="shared" ref="U446:U451" si="794">+T446*$X$1</f>
        <v>3837</v>
      </c>
      <c r="V446" s="561">
        <f t="shared" ref="V446:V451" si="795">F446+185</f>
        <v>3822</v>
      </c>
      <c r="W446" s="299">
        <f t="shared" ref="W446:W451" si="796">+V446*$X$1</f>
        <v>3822</v>
      </c>
      <c r="X446" s="153"/>
      <c r="Y446" s="135"/>
      <c r="Z446" s="135"/>
      <c r="AA446" s="135"/>
      <c r="AB446" s="200" t="s">
        <v>276</v>
      </c>
    </row>
    <row r="447" spans="1:31" ht="12.6" customHeight="1" x14ac:dyDescent="0.2">
      <c r="A447" s="18"/>
      <c r="B447" s="685" t="s">
        <v>277</v>
      </c>
      <c r="C447" s="686"/>
      <c r="D447" s="686"/>
      <c r="E447" s="686"/>
      <c r="F447" s="300">
        <v>5071</v>
      </c>
      <c r="G447" s="300">
        <f t="shared" si="786"/>
        <v>5071</v>
      </c>
      <c r="H447" s="290"/>
      <c r="I447" s="365"/>
      <c r="J447" s="514">
        <f>F447+66</f>
        <v>5137</v>
      </c>
      <c r="K447" s="300"/>
      <c r="L447" s="514">
        <f t="shared" si="787"/>
        <v>5371</v>
      </c>
      <c r="M447" s="300">
        <f t="shared" si="788"/>
        <v>5371</v>
      </c>
      <c r="N447" s="514">
        <f t="shared" ref="N447:N450" si="797">F447+270</f>
        <v>5341</v>
      </c>
      <c r="O447" s="300">
        <f t="shared" ref="O447:O450" si="798">+N447*$X$1</f>
        <v>5341</v>
      </c>
      <c r="P447" s="514">
        <f t="shared" si="790"/>
        <v>5321</v>
      </c>
      <c r="Q447" s="300">
        <f t="shared" si="791"/>
        <v>5321</v>
      </c>
      <c r="R447" s="514">
        <f t="shared" ref="R447:R451" si="799">F447+230</f>
        <v>5301</v>
      </c>
      <c r="S447" s="300">
        <f t="shared" ref="S447:S451" si="800">+R447*$X$1</f>
        <v>5301</v>
      </c>
      <c r="T447" s="514">
        <f t="shared" si="793"/>
        <v>5271</v>
      </c>
      <c r="U447" s="300">
        <f t="shared" si="794"/>
        <v>5271</v>
      </c>
      <c r="V447" s="514">
        <f t="shared" si="795"/>
        <v>5256</v>
      </c>
      <c r="W447" s="300">
        <f t="shared" si="796"/>
        <v>5256</v>
      </c>
      <c r="X447" s="153"/>
      <c r="Y447" s="135"/>
      <c r="Z447" s="135"/>
      <c r="AA447" s="135"/>
      <c r="AB447" s="452"/>
    </row>
    <row r="448" spans="1:31" ht="12.6" customHeight="1" x14ac:dyDescent="0.2">
      <c r="A448" s="18"/>
      <c r="B448" s="663" t="s">
        <v>278</v>
      </c>
      <c r="C448" s="693"/>
      <c r="D448" s="693"/>
      <c r="E448" s="693"/>
      <c r="F448" s="299">
        <v>3956</v>
      </c>
      <c r="G448" s="299">
        <f t="shared" si="786"/>
        <v>3956</v>
      </c>
      <c r="H448" s="291"/>
      <c r="I448" s="364"/>
      <c r="J448" s="561">
        <f>F448+80</f>
        <v>4036</v>
      </c>
      <c r="K448" s="299"/>
      <c r="L448" s="561">
        <f t="shared" si="787"/>
        <v>4256</v>
      </c>
      <c r="M448" s="299">
        <f t="shared" si="788"/>
        <v>4256</v>
      </c>
      <c r="N448" s="561">
        <f t="shared" si="797"/>
        <v>4226</v>
      </c>
      <c r="O448" s="299">
        <f t="shared" si="798"/>
        <v>4226</v>
      </c>
      <c r="P448" s="561">
        <f t="shared" si="790"/>
        <v>4206</v>
      </c>
      <c r="Q448" s="299">
        <f t="shared" si="791"/>
        <v>4206</v>
      </c>
      <c r="R448" s="561">
        <f t="shared" si="799"/>
        <v>4186</v>
      </c>
      <c r="S448" s="299">
        <f t="shared" si="800"/>
        <v>4186</v>
      </c>
      <c r="T448" s="561">
        <f t="shared" si="793"/>
        <v>4156</v>
      </c>
      <c r="U448" s="299">
        <f t="shared" si="794"/>
        <v>4156</v>
      </c>
      <c r="V448" s="561">
        <f t="shared" si="795"/>
        <v>4141</v>
      </c>
      <c r="W448" s="299">
        <f t="shared" si="796"/>
        <v>4141</v>
      </c>
      <c r="X448" s="153"/>
      <c r="Y448" s="135"/>
      <c r="Z448" s="135"/>
      <c r="AA448" s="135"/>
      <c r="AB448" s="200" t="s">
        <v>279</v>
      </c>
    </row>
    <row r="449" spans="1:28" ht="12.6" customHeight="1" x14ac:dyDescent="0.2">
      <c r="A449" s="18"/>
      <c r="B449" s="685" t="s">
        <v>280</v>
      </c>
      <c r="C449" s="686"/>
      <c r="D449" s="686"/>
      <c r="E449" s="686"/>
      <c r="F449" s="300">
        <v>5580</v>
      </c>
      <c r="G449" s="300">
        <f t="shared" si="786"/>
        <v>5580</v>
      </c>
      <c r="H449" s="290"/>
      <c r="I449" s="365"/>
      <c r="J449" s="514">
        <f>F449+80</f>
        <v>5660</v>
      </c>
      <c r="K449" s="300"/>
      <c r="L449" s="514">
        <f t="shared" si="787"/>
        <v>5880</v>
      </c>
      <c r="M449" s="300">
        <f t="shared" si="788"/>
        <v>5880</v>
      </c>
      <c r="N449" s="514">
        <f t="shared" si="797"/>
        <v>5850</v>
      </c>
      <c r="O449" s="300">
        <f t="shared" si="798"/>
        <v>5850</v>
      </c>
      <c r="P449" s="514">
        <f t="shared" si="790"/>
        <v>5830</v>
      </c>
      <c r="Q449" s="300">
        <f t="shared" si="791"/>
        <v>5830</v>
      </c>
      <c r="R449" s="514">
        <f t="shared" si="799"/>
        <v>5810</v>
      </c>
      <c r="S449" s="300">
        <f t="shared" si="800"/>
        <v>5810</v>
      </c>
      <c r="T449" s="514">
        <f t="shared" si="793"/>
        <v>5780</v>
      </c>
      <c r="U449" s="300">
        <f t="shared" si="794"/>
        <v>5780</v>
      </c>
      <c r="V449" s="514">
        <f t="shared" si="795"/>
        <v>5765</v>
      </c>
      <c r="W449" s="300">
        <f t="shared" si="796"/>
        <v>5765</v>
      </c>
      <c r="X449" s="153"/>
      <c r="Y449" s="135"/>
      <c r="Z449" s="135"/>
      <c r="AA449" s="135"/>
      <c r="AB449" s="452"/>
    </row>
    <row r="450" spans="1:28" ht="12.6" customHeight="1" x14ac:dyDescent="0.2">
      <c r="A450" s="18"/>
      <c r="B450" s="663" t="s">
        <v>664</v>
      </c>
      <c r="C450" s="693"/>
      <c r="D450" s="693"/>
      <c r="E450" s="693"/>
      <c r="F450" s="299">
        <v>5170</v>
      </c>
      <c r="G450" s="299">
        <f t="shared" si="786"/>
        <v>5170</v>
      </c>
      <c r="H450" s="291"/>
      <c r="I450" s="364"/>
      <c r="J450" s="561">
        <f>F450+66</f>
        <v>5236</v>
      </c>
      <c r="K450" s="299"/>
      <c r="L450" s="561">
        <f t="shared" si="787"/>
        <v>5470</v>
      </c>
      <c r="M450" s="299">
        <f t="shared" si="788"/>
        <v>5470</v>
      </c>
      <c r="N450" s="561">
        <f t="shared" si="797"/>
        <v>5440</v>
      </c>
      <c r="O450" s="299">
        <f t="shared" si="798"/>
        <v>5440</v>
      </c>
      <c r="P450" s="561">
        <f t="shared" si="790"/>
        <v>5420</v>
      </c>
      <c r="Q450" s="299">
        <f t="shared" si="791"/>
        <v>5420</v>
      </c>
      <c r="R450" s="561">
        <f t="shared" si="799"/>
        <v>5400</v>
      </c>
      <c r="S450" s="299">
        <f t="shared" si="800"/>
        <v>5400</v>
      </c>
      <c r="T450" s="561">
        <f t="shared" si="793"/>
        <v>5370</v>
      </c>
      <c r="U450" s="299">
        <f t="shared" si="794"/>
        <v>5370</v>
      </c>
      <c r="V450" s="561">
        <f t="shared" si="795"/>
        <v>5355</v>
      </c>
      <c r="W450" s="299">
        <f t="shared" si="796"/>
        <v>5355</v>
      </c>
      <c r="X450" s="153"/>
      <c r="Y450" s="135"/>
      <c r="Z450" s="135"/>
      <c r="AA450" s="135"/>
      <c r="AB450" s="200" t="s">
        <v>281</v>
      </c>
    </row>
    <row r="451" spans="1:28" ht="12.6" customHeight="1" x14ac:dyDescent="0.2">
      <c r="A451" s="18"/>
      <c r="B451" s="685" t="s">
        <v>665</v>
      </c>
      <c r="C451" s="686"/>
      <c r="D451" s="686"/>
      <c r="E451" s="686"/>
      <c r="F451" s="300">
        <v>5696</v>
      </c>
      <c r="G451" s="300">
        <f t="shared" si="786"/>
        <v>5696</v>
      </c>
      <c r="H451" s="290"/>
      <c r="I451" s="365"/>
      <c r="J451" s="514">
        <f>F451+80</f>
        <v>5776</v>
      </c>
      <c r="K451" s="300"/>
      <c r="L451" s="514">
        <f t="shared" si="787"/>
        <v>5996</v>
      </c>
      <c r="M451" s="300">
        <f t="shared" si="788"/>
        <v>5996</v>
      </c>
      <c r="N451" s="514">
        <f>F451+270</f>
        <v>5966</v>
      </c>
      <c r="O451" s="300">
        <f t="shared" ref="O451" si="801">+N451*$X$1</f>
        <v>5966</v>
      </c>
      <c r="P451" s="514">
        <f t="shared" si="790"/>
        <v>5946</v>
      </c>
      <c r="Q451" s="300">
        <f t="shared" si="791"/>
        <v>5946</v>
      </c>
      <c r="R451" s="514">
        <f t="shared" si="799"/>
        <v>5926</v>
      </c>
      <c r="S451" s="300">
        <f t="shared" si="800"/>
        <v>5926</v>
      </c>
      <c r="T451" s="514">
        <f t="shared" si="793"/>
        <v>5896</v>
      </c>
      <c r="U451" s="300">
        <f t="shared" si="794"/>
        <v>5896</v>
      </c>
      <c r="V451" s="514">
        <f t="shared" si="795"/>
        <v>5881</v>
      </c>
      <c r="W451" s="300">
        <f t="shared" si="796"/>
        <v>5881</v>
      </c>
      <c r="X451" s="153"/>
      <c r="Y451" s="135"/>
      <c r="Z451" s="135"/>
      <c r="AA451" s="135"/>
      <c r="AB451" s="200" t="s">
        <v>282</v>
      </c>
    </row>
    <row r="452" spans="1:28" ht="12.6" customHeight="1" x14ac:dyDescent="0.25">
      <c r="A452" s="18"/>
      <c r="B452" s="663" t="s">
        <v>343</v>
      </c>
      <c r="C452" s="693"/>
      <c r="D452" s="693"/>
      <c r="E452" s="693"/>
      <c r="F452" s="348">
        <v>6990</v>
      </c>
      <c r="G452" s="299">
        <f t="shared" si="786"/>
        <v>6990</v>
      </c>
      <c r="H452" s="548">
        <f t="shared" ref="H452:H457" si="802">F452+400</f>
        <v>7390</v>
      </c>
      <c r="I452" s="299">
        <f t="shared" ref="I452:I459" si="803">+H452*$X$1</f>
        <v>7390</v>
      </c>
      <c r="J452" s="561">
        <f t="shared" ref="J452:J457" si="804">F452+320</f>
        <v>7310</v>
      </c>
      <c r="K452" s="299">
        <f t="shared" ref="K452:K459" si="805">+J452*$X$1</f>
        <v>7310</v>
      </c>
      <c r="L452" s="561">
        <f t="shared" ref="L452:L457" si="806">F452+280</f>
        <v>7270</v>
      </c>
      <c r="M452" s="299">
        <f t="shared" si="788"/>
        <v>7270</v>
      </c>
      <c r="N452" s="561">
        <f t="shared" ref="N452:N457" si="807">F452+250</f>
        <v>7240</v>
      </c>
      <c r="O452" s="299">
        <f t="shared" ref="O452:O459" si="808">+N452*$X$1</f>
        <v>7240</v>
      </c>
      <c r="P452" s="561">
        <f t="shared" ref="P452:P457" si="809">F452+230</f>
        <v>7220</v>
      </c>
      <c r="Q452" s="299">
        <f t="shared" ref="Q452:Q459" si="810">+P452*$X$1</f>
        <v>7220</v>
      </c>
      <c r="R452" s="561">
        <f t="shared" ref="R452:R457" si="811">F452+210</f>
        <v>7200</v>
      </c>
      <c r="S452" s="299">
        <f t="shared" ref="S452:S459" si="812">+R452*$X$1</f>
        <v>7200</v>
      </c>
      <c r="T452" s="561">
        <f t="shared" ref="T452:T457" si="813">F452+190</f>
        <v>7180</v>
      </c>
      <c r="U452" s="299">
        <f t="shared" ref="U452:U459" si="814">+T452*$X$1</f>
        <v>7180</v>
      </c>
      <c r="V452" s="561">
        <f t="shared" ref="V452:V457" si="815">F452+175</f>
        <v>7165</v>
      </c>
      <c r="W452" s="299">
        <f t="shared" ref="W452:W459" si="816">+V452*$X$1</f>
        <v>7165</v>
      </c>
      <c r="X452" s="802"/>
      <c r="Y452" s="1075"/>
      <c r="Z452" s="1075"/>
      <c r="AA452" s="1075"/>
      <c r="AB452" s="200" t="s">
        <v>283</v>
      </c>
    </row>
    <row r="453" spans="1:28" ht="12.6" customHeight="1" x14ac:dyDescent="0.25">
      <c r="A453" s="18"/>
      <c r="B453" s="990" t="s">
        <v>527</v>
      </c>
      <c r="C453" s="679"/>
      <c r="D453" s="679"/>
      <c r="E453" s="680"/>
      <c r="F453" s="347">
        <v>3300</v>
      </c>
      <c r="G453" s="300">
        <f t="shared" ref="G453" si="817">+F453*$X$1</f>
        <v>3300</v>
      </c>
      <c r="H453" s="514">
        <f t="shared" si="802"/>
        <v>3700</v>
      </c>
      <c r="I453" s="300">
        <f t="shared" si="803"/>
        <v>3700</v>
      </c>
      <c r="J453" s="514">
        <f t="shared" si="804"/>
        <v>3620</v>
      </c>
      <c r="K453" s="300">
        <f t="shared" si="805"/>
        <v>3620</v>
      </c>
      <c r="L453" s="514">
        <f t="shared" si="806"/>
        <v>3580</v>
      </c>
      <c r="M453" s="300">
        <f t="shared" si="788"/>
        <v>3580</v>
      </c>
      <c r="N453" s="514">
        <f t="shared" si="807"/>
        <v>3550</v>
      </c>
      <c r="O453" s="300">
        <f t="shared" si="808"/>
        <v>3550</v>
      </c>
      <c r="P453" s="514">
        <f t="shared" si="809"/>
        <v>3530</v>
      </c>
      <c r="Q453" s="300">
        <f t="shared" si="810"/>
        <v>3530</v>
      </c>
      <c r="R453" s="514">
        <f t="shared" si="811"/>
        <v>3510</v>
      </c>
      <c r="S453" s="300">
        <f t="shared" si="812"/>
        <v>3510</v>
      </c>
      <c r="T453" s="514">
        <f t="shared" si="813"/>
        <v>3490</v>
      </c>
      <c r="U453" s="300">
        <f t="shared" si="814"/>
        <v>3490</v>
      </c>
      <c r="V453" s="514">
        <f t="shared" si="815"/>
        <v>3475</v>
      </c>
      <c r="W453" s="300">
        <f t="shared" si="816"/>
        <v>3475</v>
      </c>
      <c r="X453" s="802"/>
      <c r="Y453" s="1075"/>
      <c r="Z453" s="1075"/>
      <c r="AA453" s="1075"/>
      <c r="AB453" s="200" t="s">
        <v>461</v>
      </c>
    </row>
    <row r="454" spans="1:28" ht="12.6" customHeight="1" x14ac:dyDescent="0.2">
      <c r="A454" s="18"/>
      <c r="B454" s="663" t="s">
        <v>397</v>
      </c>
      <c r="C454" s="693"/>
      <c r="D454" s="693"/>
      <c r="E454" s="693"/>
      <c r="F454" s="348">
        <v>4124</v>
      </c>
      <c r="G454" s="299">
        <f>+F454*$X$1</f>
        <v>4124</v>
      </c>
      <c r="H454" s="548">
        <f t="shared" si="802"/>
        <v>4524</v>
      </c>
      <c r="I454" s="299">
        <f t="shared" si="803"/>
        <v>4524</v>
      </c>
      <c r="J454" s="561">
        <f t="shared" si="804"/>
        <v>4444</v>
      </c>
      <c r="K454" s="299">
        <f t="shared" si="805"/>
        <v>4444</v>
      </c>
      <c r="L454" s="561">
        <f t="shared" si="806"/>
        <v>4404</v>
      </c>
      <c r="M454" s="299">
        <f t="shared" si="788"/>
        <v>4404</v>
      </c>
      <c r="N454" s="561">
        <f t="shared" si="807"/>
        <v>4374</v>
      </c>
      <c r="O454" s="299">
        <f t="shared" si="808"/>
        <v>4374</v>
      </c>
      <c r="P454" s="561">
        <f t="shared" si="809"/>
        <v>4354</v>
      </c>
      <c r="Q454" s="299">
        <f t="shared" si="810"/>
        <v>4354</v>
      </c>
      <c r="R454" s="561">
        <f t="shared" si="811"/>
        <v>4334</v>
      </c>
      <c r="S454" s="299">
        <f t="shared" si="812"/>
        <v>4334</v>
      </c>
      <c r="T454" s="561">
        <f t="shared" si="813"/>
        <v>4314</v>
      </c>
      <c r="U454" s="299">
        <f t="shared" si="814"/>
        <v>4314</v>
      </c>
      <c r="V454" s="561">
        <f t="shared" si="815"/>
        <v>4299</v>
      </c>
      <c r="W454" s="299">
        <f t="shared" si="816"/>
        <v>4299</v>
      </c>
      <c r="X454" s="1071"/>
      <c r="Y454" s="1072"/>
      <c r="Z454" s="1072"/>
      <c r="AA454" s="1073"/>
      <c r="AB454" s="200" t="s">
        <v>284</v>
      </c>
    </row>
    <row r="455" spans="1:28" ht="12.6" customHeight="1" x14ac:dyDescent="0.25">
      <c r="A455" s="18"/>
      <c r="B455" s="987" t="s">
        <v>872</v>
      </c>
      <c r="C455" s="1157"/>
      <c r="D455" s="1157"/>
      <c r="E455" s="1157"/>
      <c r="F455" s="347">
        <v>4124</v>
      </c>
      <c r="G455" s="300">
        <f t="shared" ref="G455:G457" si="818">+F455*$X$1</f>
        <v>4124</v>
      </c>
      <c r="H455" s="514">
        <f t="shared" si="802"/>
        <v>4524</v>
      </c>
      <c r="I455" s="300">
        <f t="shared" si="803"/>
        <v>4524</v>
      </c>
      <c r="J455" s="514">
        <f t="shared" si="804"/>
        <v>4444</v>
      </c>
      <c r="K455" s="300">
        <f t="shared" si="805"/>
        <v>4444</v>
      </c>
      <c r="L455" s="514">
        <f t="shared" si="806"/>
        <v>4404</v>
      </c>
      <c r="M455" s="300">
        <f t="shared" si="788"/>
        <v>4404</v>
      </c>
      <c r="N455" s="514">
        <f t="shared" si="807"/>
        <v>4374</v>
      </c>
      <c r="O455" s="300">
        <f t="shared" si="808"/>
        <v>4374</v>
      </c>
      <c r="P455" s="514">
        <f t="shared" si="809"/>
        <v>4354</v>
      </c>
      <c r="Q455" s="300">
        <f t="shared" si="810"/>
        <v>4354</v>
      </c>
      <c r="R455" s="514">
        <f t="shared" si="811"/>
        <v>4334</v>
      </c>
      <c r="S455" s="300">
        <f t="shared" si="812"/>
        <v>4334</v>
      </c>
      <c r="T455" s="514">
        <f t="shared" si="813"/>
        <v>4314</v>
      </c>
      <c r="U455" s="300">
        <f t="shared" si="814"/>
        <v>4314</v>
      </c>
      <c r="V455" s="514">
        <f t="shared" si="815"/>
        <v>4299</v>
      </c>
      <c r="W455" s="300">
        <f t="shared" si="816"/>
        <v>4299</v>
      </c>
      <c r="X455" s="802"/>
      <c r="Y455" s="1075"/>
      <c r="Z455" s="1075"/>
      <c r="AA455" s="1075"/>
      <c r="AB455" s="200" t="s">
        <v>285</v>
      </c>
    </row>
    <row r="456" spans="1:28" ht="12.6" customHeight="1" x14ac:dyDescent="0.25">
      <c r="A456" s="18"/>
      <c r="B456" s="1074" t="s">
        <v>561</v>
      </c>
      <c r="C456" s="676"/>
      <c r="D456" s="676"/>
      <c r="E456" s="677"/>
      <c r="F456" s="508">
        <v>3300</v>
      </c>
      <c r="G456" s="299">
        <f>+F456*$X$1</f>
        <v>3300</v>
      </c>
      <c r="H456" s="548">
        <f t="shared" si="802"/>
        <v>3700</v>
      </c>
      <c r="I456" s="299">
        <f t="shared" si="803"/>
        <v>3700</v>
      </c>
      <c r="J456" s="561">
        <f t="shared" si="804"/>
        <v>3620</v>
      </c>
      <c r="K456" s="299">
        <f t="shared" si="805"/>
        <v>3620</v>
      </c>
      <c r="L456" s="561">
        <f t="shared" si="806"/>
        <v>3580</v>
      </c>
      <c r="M456" s="299">
        <f t="shared" si="788"/>
        <v>3580</v>
      </c>
      <c r="N456" s="561">
        <f t="shared" si="807"/>
        <v>3550</v>
      </c>
      <c r="O456" s="299">
        <f t="shared" si="808"/>
        <v>3550</v>
      </c>
      <c r="P456" s="561">
        <f t="shared" si="809"/>
        <v>3530</v>
      </c>
      <c r="Q456" s="299">
        <f t="shared" si="810"/>
        <v>3530</v>
      </c>
      <c r="R456" s="561">
        <f t="shared" si="811"/>
        <v>3510</v>
      </c>
      <c r="S456" s="299">
        <f t="shared" si="812"/>
        <v>3510</v>
      </c>
      <c r="T456" s="561">
        <f t="shared" si="813"/>
        <v>3490</v>
      </c>
      <c r="U456" s="299">
        <f t="shared" si="814"/>
        <v>3490</v>
      </c>
      <c r="V456" s="561">
        <f t="shared" si="815"/>
        <v>3475</v>
      </c>
      <c r="W456" s="299">
        <f t="shared" si="816"/>
        <v>3475</v>
      </c>
      <c r="X456" s="802"/>
      <c r="Y456" s="1075"/>
      <c r="Z456" s="1075"/>
      <c r="AA456" s="1075"/>
      <c r="AB456" s="29"/>
    </row>
    <row r="457" spans="1:28" ht="12.6" customHeight="1" x14ac:dyDescent="0.25">
      <c r="A457" s="18"/>
      <c r="B457" s="685" t="s">
        <v>342</v>
      </c>
      <c r="C457" s="686"/>
      <c r="D457" s="686"/>
      <c r="E457" s="686"/>
      <c r="F457" s="347">
        <v>6552</v>
      </c>
      <c r="G457" s="300">
        <f t="shared" si="818"/>
        <v>6552</v>
      </c>
      <c r="H457" s="514">
        <f t="shared" si="802"/>
        <v>6952</v>
      </c>
      <c r="I457" s="300">
        <f t="shared" si="803"/>
        <v>6952</v>
      </c>
      <c r="J457" s="514">
        <f t="shared" si="804"/>
        <v>6872</v>
      </c>
      <c r="K457" s="300">
        <f t="shared" si="805"/>
        <v>6872</v>
      </c>
      <c r="L457" s="514">
        <f t="shared" si="806"/>
        <v>6832</v>
      </c>
      <c r="M457" s="300">
        <f t="shared" si="788"/>
        <v>6832</v>
      </c>
      <c r="N457" s="514">
        <f t="shared" si="807"/>
        <v>6802</v>
      </c>
      <c r="O457" s="300">
        <f t="shared" si="808"/>
        <v>6802</v>
      </c>
      <c r="P457" s="514">
        <f t="shared" si="809"/>
        <v>6782</v>
      </c>
      <c r="Q457" s="300">
        <f t="shared" si="810"/>
        <v>6782</v>
      </c>
      <c r="R457" s="514">
        <f t="shared" si="811"/>
        <v>6762</v>
      </c>
      <c r="S457" s="300">
        <f t="shared" si="812"/>
        <v>6762</v>
      </c>
      <c r="T457" s="514">
        <f t="shared" si="813"/>
        <v>6742</v>
      </c>
      <c r="U457" s="300">
        <f t="shared" si="814"/>
        <v>6742</v>
      </c>
      <c r="V457" s="514">
        <f t="shared" si="815"/>
        <v>6727</v>
      </c>
      <c r="W457" s="300">
        <f t="shared" si="816"/>
        <v>6727</v>
      </c>
      <c r="X457" s="802"/>
      <c r="Y457" s="1075"/>
      <c r="Z457" s="1075"/>
      <c r="AA457" s="1075"/>
      <c r="AB457" s="200" t="s">
        <v>286</v>
      </c>
    </row>
    <row r="458" spans="1:28" ht="12.6" customHeight="1" x14ac:dyDescent="0.2">
      <c r="A458" s="18"/>
      <c r="B458" s="663" t="s">
        <v>793</v>
      </c>
      <c r="C458" s="989"/>
      <c r="D458" s="989"/>
      <c r="E458" s="989"/>
      <c r="F458" s="299">
        <v>11450</v>
      </c>
      <c r="G458" s="299">
        <f>+F458*$X$1</f>
        <v>11450</v>
      </c>
      <c r="H458" s="423">
        <f>F458+500</f>
        <v>11950</v>
      </c>
      <c r="I458" s="299">
        <f t="shared" si="803"/>
        <v>11950</v>
      </c>
      <c r="J458" s="561">
        <f>F458+350</f>
        <v>11800</v>
      </c>
      <c r="K458" s="299">
        <f t="shared" si="805"/>
        <v>11800</v>
      </c>
      <c r="L458" s="561">
        <f>F458+300</f>
        <v>11750</v>
      </c>
      <c r="M458" s="299">
        <f t="shared" ref="M458" si="819">+L458*$X$1</f>
        <v>11750</v>
      </c>
      <c r="N458" s="561">
        <f>F458+270</f>
        <v>11720</v>
      </c>
      <c r="O458" s="299">
        <f t="shared" ref="O458" si="820">+N458*$X$1</f>
        <v>11720</v>
      </c>
      <c r="P458" s="561">
        <f>F458+250</f>
        <v>11700</v>
      </c>
      <c r="Q458" s="299">
        <f t="shared" ref="Q458" si="821">+P458*$X$1</f>
        <v>11700</v>
      </c>
      <c r="R458" s="561">
        <f t="shared" ref="R458" si="822">F458+230</f>
        <v>11680</v>
      </c>
      <c r="S458" s="299">
        <f t="shared" ref="S458" si="823">+R458*$X$1</f>
        <v>11680</v>
      </c>
      <c r="T458" s="561">
        <f>F458+200</f>
        <v>11650</v>
      </c>
      <c r="U458" s="299">
        <f t="shared" ref="U458" si="824">+T458*$X$1</f>
        <v>11650</v>
      </c>
      <c r="V458" s="561">
        <f>F458+185</f>
        <v>11635</v>
      </c>
      <c r="W458" s="299">
        <f t="shared" si="816"/>
        <v>11635</v>
      </c>
      <c r="X458" s="154"/>
      <c r="Y458" s="139"/>
      <c r="Z458" s="139"/>
      <c r="AA458" s="142"/>
      <c r="AB458" s="200" t="s">
        <v>287</v>
      </c>
    </row>
    <row r="459" spans="1:28" ht="12.6" customHeight="1" x14ac:dyDescent="0.2">
      <c r="A459" s="18"/>
      <c r="B459" s="685" t="s">
        <v>794</v>
      </c>
      <c r="C459" s="1136"/>
      <c r="D459" s="1136"/>
      <c r="E459" s="1136"/>
      <c r="F459" s="300">
        <v>11500</v>
      </c>
      <c r="G459" s="300">
        <f t="shared" ref="G459" si="825">+F459*$X$1</f>
        <v>11500</v>
      </c>
      <c r="H459" s="101">
        <f>F459+500</f>
        <v>12000</v>
      </c>
      <c r="I459" s="300">
        <f t="shared" si="803"/>
        <v>12000</v>
      </c>
      <c r="J459" s="514">
        <f>F459+350</f>
        <v>11850</v>
      </c>
      <c r="K459" s="300">
        <f t="shared" si="805"/>
        <v>11850</v>
      </c>
      <c r="L459" s="514">
        <f>F459+300</f>
        <v>11800</v>
      </c>
      <c r="M459" s="300">
        <f t="shared" ref="M459" si="826">+L459*$X$1</f>
        <v>11800</v>
      </c>
      <c r="N459" s="514">
        <f>F459+270</f>
        <v>11770</v>
      </c>
      <c r="O459" s="300">
        <f t="shared" si="808"/>
        <v>11770</v>
      </c>
      <c r="P459" s="514">
        <f>F459+250</f>
        <v>11750</v>
      </c>
      <c r="Q459" s="300">
        <f t="shared" si="810"/>
        <v>11750</v>
      </c>
      <c r="R459" s="514">
        <f t="shared" ref="R459" si="827">F459+230</f>
        <v>11730</v>
      </c>
      <c r="S459" s="300">
        <f t="shared" si="812"/>
        <v>11730</v>
      </c>
      <c r="T459" s="514">
        <f>F459+200</f>
        <v>11700</v>
      </c>
      <c r="U459" s="300">
        <f t="shared" si="814"/>
        <v>11700</v>
      </c>
      <c r="V459" s="514">
        <f>F459+185</f>
        <v>11685</v>
      </c>
      <c r="W459" s="300">
        <f t="shared" si="816"/>
        <v>11685</v>
      </c>
      <c r="X459" s="154"/>
      <c r="Y459" s="139"/>
      <c r="Z459" s="139"/>
      <c r="AA459" s="142"/>
      <c r="AB459" s="200" t="s">
        <v>288</v>
      </c>
    </row>
    <row r="460" spans="1:28" ht="12.6" customHeight="1" x14ac:dyDescent="0.2">
      <c r="A460" s="18"/>
      <c r="B460" s="914" t="s">
        <v>379</v>
      </c>
      <c r="C460" s="891"/>
      <c r="D460" s="891"/>
      <c r="E460" s="891"/>
      <c r="F460" s="322"/>
      <c r="G460" s="322"/>
      <c r="H460" s="559"/>
      <c r="I460" s="560"/>
      <c r="J460" s="561"/>
      <c r="K460" s="299"/>
      <c r="L460" s="561"/>
      <c r="M460" s="299"/>
      <c r="N460" s="561"/>
      <c r="O460" s="299"/>
      <c r="P460" s="561"/>
      <c r="Q460" s="299"/>
      <c r="R460" s="561"/>
      <c r="S460" s="299"/>
      <c r="T460" s="561"/>
      <c r="U460" s="299"/>
      <c r="V460" s="104"/>
      <c r="W460" s="322"/>
      <c r="X460" s="154"/>
      <c r="Y460" s="139"/>
      <c r="Z460" s="139"/>
      <c r="AA460" s="142"/>
      <c r="AB460" s="200" t="s">
        <v>289</v>
      </c>
    </row>
    <row r="461" spans="1:28" ht="12.6" customHeight="1" x14ac:dyDescent="0.2">
      <c r="A461" s="18"/>
      <c r="B461" s="685" t="s">
        <v>290</v>
      </c>
      <c r="C461" s="686"/>
      <c r="D461" s="686"/>
      <c r="E461" s="686"/>
      <c r="F461" s="300">
        <v>7920</v>
      </c>
      <c r="G461" s="300">
        <f>+F461*$X$1</f>
        <v>7920</v>
      </c>
      <c r="H461" s="101">
        <f>F461+500</f>
        <v>8420</v>
      </c>
      <c r="I461" s="300">
        <f t="shared" ref="I461:I462" si="828">+H461*$X$1</f>
        <v>8420</v>
      </c>
      <c r="J461" s="514">
        <f>F461+350</f>
        <v>8270</v>
      </c>
      <c r="K461" s="300">
        <f>+J461*$X$1</f>
        <v>8270</v>
      </c>
      <c r="L461" s="514">
        <f>F461+300</f>
        <v>8220</v>
      </c>
      <c r="M461" s="300">
        <f t="shared" ref="M461:M462" si="829">+L461*$X$1</f>
        <v>8220</v>
      </c>
      <c r="N461" s="514">
        <f>F461+270</f>
        <v>8190</v>
      </c>
      <c r="O461" s="300">
        <f t="shared" ref="O461:O462" si="830">+N461*$X$1</f>
        <v>8190</v>
      </c>
      <c r="P461" s="514">
        <f>F461+250</f>
        <v>8170</v>
      </c>
      <c r="Q461" s="300">
        <f t="shared" ref="Q461:Q462" si="831">+P461*$X$1</f>
        <v>8170</v>
      </c>
      <c r="R461" s="514">
        <f t="shared" ref="R461:R462" si="832">F461+230</f>
        <v>8150</v>
      </c>
      <c r="S461" s="300">
        <f t="shared" ref="S461:S462" si="833">+R461*$X$1</f>
        <v>8150</v>
      </c>
      <c r="T461" s="514">
        <f>F461+200</f>
        <v>8120</v>
      </c>
      <c r="U461" s="300">
        <f t="shared" ref="U461:U462" si="834">+T461*$X$1</f>
        <v>8120</v>
      </c>
      <c r="V461" s="514">
        <f>F461+185</f>
        <v>8105</v>
      </c>
      <c r="W461" s="300">
        <f t="shared" ref="W461:W462" si="835">+V461*$X$1</f>
        <v>8105</v>
      </c>
      <c r="X461" s="154"/>
      <c r="Y461" s="139"/>
      <c r="Z461" s="139"/>
      <c r="AA461" s="142"/>
      <c r="AB461" s="200" t="s">
        <v>291</v>
      </c>
    </row>
    <row r="462" spans="1:28" ht="12.6" customHeight="1" x14ac:dyDescent="0.2">
      <c r="A462" s="18"/>
      <c r="B462" s="663" t="s">
        <v>292</v>
      </c>
      <c r="C462" s="693"/>
      <c r="D462" s="693"/>
      <c r="E462" s="693"/>
      <c r="F462" s="299">
        <v>8798</v>
      </c>
      <c r="G462" s="299">
        <f>+F462*$X$1</f>
        <v>8798</v>
      </c>
      <c r="H462" s="423">
        <f>F462+500</f>
        <v>9298</v>
      </c>
      <c r="I462" s="299">
        <f t="shared" si="828"/>
        <v>9298</v>
      </c>
      <c r="J462" s="561">
        <f>F462+350</f>
        <v>9148</v>
      </c>
      <c r="K462" s="299">
        <f>+J462*$X$1</f>
        <v>9148</v>
      </c>
      <c r="L462" s="561">
        <f>F462+300</f>
        <v>9098</v>
      </c>
      <c r="M462" s="299">
        <f t="shared" si="829"/>
        <v>9098</v>
      </c>
      <c r="N462" s="561">
        <f>F462+270</f>
        <v>9068</v>
      </c>
      <c r="O462" s="299">
        <f t="shared" si="830"/>
        <v>9068</v>
      </c>
      <c r="P462" s="561">
        <f>F462+250</f>
        <v>9048</v>
      </c>
      <c r="Q462" s="299">
        <f t="shared" si="831"/>
        <v>9048</v>
      </c>
      <c r="R462" s="561">
        <f t="shared" si="832"/>
        <v>9028</v>
      </c>
      <c r="S462" s="299">
        <f t="shared" si="833"/>
        <v>9028</v>
      </c>
      <c r="T462" s="561">
        <f>F462+200</f>
        <v>8998</v>
      </c>
      <c r="U462" s="299">
        <f t="shared" si="834"/>
        <v>8998</v>
      </c>
      <c r="V462" s="561">
        <f>F462+185</f>
        <v>8983</v>
      </c>
      <c r="W462" s="299">
        <f t="shared" si="835"/>
        <v>8983</v>
      </c>
      <c r="X462" s="154"/>
      <c r="Y462" s="139"/>
      <c r="Z462" s="139"/>
      <c r="AA462" s="142"/>
      <c r="AB462" s="200" t="s">
        <v>293</v>
      </c>
    </row>
    <row r="463" spans="1:28" ht="12.6" customHeight="1" x14ac:dyDescent="0.2">
      <c r="A463" s="18"/>
      <c r="B463" s="685" t="s">
        <v>590</v>
      </c>
      <c r="C463" s="686"/>
      <c r="D463" s="686"/>
      <c r="E463" s="686"/>
      <c r="F463" s="408">
        <f>3.82*X2</f>
        <v>3877.2999999999997</v>
      </c>
      <c r="G463" s="300">
        <f t="shared" ref="G463" si="836">+F463*$X$1</f>
        <v>3877.2999999999997</v>
      </c>
      <c r="H463" s="514">
        <f>F463+400</f>
        <v>4277.2999999999993</v>
      </c>
      <c r="I463" s="300">
        <f t="shared" ref="I463:I464" si="837">+H463*$X$1</f>
        <v>4277.2999999999993</v>
      </c>
      <c r="J463" s="514">
        <f>F463+150</f>
        <v>4027.2999999999997</v>
      </c>
      <c r="K463" s="300">
        <f t="shared" ref="K463" si="838">+J463*$X$1</f>
        <v>4027.2999999999997</v>
      </c>
      <c r="L463" s="514">
        <f>F463+100</f>
        <v>3977.2999999999997</v>
      </c>
      <c r="M463" s="300">
        <f t="shared" ref="M463" si="839">+L463*$X$1</f>
        <v>3977.2999999999997</v>
      </c>
      <c r="N463" s="514">
        <f>F463+80</f>
        <v>3957.2999999999997</v>
      </c>
      <c r="O463" s="300">
        <f>+N463*$X$1</f>
        <v>3957.2999999999997</v>
      </c>
      <c r="P463" s="514">
        <f>F463+70</f>
        <v>3947.2999999999997</v>
      </c>
      <c r="Q463" s="300">
        <f t="shared" ref="Q463:Q465" si="840">+P463*$X$1</f>
        <v>3947.2999999999997</v>
      </c>
      <c r="R463" s="514">
        <f>F463+66</f>
        <v>3943.2999999999997</v>
      </c>
      <c r="S463" s="300">
        <f t="shared" ref="S463:S465" si="841">+R463*$X$1</f>
        <v>3943.2999999999997</v>
      </c>
      <c r="T463" s="514">
        <f>F463+61</f>
        <v>3938.2999999999997</v>
      </c>
      <c r="U463" s="300">
        <f t="shared" ref="U463:U465" si="842">+T463*$X$1</f>
        <v>3938.2999999999997</v>
      </c>
      <c r="V463" s="514">
        <f>F463+57</f>
        <v>3934.2999999999997</v>
      </c>
      <c r="W463" s="300">
        <f t="shared" ref="W463:W465" si="843">+V463*$X$1</f>
        <v>3934.2999999999997</v>
      </c>
      <c r="X463" s="1071"/>
      <c r="Y463" s="1072"/>
      <c r="Z463" s="1072"/>
      <c r="AA463" s="1073"/>
      <c r="AB463" s="200" t="s">
        <v>294</v>
      </c>
    </row>
    <row r="464" spans="1:28" ht="12.6" customHeight="1" x14ac:dyDescent="0.2">
      <c r="A464" s="18"/>
      <c r="B464" s="663" t="s">
        <v>671</v>
      </c>
      <c r="C464" s="693"/>
      <c r="D464" s="693"/>
      <c r="E464" s="693"/>
      <c r="F464" s="407">
        <f>3.82*X2</f>
        <v>3877.2999999999997</v>
      </c>
      <c r="G464" s="299">
        <f t="shared" ref="G464" si="844">+F464*$X$1</f>
        <v>3877.2999999999997</v>
      </c>
      <c r="H464" s="548">
        <f>F464+400</f>
        <v>4277.2999999999993</v>
      </c>
      <c r="I464" s="299">
        <f t="shared" si="837"/>
        <v>4277.2999999999993</v>
      </c>
      <c r="J464" s="548">
        <f>F464+320</f>
        <v>4197.2999999999993</v>
      </c>
      <c r="K464" s="299">
        <f>+J464*$X$1</f>
        <v>4197.2999999999993</v>
      </c>
      <c r="L464" s="548">
        <f>F464+280</f>
        <v>4157.2999999999993</v>
      </c>
      <c r="M464" s="299">
        <f>+L464*$X$1</f>
        <v>4157.2999999999993</v>
      </c>
      <c r="N464" s="548">
        <f>F464+250</f>
        <v>4127.2999999999993</v>
      </c>
      <c r="O464" s="299">
        <f t="shared" ref="O464" si="845">+N464*$X$1</f>
        <v>4127.2999999999993</v>
      </c>
      <c r="P464" s="548">
        <f>F464+230</f>
        <v>4107.2999999999993</v>
      </c>
      <c r="Q464" s="299">
        <f t="shared" ref="Q464" si="846">+P464*$X$1</f>
        <v>4107.2999999999993</v>
      </c>
      <c r="R464" s="548">
        <f>F464+210</f>
        <v>4087.2999999999997</v>
      </c>
      <c r="S464" s="299">
        <f t="shared" ref="S464" si="847">+R464*$X$1</f>
        <v>4087.2999999999997</v>
      </c>
      <c r="T464" s="548">
        <f>F464+190</f>
        <v>4067.2999999999997</v>
      </c>
      <c r="U464" s="299">
        <f t="shared" ref="U464" si="848">+T464*$X$1</f>
        <v>4067.2999999999997</v>
      </c>
      <c r="V464" s="548">
        <f>F464+175</f>
        <v>4052.2999999999997</v>
      </c>
      <c r="W464" s="299">
        <f t="shared" ref="W464" si="849">+V464*$X$1</f>
        <v>4052.2999999999997</v>
      </c>
      <c r="X464" s="1071"/>
      <c r="Y464" s="1072"/>
      <c r="Z464" s="1072"/>
      <c r="AA464" s="1073"/>
      <c r="AB464" s="200" t="s">
        <v>672</v>
      </c>
    </row>
    <row r="465" spans="1:34" ht="12.6" customHeight="1" x14ac:dyDescent="0.2">
      <c r="A465" s="18"/>
      <c r="B465" s="685" t="s">
        <v>411</v>
      </c>
      <c r="C465" s="870"/>
      <c r="D465" s="870"/>
      <c r="E465" s="870"/>
      <c r="F465" s="408">
        <f>3.116*X2</f>
        <v>3162.7400000000002</v>
      </c>
      <c r="G465" s="300">
        <f t="shared" ref="G465" si="850">+F465*$X$1</f>
        <v>3162.7400000000002</v>
      </c>
      <c r="H465" s="514">
        <f>F465+400</f>
        <v>3562.7400000000002</v>
      </c>
      <c r="I465" s="300">
        <f t="shared" ref="I465" si="851">+H465*$X$1</f>
        <v>3562.7400000000002</v>
      </c>
      <c r="J465" s="514">
        <f>F465+320</f>
        <v>3482.7400000000002</v>
      </c>
      <c r="K465" s="300">
        <f>+J465*$X$1</f>
        <v>3482.7400000000002</v>
      </c>
      <c r="L465" s="514">
        <f>F465+280</f>
        <v>3442.7400000000002</v>
      </c>
      <c r="M465" s="300">
        <f>+L465*$X$1</f>
        <v>3442.7400000000002</v>
      </c>
      <c r="N465" s="514">
        <f>F465+250</f>
        <v>3412.7400000000002</v>
      </c>
      <c r="O465" s="300">
        <f t="shared" ref="O465" si="852">+N465*$X$1</f>
        <v>3412.7400000000002</v>
      </c>
      <c r="P465" s="514">
        <f>F465+230</f>
        <v>3392.7400000000002</v>
      </c>
      <c r="Q465" s="300">
        <f t="shared" si="840"/>
        <v>3392.7400000000002</v>
      </c>
      <c r="R465" s="514">
        <f>F465+210</f>
        <v>3372.7400000000002</v>
      </c>
      <c r="S465" s="300">
        <f t="shared" si="841"/>
        <v>3372.7400000000002</v>
      </c>
      <c r="T465" s="514">
        <f>F465+190</f>
        <v>3352.7400000000002</v>
      </c>
      <c r="U465" s="300">
        <f t="shared" si="842"/>
        <v>3352.7400000000002</v>
      </c>
      <c r="V465" s="514">
        <f>F465+175</f>
        <v>3337.7400000000002</v>
      </c>
      <c r="W465" s="300">
        <f t="shared" si="843"/>
        <v>3337.7400000000002</v>
      </c>
      <c r="X465" s="1071"/>
      <c r="Y465" s="1072"/>
      <c r="Z465" s="1072"/>
      <c r="AA465" s="1073"/>
      <c r="AB465" s="200" t="s">
        <v>486</v>
      </c>
    </row>
    <row r="466" spans="1:34" ht="12.6" customHeight="1" x14ac:dyDescent="0.2">
      <c r="A466" s="18"/>
      <c r="B466" s="663" t="s">
        <v>721</v>
      </c>
      <c r="C466" s="712"/>
      <c r="D466" s="712"/>
      <c r="E466" s="712"/>
      <c r="F466" s="407">
        <f>7.73*X2</f>
        <v>7845.9500000000007</v>
      </c>
      <c r="G466" s="299">
        <f t="shared" ref="G466" si="853">+F466*$X$1</f>
        <v>7845.9500000000007</v>
      </c>
      <c r="H466" s="548">
        <f>F466+400</f>
        <v>8245.9500000000007</v>
      </c>
      <c r="I466" s="299">
        <f t="shared" ref="I466" si="854">+H466*$X$1</f>
        <v>8245.9500000000007</v>
      </c>
      <c r="J466" s="548">
        <f>F466+320</f>
        <v>8165.9500000000007</v>
      </c>
      <c r="K466" s="299">
        <f>+J466*$X$1</f>
        <v>8165.9500000000007</v>
      </c>
      <c r="L466" s="548">
        <f>F466+280</f>
        <v>8125.9500000000007</v>
      </c>
      <c r="M466" s="299">
        <f>+L466*$X$1</f>
        <v>8125.9500000000007</v>
      </c>
      <c r="N466" s="548">
        <f>F466+250</f>
        <v>8095.9500000000007</v>
      </c>
      <c r="O466" s="299">
        <f t="shared" ref="O466" si="855">+N466*$X$1</f>
        <v>8095.9500000000007</v>
      </c>
      <c r="P466" s="548">
        <f>F466+230</f>
        <v>8075.9500000000007</v>
      </c>
      <c r="Q466" s="299">
        <f t="shared" ref="Q466" si="856">+P466*$X$1</f>
        <v>8075.9500000000007</v>
      </c>
      <c r="R466" s="548">
        <f>F466+210</f>
        <v>8055.9500000000007</v>
      </c>
      <c r="S466" s="299">
        <f t="shared" ref="S466" si="857">+R466*$X$1</f>
        <v>8055.9500000000007</v>
      </c>
      <c r="T466" s="548">
        <f>F466+190</f>
        <v>8035.9500000000007</v>
      </c>
      <c r="U466" s="299">
        <f t="shared" ref="U466" si="858">+T466*$X$1</f>
        <v>8035.9500000000007</v>
      </c>
      <c r="V466" s="548">
        <f>F466+175</f>
        <v>8020.9500000000007</v>
      </c>
      <c r="W466" s="299">
        <f t="shared" ref="W466" si="859">+V466*$X$1</f>
        <v>8020.9500000000007</v>
      </c>
      <c r="X466" s="1071"/>
      <c r="Y466" s="1072"/>
      <c r="Z466" s="1072"/>
      <c r="AA466" s="1073"/>
      <c r="AB466" s="200" t="s">
        <v>722</v>
      </c>
    </row>
    <row r="467" spans="1:34" ht="12.6" customHeight="1" x14ac:dyDescent="0.2">
      <c r="A467" s="107"/>
      <c r="B467" s="237"/>
      <c r="C467" s="63"/>
      <c r="D467" s="63"/>
      <c r="E467" s="63"/>
      <c r="F467" s="133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238"/>
      <c r="Y467" s="239"/>
      <c r="Z467" s="239"/>
      <c r="AA467" s="238"/>
      <c r="AB467" s="40"/>
      <c r="AC467" s="66"/>
    </row>
    <row r="468" spans="1:34" ht="12.6" customHeight="1" x14ac:dyDescent="0.2">
      <c r="A468" s="107"/>
      <c r="B468" s="237"/>
      <c r="C468" s="63"/>
      <c r="D468" s="63"/>
      <c r="E468" s="63"/>
      <c r="F468" s="133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238"/>
      <c r="Y468" s="239"/>
      <c r="Z468" s="239"/>
      <c r="AA468" s="238"/>
      <c r="AB468" s="40"/>
      <c r="AC468" s="66"/>
    </row>
    <row r="469" spans="1:34" ht="12.6" customHeight="1" x14ac:dyDescent="0.2">
      <c r="A469" s="107"/>
      <c r="B469" s="237"/>
      <c r="C469" s="63"/>
      <c r="D469" s="63"/>
      <c r="E469" s="63"/>
      <c r="F469" s="133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238"/>
      <c r="Y469" s="239"/>
      <c r="Z469" s="239"/>
      <c r="AA469" s="238"/>
      <c r="AB469" s="40"/>
      <c r="AC469" s="66"/>
    </row>
    <row r="470" spans="1:34" ht="12.6" customHeight="1" x14ac:dyDescent="0.2">
      <c r="A470" s="107"/>
      <c r="B470" s="237"/>
      <c r="C470" s="63"/>
      <c r="D470" s="63"/>
      <c r="E470" s="63"/>
      <c r="F470" s="133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238"/>
      <c r="Y470" s="239"/>
      <c r="Z470" s="239"/>
      <c r="AA470" s="238"/>
      <c r="AB470" s="40"/>
      <c r="AC470" s="66"/>
    </row>
    <row r="471" spans="1:34" ht="12.6" customHeight="1" x14ac:dyDescent="0.2">
      <c r="A471" s="107"/>
      <c r="B471" s="237"/>
      <c r="C471" s="63"/>
      <c r="D471" s="63"/>
      <c r="E471" s="63"/>
      <c r="F471" s="133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238"/>
      <c r="Y471" s="239"/>
      <c r="Z471" s="239"/>
      <c r="AA471" s="238"/>
      <c r="AB471" s="40"/>
      <c r="AC471" s="66"/>
    </row>
    <row r="472" spans="1:34" ht="12.6" customHeight="1" x14ac:dyDescent="0.2">
      <c r="A472" s="107"/>
      <c r="B472" s="237"/>
      <c r="C472" s="63"/>
      <c r="D472" s="63"/>
      <c r="E472" s="63"/>
      <c r="F472" s="133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238"/>
      <c r="Y472" s="239"/>
      <c r="Z472" s="239"/>
      <c r="AA472" s="238"/>
      <c r="AB472" s="40"/>
      <c r="AC472" s="66"/>
    </row>
    <row r="473" spans="1:34" ht="12.6" customHeight="1" x14ac:dyDescent="0.2">
      <c r="A473" s="107"/>
      <c r="B473" s="237"/>
      <c r="C473" s="63"/>
      <c r="D473" s="63"/>
      <c r="E473" s="63"/>
      <c r="F473" s="133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238"/>
      <c r="Y473" s="239"/>
      <c r="Z473" s="239"/>
      <c r="AA473" s="238"/>
      <c r="AB473" s="40"/>
      <c r="AC473" s="66"/>
    </row>
    <row r="474" spans="1:34" ht="12.6" customHeight="1" x14ac:dyDescent="0.2">
      <c r="A474" s="107"/>
      <c r="B474" s="237"/>
      <c r="C474" s="63"/>
      <c r="D474" s="63"/>
      <c r="E474" s="63"/>
      <c r="F474" s="133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238"/>
      <c r="Y474" s="239"/>
      <c r="Z474" s="239"/>
      <c r="AA474" s="238"/>
      <c r="AB474" s="40"/>
      <c r="AC474" s="66"/>
    </row>
    <row r="475" spans="1:34" ht="12.6" customHeight="1" x14ac:dyDescent="0.2">
      <c r="A475" s="107"/>
      <c r="B475" s="237"/>
      <c r="C475" s="63"/>
      <c r="D475" s="63"/>
      <c r="E475" s="63"/>
      <c r="F475" s="133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238"/>
      <c r="Y475" s="239"/>
      <c r="Z475" s="239"/>
      <c r="AA475" s="238"/>
      <c r="AB475" s="40"/>
      <c r="AC475" s="66"/>
    </row>
    <row r="476" spans="1:34" ht="12.6" customHeight="1" x14ac:dyDescent="0.2">
      <c r="A476" s="107"/>
      <c r="B476" s="237"/>
      <c r="C476" s="63"/>
      <c r="D476" s="63"/>
      <c r="E476" s="63"/>
      <c r="F476" s="133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238"/>
      <c r="Y476" s="239"/>
      <c r="Z476" s="239"/>
      <c r="AA476" s="238"/>
      <c r="AB476" s="40"/>
      <c r="AC476" s="66"/>
    </row>
    <row r="477" spans="1:34" ht="12.6" customHeight="1" x14ac:dyDescent="0.2">
      <c r="A477" s="107"/>
      <c r="B477" s="237"/>
      <c r="C477" s="63"/>
      <c r="D477" s="63"/>
      <c r="E477" s="63"/>
      <c r="F477" s="133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238"/>
      <c r="Y477" s="239"/>
      <c r="Z477" s="239"/>
      <c r="AA477" s="238"/>
      <c r="AB477" s="40"/>
      <c r="AC477" s="66"/>
    </row>
    <row r="478" spans="1:34" ht="14.25" customHeight="1" x14ac:dyDescent="0.2">
      <c r="B478" s="645" t="s">
        <v>517</v>
      </c>
      <c r="C478" s="646"/>
      <c r="D478" s="646"/>
      <c r="E478" s="646"/>
      <c r="F478" s="646"/>
      <c r="G478" s="646"/>
      <c r="H478" s="646"/>
      <c r="I478" s="646"/>
      <c r="J478" s="646"/>
      <c r="K478" s="646"/>
      <c r="L478" s="646"/>
      <c r="M478" s="646"/>
      <c r="N478" s="646"/>
      <c r="O478" s="646"/>
      <c r="P478" s="646"/>
      <c r="Q478" s="646"/>
      <c r="R478" s="646"/>
      <c r="S478" s="646"/>
      <c r="T478" s="646"/>
      <c r="U478" s="646"/>
      <c r="V478" s="646"/>
      <c r="W478" s="646"/>
      <c r="AB478" s="4"/>
      <c r="AF478" s="625"/>
      <c r="AG478" s="626"/>
      <c r="AH478" s="626"/>
    </row>
    <row r="479" spans="1:34" ht="13.5" customHeight="1" x14ac:dyDescent="0.2">
      <c r="B479" s="649" t="s">
        <v>11</v>
      </c>
      <c r="C479" s="649" t="s">
        <v>12</v>
      </c>
      <c r="D479" s="650"/>
      <c r="E479" s="650"/>
      <c r="F479" s="651" t="s">
        <v>295</v>
      </c>
      <c r="G479" s="651" t="s">
        <v>13</v>
      </c>
      <c r="H479" s="653" t="s">
        <v>844</v>
      </c>
      <c r="I479" s="653"/>
      <c r="J479" s="654"/>
      <c r="K479" s="654"/>
      <c r="L479" s="654"/>
      <c r="M479" s="654"/>
      <c r="N479" s="654"/>
      <c r="O479" s="654"/>
      <c r="P479" s="654"/>
      <c r="Q479" s="654"/>
      <c r="R479" s="654"/>
      <c r="S479" s="654"/>
      <c r="T479" s="654"/>
      <c r="U479" s="654"/>
      <c r="V479" s="654"/>
      <c r="W479" s="654"/>
      <c r="X479" s="637" t="s">
        <v>14</v>
      </c>
      <c r="Y479" s="638"/>
      <c r="Z479" s="638"/>
      <c r="AA479" s="639"/>
      <c r="AB479" s="643" t="s">
        <v>15</v>
      </c>
      <c r="AF479" s="625" t="s">
        <v>3</v>
      </c>
      <c r="AG479" s="626"/>
      <c r="AH479" s="626"/>
    </row>
    <row r="480" spans="1:34" ht="11.25" customHeight="1" x14ac:dyDescent="0.2">
      <c r="B480" s="650"/>
      <c r="C480" s="650"/>
      <c r="D480" s="650"/>
      <c r="E480" s="650"/>
      <c r="F480" s="652"/>
      <c r="G480" s="652"/>
      <c r="H480" s="532"/>
      <c r="I480" s="531" t="s">
        <v>585</v>
      </c>
      <c r="J480" s="532"/>
      <c r="K480" s="531" t="s">
        <v>296</v>
      </c>
      <c r="L480" s="532"/>
      <c r="M480" s="531" t="s">
        <v>297</v>
      </c>
      <c r="N480" s="532"/>
      <c r="O480" s="531" t="s">
        <v>587</v>
      </c>
      <c r="P480" s="532"/>
      <c r="Q480" s="531" t="s">
        <v>17</v>
      </c>
      <c r="R480" s="532"/>
      <c r="S480" s="531" t="s">
        <v>18</v>
      </c>
      <c r="T480" s="532"/>
      <c r="U480" s="531" t="s">
        <v>19</v>
      </c>
      <c r="V480" s="532"/>
      <c r="W480" s="531" t="s">
        <v>588</v>
      </c>
      <c r="X480" s="640"/>
      <c r="Y480" s="641"/>
      <c r="Z480" s="641"/>
      <c r="AA480" s="642"/>
      <c r="AB480" s="644"/>
    </row>
    <row r="481" spans="1:28" ht="12" customHeight="1" x14ac:dyDescent="0.2">
      <c r="A481" s="4"/>
      <c r="B481" s="792" t="s">
        <v>785</v>
      </c>
      <c r="C481" s="707"/>
      <c r="D481" s="707"/>
      <c r="E481" s="707"/>
      <c r="F481" s="412">
        <f>8.9*X2</f>
        <v>9033.5</v>
      </c>
      <c r="G481" s="336">
        <f t="shared" ref="G481" si="860">+F481*$X$1</f>
        <v>9033.5</v>
      </c>
      <c r="H481" s="103">
        <f>F481+4000</f>
        <v>13033.5</v>
      </c>
      <c r="I481" s="336">
        <f t="shared" ref="I481" si="861">+H481*$X$1</f>
        <v>13033.5</v>
      </c>
      <c r="J481" s="103">
        <f>F481+1000</f>
        <v>10033.5</v>
      </c>
      <c r="K481" s="336">
        <f t="shared" ref="K481" si="862">+J481*$X$1</f>
        <v>10033.5</v>
      </c>
      <c r="L481" s="103">
        <f>F481+900</f>
        <v>9933.5</v>
      </c>
      <c r="M481" s="336">
        <f t="shared" ref="M481" si="863">+L481*$X$1</f>
        <v>9933.5</v>
      </c>
      <c r="N481" s="103">
        <f>F481+850</f>
        <v>9883.5</v>
      </c>
      <c r="O481" s="336">
        <f t="shared" ref="O481" si="864">+N481*$X$1</f>
        <v>9883.5</v>
      </c>
      <c r="P481" s="103">
        <f>F481+800</f>
        <v>9833.5</v>
      </c>
      <c r="Q481" s="336">
        <f t="shared" ref="Q481" si="865">+P481*$X$1</f>
        <v>9833.5</v>
      </c>
      <c r="R481" s="103">
        <f>F481+770</f>
        <v>9803.5</v>
      </c>
      <c r="S481" s="336">
        <f t="shared" ref="S481" si="866">+R481*$X$1</f>
        <v>9803.5</v>
      </c>
      <c r="T481" s="103">
        <f>F481+730</f>
        <v>9763.5</v>
      </c>
      <c r="U481" s="336">
        <f t="shared" ref="U481" si="867">+T481*$X$1</f>
        <v>9763.5</v>
      </c>
      <c r="V481" s="103">
        <f>F481+690</f>
        <v>9723.5</v>
      </c>
      <c r="W481" s="336">
        <f t="shared" ref="W481" si="868">+V481*$X$1</f>
        <v>9723.5</v>
      </c>
      <c r="X481" s="144"/>
      <c r="Y481" s="139"/>
      <c r="Z481" s="145"/>
      <c r="AA481" s="146"/>
      <c r="AB481" s="450" t="s">
        <v>789</v>
      </c>
    </row>
    <row r="482" spans="1:28" ht="12" customHeight="1" x14ac:dyDescent="0.2">
      <c r="A482" s="4"/>
      <c r="B482" s="792" t="s">
        <v>784</v>
      </c>
      <c r="C482" s="707"/>
      <c r="D482" s="707"/>
      <c r="E482" s="707"/>
      <c r="F482" s="413">
        <f>8.9*X2</f>
        <v>9033.5</v>
      </c>
      <c r="G482" s="322">
        <f t="shared" ref="G482" si="869">+F482*$X$1</f>
        <v>9033.5</v>
      </c>
      <c r="H482" s="104">
        <f>F482+3000</f>
        <v>12033.5</v>
      </c>
      <c r="I482" s="322">
        <f t="shared" ref="I482" si="870">+H482*$X$1</f>
        <v>12033.5</v>
      </c>
      <c r="J482" s="104">
        <f>F482+700</f>
        <v>9733.5</v>
      </c>
      <c r="K482" s="322">
        <f t="shared" ref="K482" si="871">+J482*$X$1</f>
        <v>9733.5</v>
      </c>
      <c r="L482" s="104">
        <f>F482+550</f>
        <v>9583.5</v>
      </c>
      <c r="M482" s="322">
        <f t="shared" ref="M482" si="872">+L482*$X$1</f>
        <v>9583.5</v>
      </c>
      <c r="N482" s="104">
        <f>F482+500</f>
        <v>9533.5</v>
      </c>
      <c r="O482" s="322">
        <f t="shared" ref="O482" si="873">+N482*$X$1</f>
        <v>9533.5</v>
      </c>
      <c r="P482" s="104">
        <f>F482+460</f>
        <v>9493.5</v>
      </c>
      <c r="Q482" s="322">
        <f t="shared" ref="Q482" si="874">+P482*$X$1</f>
        <v>9493.5</v>
      </c>
      <c r="R482" s="104">
        <f>F482+440</f>
        <v>9473.5</v>
      </c>
      <c r="S482" s="322">
        <f t="shared" ref="S482" si="875">+R482*$X$1</f>
        <v>9473.5</v>
      </c>
      <c r="T482" s="104">
        <f>F482+400</f>
        <v>9433.5</v>
      </c>
      <c r="U482" s="322">
        <f t="shared" ref="U482" si="876">+T482*$X$1</f>
        <v>9433.5</v>
      </c>
      <c r="V482" s="104">
        <f>F482+370</f>
        <v>9403.5</v>
      </c>
      <c r="W482" s="322">
        <f t="shared" ref="W482" si="877">+V482*$X$1</f>
        <v>9403.5</v>
      </c>
      <c r="X482" s="144"/>
      <c r="Y482" s="139"/>
      <c r="Z482" s="145"/>
      <c r="AA482" s="146"/>
      <c r="AB482" s="436">
        <v>873</v>
      </c>
    </row>
    <row r="483" spans="1:28" ht="12" customHeight="1" x14ac:dyDescent="0.2">
      <c r="A483" s="4"/>
      <c r="B483" s="879" t="s">
        <v>738</v>
      </c>
      <c r="C483" s="694"/>
      <c r="D483" s="694"/>
      <c r="E483" s="694"/>
      <c r="F483" s="412">
        <f>17.6*X2</f>
        <v>17864</v>
      </c>
      <c r="G483" s="336">
        <f t="shared" ref="G483" si="878">+F483*$X$1</f>
        <v>17864</v>
      </c>
      <c r="H483" s="103">
        <f>F483+3000</f>
        <v>20864</v>
      </c>
      <c r="I483" s="336">
        <f t="shared" ref="I483" si="879">+H483*$X$1</f>
        <v>20864</v>
      </c>
      <c r="J483" s="103">
        <f>F483+700</f>
        <v>18564</v>
      </c>
      <c r="K483" s="336">
        <f t="shared" ref="K483" si="880">+J483*$X$1</f>
        <v>18564</v>
      </c>
      <c r="L483" s="103">
        <f>F483+550</f>
        <v>18414</v>
      </c>
      <c r="M483" s="336">
        <f t="shared" ref="M483" si="881">+L483*$X$1</f>
        <v>18414</v>
      </c>
      <c r="N483" s="103">
        <f>F483+500</f>
        <v>18364</v>
      </c>
      <c r="O483" s="336">
        <f t="shared" ref="O483" si="882">+N483*$X$1</f>
        <v>18364</v>
      </c>
      <c r="P483" s="103">
        <f>F483+460</f>
        <v>18324</v>
      </c>
      <c r="Q483" s="336">
        <f t="shared" ref="Q483" si="883">+P483*$X$1</f>
        <v>18324</v>
      </c>
      <c r="R483" s="103">
        <f>F483+440</f>
        <v>18304</v>
      </c>
      <c r="S483" s="336">
        <f t="shared" ref="S483" si="884">+R483*$X$1</f>
        <v>18304</v>
      </c>
      <c r="T483" s="103">
        <f>F483+400</f>
        <v>18264</v>
      </c>
      <c r="U483" s="336">
        <f t="shared" ref="U483" si="885">+T483*$X$1</f>
        <v>18264</v>
      </c>
      <c r="V483" s="103">
        <f>F483+370</f>
        <v>18234</v>
      </c>
      <c r="W483" s="336">
        <f t="shared" ref="W483" si="886">+V483*$X$1</f>
        <v>18234</v>
      </c>
      <c r="X483" s="144"/>
      <c r="Y483" s="139"/>
      <c r="Z483" s="145"/>
      <c r="AA483" s="146"/>
      <c r="AB483" s="436">
        <v>874</v>
      </c>
    </row>
    <row r="484" spans="1:28" ht="12.6" customHeight="1" x14ac:dyDescent="0.2">
      <c r="A484" s="4"/>
      <c r="B484" s="890" t="s">
        <v>705</v>
      </c>
      <c r="C484" s="891"/>
      <c r="D484" s="891"/>
      <c r="E484" s="891"/>
      <c r="F484" s="413">
        <f>11*X2</f>
        <v>11165</v>
      </c>
      <c r="G484" s="322">
        <f t="shared" ref="G484:G485" si="887">+F484*$X$1</f>
        <v>11165</v>
      </c>
      <c r="H484" s="104">
        <f>F484+4000</f>
        <v>15165</v>
      </c>
      <c r="I484" s="322">
        <f t="shared" ref="I484:I486" si="888">+H484*$X$1</f>
        <v>15165</v>
      </c>
      <c r="J484" s="104">
        <f>F484+1000</f>
        <v>12165</v>
      </c>
      <c r="K484" s="322">
        <f t="shared" ref="K484:K486" si="889">+J484*$X$1</f>
        <v>12165</v>
      </c>
      <c r="L484" s="104">
        <f>F484+900</f>
        <v>12065</v>
      </c>
      <c r="M484" s="322">
        <f t="shared" ref="M484:M486" si="890">+L484*$X$1</f>
        <v>12065</v>
      </c>
      <c r="N484" s="104">
        <f>F484+850</f>
        <v>12015</v>
      </c>
      <c r="O484" s="322">
        <f t="shared" ref="O484:O486" si="891">+N484*$X$1</f>
        <v>12015</v>
      </c>
      <c r="P484" s="104">
        <f>F484+800</f>
        <v>11965</v>
      </c>
      <c r="Q484" s="322">
        <f t="shared" ref="Q484:Q486" si="892">+P484*$X$1</f>
        <v>11965</v>
      </c>
      <c r="R484" s="104">
        <f>F484+770</f>
        <v>11935</v>
      </c>
      <c r="S484" s="322">
        <f t="shared" ref="S484:S486" si="893">+R484*$X$1</f>
        <v>11935</v>
      </c>
      <c r="T484" s="104">
        <f>F484+730</f>
        <v>11895</v>
      </c>
      <c r="U484" s="322">
        <f t="shared" ref="U484:U486" si="894">+T484*$X$1</f>
        <v>11895</v>
      </c>
      <c r="V484" s="104">
        <f>F484+690</f>
        <v>11855</v>
      </c>
      <c r="W484" s="322">
        <f t="shared" ref="W484:W486" si="895">+V484*$X$1</f>
        <v>11855</v>
      </c>
      <c r="X484" s="144"/>
      <c r="Y484" s="139"/>
      <c r="Z484" s="145"/>
      <c r="AA484" s="146"/>
      <c r="AB484" s="436" t="s">
        <v>715</v>
      </c>
    </row>
    <row r="485" spans="1:28" ht="12" customHeight="1" x14ac:dyDescent="0.2">
      <c r="A485" s="4"/>
      <c r="B485" s="764" t="s">
        <v>706</v>
      </c>
      <c r="C485" s="686"/>
      <c r="D485" s="686"/>
      <c r="E485" s="686"/>
      <c r="F485" s="412">
        <f>11*X2</f>
        <v>11165</v>
      </c>
      <c r="G485" s="336">
        <f t="shared" si="887"/>
        <v>11165</v>
      </c>
      <c r="H485" s="103">
        <f>F485+3000</f>
        <v>14165</v>
      </c>
      <c r="I485" s="336">
        <f t="shared" si="888"/>
        <v>14165</v>
      </c>
      <c r="J485" s="103">
        <f>F485+700</f>
        <v>11865</v>
      </c>
      <c r="K485" s="336">
        <f t="shared" si="889"/>
        <v>11865</v>
      </c>
      <c r="L485" s="103">
        <f>F485+550</f>
        <v>11715</v>
      </c>
      <c r="M485" s="336">
        <f t="shared" si="890"/>
        <v>11715</v>
      </c>
      <c r="N485" s="103">
        <f>F485+500</f>
        <v>11665</v>
      </c>
      <c r="O485" s="336">
        <f t="shared" si="891"/>
        <v>11665</v>
      </c>
      <c r="P485" s="103">
        <f>F485+460</f>
        <v>11625</v>
      </c>
      <c r="Q485" s="336">
        <f t="shared" si="892"/>
        <v>11625</v>
      </c>
      <c r="R485" s="103">
        <f>F485+440</f>
        <v>11605</v>
      </c>
      <c r="S485" s="336">
        <f t="shared" si="893"/>
        <v>11605</v>
      </c>
      <c r="T485" s="103">
        <f>F485+400</f>
        <v>11565</v>
      </c>
      <c r="U485" s="336">
        <f t="shared" si="894"/>
        <v>11565</v>
      </c>
      <c r="V485" s="103">
        <f>F485+370</f>
        <v>11535</v>
      </c>
      <c r="W485" s="336">
        <f t="shared" si="895"/>
        <v>11535</v>
      </c>
      <c r="X485" s="144"/>
      <c r="Y485" s="139"/>
      <c r="Z485" s="145"/>
      <c r="AA485" s="146"/>
      <c r="AB485" s="436">
        <v>875</v>
      </c>
    </row>
    <row r="486" spans="1:28" ht="12.6" customHeight="1" x14ac:dyDescent="0.2">
      <c r="A486" s="4"/>
      <c r="B486" s="890" t="s">
        <v>786</v>
      </c>
      <c r="C486" s="891"/>
      <c r="D486" s="891"/>
      <c r="E486" s="891"/>
      <c r="F486" s="413">
        <f>18.1*X2</f>
        <v>18371.5</v>
      </c>
      <c r="G486" s="322">
        <f t="shared" ref="G486" si="896">+F486*$X$1</f>
        <v>18371.5</v>
      </c>
      <c r="H486" s="104">
        <f>F486+3000</f>
        <v>21371.5</v>
      </c>
      <c r="I486" s="322">
        <f t="shared" si="888"/>
        <v>21371.5</v>
      </c>
      <c r="J486" s="104">
        <f>F486+700</f>
        <v>19071.5</v>
      </c>
      <c r="K486" s="322">
        <f t="shared" si="889"/>
        <v>19071.5</v>
      </c>
      <c r="L486" s="104">
        <f>F486+550</f>
        <v>18921.5</v>
      </c>
      <c r="M486" s="322">
        <f t="shared" si="890"/>
        <v>18921.5</v>
      </c>
      <c r="N486" s="104">
        <f>F486+500</f>
        <v>18871.5</v>
      </c>
      <c r="O486" s="322">
        <f t="shared" si="891"/>
        <v>18871.5</v>
      </c>
      <c r="P486" s="104">
        <f>F486+460</f>
        <v>18831.5</v>
      </c>
      <c r="Q486" s="322">
        <f t="shared" si="892"/>
        <v>18831.5</v>
      </c>
      <c r="R486" s="104">
        <f>F486+440</f>
        <v>18811.5</v>
      </c>
      <c r="S486" s="322">
        <f t="shared" si="893"/>
        <v>18811.5</v>
      </c>
      <c r="T486" s="104">
        <f>F486+400</f>
        <v>18771.5</v>
      </c>
      <c r="U486" s="322">
        <f t="shared" si="894"/>
        <v>18771.5</v>
      </c>
      <c r="V486" s="104">
        <f>F486+370</f>
        <v>18741.5</v>
      </c>
      <c r="W486" s="322">
        <f t="shared" si="895"/>
        <v>18741.5</v>
      </c>
      <c r="X486" s="144"/>
      <c r="Y486" s="139"/>
      <c r="Z486" s="145"/>
      <c r="AA486" s="146"/>
      <c r="AB486" s="436">
        <v>876</v>
      </c>
    </row>
    <row r="487" spans="1:28" ht="12.6" customHeight="1" x14ac:dyDescent="0.2">
      <c r="A487" s="4"/>
      <c r="B487" s="792" t="s">
        <v>739</v>
      </c>
      <c r="C487" s="707"/>
      <c r="D487" s="707"/>
      <c r="E487" s="707"/>
      <c r="F487" s="412">
        <f>15.37*X2</f>
        <v>15600.55</v>
      </c>
      <c r="G487" s="336">
        <f t="shared" ref="G487" si="897">+F487*$X$1</f>
        <v>15600.55</v>
      </c>
      <c r="H487" s="103">
        <f>F487+4000</f>
        <v>19600.55</v>
      </c>
      <c r="I487" s="336">
        <f t="shared" ref="I487:I488" si="898">+H487*$X$1</f>
        <v>19600.55</v>
      </c>
      <c r="J487" s="103">
        <f>F487+1000</f>
        <v>16600.55</v>
      </c>
      <c r="K487" s="336">
        <f t="shared" ref="K487:K488" si="899">+J487*$X$1</f>
        <v>16600.55</v>
      </c>
      <c r="L487" s="103">
        <f>F487+900</f>
        <v>16500.55</v>
      </c>
      <c r="M487" s="336">
        <f t="shared" ref="M487:M488" si="900">+L487*$X$1</f>
        <v>16500.55</v>
      </c>
      <c r="N487" s="103">
        <f>F487+850</f>
        <v>16450.55</v>
      </c>
      <c r="O487" s="336">
        <f t="shared" ref="O487:O488" si="901">+N487*$X$1</f>
        <v>16450.55</v>
      </c>
      <c r="P487" s="103">
        <f>F487+800</f>
        <v>16400.55</v>
      </c>
      <c r="Q487" s="336">
        <f t="shared" ref="Q487:Q488" si="902">+P487*$X$1</f>
        <v>16400.55</v>
      </c>
      <c r="R487" s="103">
        <f>F487+770</f>
        <v>16370.55</v>
      </c>
      <c r="S487" s="336">
        <f t="shared" ref="S487:S488" si="903">+R487*$X$1</f>
        <v>16370.55</v>
      </c>
      <c r="T487" s="103">
        <f>F487+730</f>
        <v>16330.55</v>
      </c>
      <c r="U487" s="336">
        <f t="shared" ref="U487:U488" si="904">+T487*$X$1</f>
        <v>16330.55</v>
      </c>
      <c r="V487" s="103">
        <f>F487+690</f>
        <v>16290.55</v>
      </c>
      <c r="W487" s="336">
        <f t="shared" ref="W487:W488" si="905">+V487*$X$1</f>
        <v>16290.55</v>
      </c>
      <c r="X487" s="144"/>
      <c r="Y487" s="139"/>
      <c r="Z487" s="145"/>
      <c r="AA487" s="146"/>
      <c r="AB487" s="436" t="s">
        <v>657</v>
      </c>
    </row>
    <row r="488" spans="1:28" ht="12.6" customHeight="1" x14ac:dyDescent="0.2">
      <c r="A488" s="4"/>
      <c r="B488" s="792" t="s">
        <v>740</v>
      </c>
      <c r="C488" s="707"/>
      <c r="D488" s="707"/>
      <c r="E488" s="707"/>
      <c r="F488" s="413">
        <f>15.37*X2</f>
        <v>15600.55</v>
      </c>
      <c r="G488" s="322">
        <f t="shared" ref="G488" si="906">+F488*$X$1</f>
        <v>15600.55</v>
      </c>
      <c r="H488" s="104">
        <f>F488+3000</f>
        <v>18600.55</v>
      </c>
      <c r="I488" s="322">
        <f t="shared" si="898"/>
        <v>18600.55</v>
      </c>
      <c r="J488" s="104">
        <f>F488+700</f>
        <v>16300.55</v>
      </c>
      <c r="K488" s="322">
        <f t="shared" si="899"/>
        <v>16300.55</v>
      </c>
      <c r="L488" s="104">
        <f>F488+550</f>
        <v>16150.55</v>
      </c>
      <c r="M488" s="322">
        <f t="shared" si="900"/>
        <v>16150.55</v>
      </c>
      <c r="N488" s="104">
        <f>F488+500</f>
        <v>16100.55</v>
      </c>
      <c r="O488" s="322">
        <f t="shared" si="901"/>
        <v>16100.55</v>
      </c>
      <c r="P488" s="104">
        <f>F488+460</f>
        <v>16060.55</v>
      </c>
      <c r="Q488" s="322">
        <f t="shared" si="902"/>
        <v>16060.55</v>
      </c>
      <c r="R488" s="104">
        <f>F488+440</f>
        <v>16040.55</v>
      </c>
      <c r="S488" s="322">
        <f t="shared" si="903"/>
        <v>16040.55</v>
      </c>
      <c r="T488" s="104">
        <f>F488+400</f>
        <v>16000.55</v>
      </c>
      <c r="U488" s="322">
        <f t="shared" si="904"/>
        <v>16000.55</v>
      </c>
      <c r="V488" s="104">
        <f>F488+370</f>
        <v>15970.55</v>
      </c>
      <c r="W488" s="322">
        <f t="shared" si="905"/>
        <v>15970.55</v>
      </c>
      <c r="X488" s="144"/>
      <c r="Y488" s="139"/>
      <c r="Z488" s="145"/>
      <c r="AA488" s="146"/>
      <c r="AB488" s="436">
        <v>878</v>
      </c>
    </row>
    <row r="489" spans="1:28" ht="12.6" customHeight="1" x14ac:dyDescent="0.2">
      <c r="A489" s="4"/>
      <c r="B489" s="879" t="s">
        <v>707</v>
      </c>
      <c r="C489" s="694"/>
      <c r="D489" s="694"/>
      <c r="E489" s="694"/>
      <c r="F489" s="412">
        <f>24*X2</f>
        <v>24360</v>
      </c>
      <c r="G489" s="336">
        <f t="shared" ref="G489" si="907">+F489*$X$1</f>
        <v>24360</v>
      </c>
      <c r="H489" s="103">
        <f>F489+4000</f>
        <v>28360</v>
      </c>
      <c r="I489" s="336">
        <f t="shared" ref="I489:I490" si="908">+H489*$X$1</f>
        <v>28360</v>
      </c>
      <c r="J489" s="103">
        <f>F489+1000</f>
        <v>25360</v>
      </c>
      <c r="K489" s="336">
        <f t="shared" ref="K489:K490" si="909">+J489*$X$1</f>
        <v>25360</v>
      </c>
      <c r="L489" s="103">
        <f>F489+900</f>
        <v>25260</v>
      </c>
      <c r="M489" s="336">
        <f t="shared" ref="M489:M490" si="910">+L489*$X$1</f>
        <v>25260</v>
      </c>
      <c r="N489" s="103">
        <f>F489+850</f>
        <v>25210</v>
      </c>
      <c r="O489" s="336">
        <f t="shared" ref="O489:O490" si="911">+N489*$X$1</f>
        <v>25210</v>
      </c>
      <c r="P489" s="103">
        <f>F489+800</f>
        <v>25160</v>
      </c>
      <c r="Q489" s="336">
        <f t="shared" ref="Q489:Q490" si="912">+P489*$X$1</f>
        <v>25160</v>
      </c>
      <c r="R489" s="103">
        <f>F489+770</f>
        <v>25130</v>
      </c>
      <c r="S489" s="336">
        <f t="shared" ref="S489:S490" si="913">+R489*$X$1</f>
        <v>25130</v>
      </c>
      <c r="T489" s="103">
        <f>F489+730</f>
        <v>25090</v>
      </c>
      <c r="U489" s="336">
        <f t="shared" ref="U489:U490" si="914">+T489*$X$1</f>
        <v>25090</v>
      </c>
      <c r="V489" s="103">
        <f>F489+690</f>
        <v>25050</v>
      </c>
      <c r="W489" s="336">
        <f t="shared" ref="W489:W490" si="915">+V489*$X$1</f>
        <v>25050</v>
      </c>
      <c r="X489" s="144"/>
      <c r="Y489" s="139"/>
      <c r="Z489" s="145"/>
      <c r="AA489" s="146"/>
      <c r="AB489" s="436" t="s">
        <v>619</v>
      </c>
    </row>
    <row r="490" spans="1:28" ht="12.6" customHeight="1" x14ac:dyDescent="0.2">
      <c r="A490" s="4"/>
      <c r="B490" s="669" t="s">
        <v>708</v>
      </c>
      <c r="C490" s="712"/>
      <c r="D490" s="712"/>
      <c r="E490" s="712"/>
      <c r="F490" s="413">
        <f>24*X2</f>
        <v>24360</v>
      </c>
      <c r="G490" s="322">
        <f t="shared" ref="G490:G491" si="916">+F490*$X$1</f>
        <v>24360</v>
      </c>
      <c r="H490" s="104">
        <f>F490+3000</f>
        <v>27360</v>
      </c>
      <c r="I490" s="322">
        <f t="shared" si="908"/>
        <v>27360</v>
      </c>
      <c r="J490" s="104">
        <f>F490+700</f>
        <v>25060</v>
      </c>
      <c r="K490" s="322">
        <f t="shared" si="909"/>
        <v>25060</v>
      </c>
      <c r="L490" s="104">
        <f>F490+550</f>
        <v>24910</v>
      </c>
      <c r="M490" s="322">
        <f t="shared" si="910"/>
        <v>24910</v>
      </c>
      <c r="N490" s="104">
        <f>F490+500</f>
        <v>24860</v>
      </c>
      <c r="O490" s="322">
        <f t="shared" si="911"/>
        <v>24860</v>
      </c>
      <c r="P490" s="104">
        <f>F490+460</f>
        <v>24820</v>
      </c>
      <c r="Q490" s="322">
        <f t="shared" si="912"/>
        <v>24820</v>
      </c>
      <c r="R490" s="104">
        <f>F490+440</f>
        <v>24800</v>
      </c>
      <c r="S490" s="322">
        <f t="shared" si="913"/>
        <v>24800</v>
      </c>
      <c r="T490" s="104">
        <f>F490+400</f>
        <v>24760</v>
      </c>
      <c r="U490" s="322">
        <f t="shared" si="914"/>
        <v>24760</v>
      </c>
      <c r="V490" s="104">
        <f>F490+370</f>
        <v>24730</v>
      </c>
      <c r="W490" s="322">
        <f t="shared" si="915"/>
        <v>24730</v>
      </c>
      <c r="X490" s="144"/>
      <c r="Y490" s="139"/>
      <c r="Z490" s="145"/>
      <c r="AA490" s="146"/>
      <c r="AB490" s="436">
        <v>880</v>
      </c>
    </row>
    <row r="491" spans="1:28" ht="12.6" customHeight="1" x14ac:dyDescent="0.2">
      <c r="A491" s="4"/>
      <c r="B491" s="879" t="s">
        <v>709</v>
      </c>
      <c r="C491" s="694"/>
      <c r="D491" s="694"/>
      <c r="E491" s="694"/>
      <c r="F491" s="412">
        <f>31.386*X2</f>
        <v>31856.79</v>
      </c>
      <c r="G491" s="336">
        <f t="shared" si="916"/>
        <v>31856.79</v>
      </c>
      <c r="H491" s="103">
        <f>F491+4000</f>
        <v>35856.79</v>
      </c>
      <c r="I491" s="336">
        <f t="shared" ref="I491:I494" si="917">+H491*$X$1</f>
        <v>35856.79</v>
      </c>
      <c r="J491" s="103">
        <f>F491+1000</f>
        <v>32856.79</v>
      </c>
      <c r="K491" s="336">
        <f t="shared" ref="K491:K494" si="918">+J491*$X$1</f>
        <v>32856.79</v>
      </c>
      <c r="L491" s="103">
        <f>F491+900</f>
        <v>32756.79</v>
      </c>
      <c r="M491" s="336">
        <f t="shared" ref="M491:M494" si="919">+L491*$X$1</f>
        <v>32756.79</v>
      </c>
      <c r="N491" s="103">
        <f>F491+850</f>
        <v>32706.79</v>
      </c>
      <c r="O491" s="336">
        <f t="shared" ref="O491:O494" si="920">+N491*$X$1</f>
        <v>32706.79</v>
      </c>
      <c r="P491" s="103">
        <f>F491+800</f>
        <v>32656.79</v>
      </c>
      <c r="Q491" s="336">
        <f t="shared" ref="Q491:Q494" si="921">+P491*$X$1</f>
        <v>32656.79</v>
      </c>
      <c r="R491" s="103">
        <f>F491+770</f>
        <v>32626.79</v>
      </c>
      <c r="S491" s="336">
        <f t="shared" ref="S491:S494" si="922">+R491*$X$1</f>
        <v>32626.79</v>
      </c>
      <c r="T491" s="103">
        <f>F491+730</f>
        <v>32586.79</v>
      </c>
      <c r="U491" s="336">
        <f t="shared" ref="U491:U494" si="923">+T491*$X$1</f>
        <v>32586.79</v>
      </c>
      <c r="V491" s="103">
        <f>F491+690</f>
        <v>32546.79</v>
      </c>
      <c r="W491" s="336">
        <f t="shared" ref="W491:W494" si="924">+V491*$X$1</f>
        <v>32546.79</v>
      </c>
      <c r="X491" s="144"/>
      <c r="Y491" s="139"/>
      <c r="Z491" s="145"/>
      <c r="AA491" s="146"/>
      <c r="AB491" s="436" t="s">
        <v>620</v>
      </c>
    </row>
    <row r="492" spans="1:28" ht="12.6" customHeight="1" x14ac:dyDescent="0.2">
      <c r="A492" s="4"/>
      <c r="B492" s="669" t="s">
        <v>710</v>
      </c>
      <c r="C492" s="693"/>
      <c r="D492" s="693"/>
      <c r="E492" s="693"/>
      <c r="F492" s="413">
        <f>31.386*X2</f>
        <v>31856.79</v>
      </c>
      <c r="G492" s="322">
        <f t="shared" ref="G492:G493" si="925">+F492*$X$1</f>
        <v>31856.79</v>
      </c>
      <c r="H492" s="104">
        <f>F492+3000</f>
        <v>34856.79</v>
      </c>
      <c r="I492" s="322">
        <f t="shared" si="917"/>
        <v>34856.79</v>
      </c>
      <c r="J492" s="104">
        <f>F492+700</f>
        <v>32556.79</v>
      </c>
      <c r="K492" s="322">
        <f t="shared" si="918"/>
        <v>32556.79</v>
      </c>
      <c r="L492" s="104">
        <f>F492+550</f>
        <v>32406.79</v>
      </c>
      <c r="M492" s="322">
        <f t="shared" si="919"/>
        <v>32406.79</v>
      </c>
      <c r="N492" s="104">
        <f>F492+500</f>
        <v>32356.79</v>
      </c>
      <c r="O492" s="322">
        <f t="shared" si="920"/>
        <v>32356.79</v>
      </c>
      <c r="P492" s="104">
        <f>F492+460</f>
        <v>32316.79</v>
      </c>
      <c r="Q492" s="322">
        <f t="shared" si="921"/>
        <v>32316.79</v>
      </c>
      <c r="R492" s="104">
        <f>F492+440</f>
        <v>32296.79</v>
      </c>
      <c r="S492" s="322">
        <f t="shared" si="922"/>
        <v>32296.79</v>
      </c>
      <c r="T492" s="104">
        <f>F492+400</f>
        <v>32256.79</v>
      </c>
      <c r="U492" s="322">
        <f t="shared" si="923"/>
        <v>32256.79</v>
      </c>
      <c r="V492" s="104">
        <f>F492+370</f>
        <v>32226.79</v>
      </c>
      <c r="W492" s="322">
        <f t="shared" si="924"/>
        <v>32226.79</v>
      </c>
      <c r="X492" s="144"/>
      <c r="Y492" s="139"/>
      <c r="Z492" s="145"/>
      <c r="AA492" s="146"/>
      <c r="AB492" s="436">
        <v>881</v>
      </c>
    </row>
    <row r="493" spans="1:28" ht="12.6" customHeight="1" x14ac:dyDescent="0.2">
      <c r="A493" s="4"/>
      <c r="B493" s="879" t="s">
        <v>711</v>
      </c>
      <c r="C493" s="694"/>
      <c r="D493" s="694"/>
      <c r="E493" s="694"/>
      <c r="F493" s="412">
        <f>20.3*X2</f>
        <v>20604.5</v>
      </c>
      <c r="G493" s="336">
        <f t="shared" si="925"/>
        <v>20604.5</v>
      </c>
      <c r="H493" s="103">
        <f>F493+3000</f>
        <v>23604.5</v>
      </c>
      <c r="I493" s="336">
        <f t="shared" si="917"/>
        <v>23604.5</v>
      </c>
      <c r="J493" s="103">
        <f>F493+700</f>
        <v>21304.5</v>
      </c>
      <c r="K493" s="336">
        <f t="shared" si="918"/>
        <v>21304.5</v>
      </c>
      <c r="L493" s="103">
        <f>F493+550</f>
        <v>21154.5</v>
      </c>
      <c r="M493" s="336">
        <f t="shared" si="919"/>
        <v>21154.5</v>
      </c>
      <c r="N493" s="103">
        <f>F493+500</f>
        <v>21104.5</v>
      </c>
      <c r="O493" s="336">
        <f t="shared" si="920"/>
        <v>21104.5</v>
      </c>
      <c r="P493" s="103">
        <f>F493+460</f>
        <v>21064.5</v>
      </c>
      <c r="Q493" s="336">
        <f t="shared" si="921"/>
        <v>21064.5</v>
      </c>
      <c r="R493" s="103">
        <f>F493+440</f>
        <v>21044.5</v>
      </c>
      <c r="S493" s="336">
        <f t="shared" si="922"/>
        <v>21044.5</v>
      </c>
      <c r="T493" s="103">
        <f>F493+400</f>
        <v>21004.5</v>
      </c>
      <c r="U493" s="336">
        <f t="shared" si="923"/>
        <v>21004.5</v>
      </c>
      <c r="V493" s="103">
        <f>F493+370</f>
        <v>20974.5</v>
      </c>
      <c r="W493" s="336">
        <f t="shared" si="924"/>
        <v>20974.5</v>
      </c>
      <c r="X493" s="144"/>
      <c r="Y493" s="139"/>
      <c r="Z493" s="145"/>
      <c r="AA493" s="146"/>
      <c r="AB493" s="436">
        <v>882</v>
      </c>
    </row>
    <row r="494" spans="1:28" ht="12.6" customHeight="1" x14ac:dyDescent="0.2">
      <c r="A494" s="4"/>
      <c r="B494" s="890" t="s">
        <v>485</v>
      </c>
      <c r="C494" s="891"/>
      <c r="D494" s="891"/>
      <c r="E494" s="891"/>
      <c r="F494" s="413">
        <f>24*X2</f>
        <v>24360</v>
      </c>
      <c r="G494" s="322">
        <f t="shared" ref="G494:G496" si="926">+F494*$X$1</f>
        <v>24360</v>
      </c>
      <c r="H494" s="104">
        <f>F494+3000</f>
        <v>27360</v>
      </c>
      <c r="I494" s="322">
        <f t="shared" si="917"/>
        <v>27360</v>
      </c>
      <c r="J494" s="104">
        <f>F494+700</f>
        <v>25060</v>
      </c>
      <c r="K494" s="322">
        <f t="shared" si="918"/>
        <v>25060</v>
      </c>
      <c r="L494" s="104">
        <f>F494+550</f>
        <v>24910</v>
      </c>
      <c r="M494" s="322">
        <f t="shared" si="919"/>
        <v>24910</v>
      </c>
      <c r="N494" s="104">
        <f>F494+500</f>
        <v>24860</v>
      </c>
      <c r="O494" s="322">
        <f t="shared" si="920"/>
        <v>24860</v>
      </c>
      <c r="P494" s="104">
        <f>F494+460</f>
        <v>24820</v>
      </c>
      <c r="Q494" s="322">
        <f t="shared" si="921"/>
        <v>24820</v>
      </c>
      <c r="R494" s="104">
        <f>F494+440</f>
        <v>24800</v>
      </c>
      <c r="S494" s="322">
        <f t="shared" si="922"/>
        <v>24800</v>
      </c>
      <c r="T494" s="104">
        <f>F494+400</f>
        <v>24760</v>
      </c>
      <c r="U494" s="322">
        <f t="shared" si="923"/>
        <v>24760</v>
      </c>
      <c r="V494" s="104">
        <f>F494+370</f>
        <v>24730</v>
      </c>
      <c r="W494" s="322">
        <f t="shared" si="924"/>
        <v>24730</v>
      </c>
      <c r="X494" s="144"/>
      <c r="Y494" s="139"/>
      <c r="Z494" s="145"/>
      <c r="AA494" s="146"/>
      <c r="AB494" s="436">
        <v>883</v>
      </c>
    </row>
    <row r="495" spans="1:28" ht="12.6" customHeight="1" x14ac:dyDescent="0.2">
      <c r="A495" s="4"/>
      <c r="B495" s="760" t="s">
        <v>797</v>
      </c>
      <c r="C495" s="679"/>
      <c r="D495" s="679"/>
      <c r="E495" s="680"/>
      <c r="F495" s="412">
        <f>16.1*X2</f>
        <v>16341.500000000002</v>
      </c>
      <c r="G495" s="336">
        <f t="shared" si="926"/>
        <v>16341.500000000002</v>
      </c>
      <c r="H495" s="103">
        <f>F495+4000</f>
        <v>20341.5</v>
      </c>
      <c r="I495" s="336">
        <f t="shared" ref="I495:I496" si="927">+H495*$X$1</f>
        <v>20341.5</v>
      </c>
      <c r="J495" s="103">
        <f>F495+1000</f>
        <v>17341.5</v>
      </c>
      <c r="K495" s="336">
        <f t="shared" ref="K495:K496" si="928">+J495*$X$1</f>
        <v>17341.5</v>
      </c>
      <c r="L495" s="103">
        <f>F495+900</f>
        <v>17241.5</v>
      </c>
      <c r="M495" s="336">
        <f t="shared" ref="M495:M496" si="929">+L495*$X$1</f>
        <v>17241.5</v>
      </c>
      <c r="N495" s="103">
        <f>F495+850</f>
        <v>17191.5</v>
      </c>
      <c r="O495" s="336">
        <f t="shared" ref="O495:O496" si="930">+N495*$X$1</f>
        <v>17191.5</v>
      </c>
      <c r="P495" s="103">
        <f>F495+800</f>
        <v>17141.5</v>
      </c>
      <c r="Q495" s="336">
        <f t="shared" ref="Q495:Q496" si="931">+P495*$X$1</f>
        <v>17141.5</v>
      </c>
      <c r="R495" s="103">
        <f>F495+770</f>
        <v>17111.5</v>
      </c>
      <c r="S495" s="336">
        <f t="shared" ref="S495:S496" si="932">+R495*$X$1</f>
        <v>17111.5</v>
      </c>
      <c r="T495" s="103">
        <f>F495+730</f>
        <v>17071.5</v>
      </c>
      <c r="U495" s="336">
        <f t="shared" ref="U495:U496" si="933">+T495*$X$1</f>
        <v>17071.5</v>
      </c>
      <c r="V495" s="103">
        <f>F495+690</f>
        <v>17031.5</v>
      </c>
      <c r="W495" s="336">
        <f t="shared" ref="W495:W496" si="934">+V495*$X$1</f>
        <v>17031.5</v>
      </c>
      <c r="X495" s="144"/>
      <c r="Y495" s="139"/>
      <c r="Z495" s="145"/>
      <c r="AA495" s="146"/>
      <c r="AB495" s="436" t="s">
        <v>796</v>
      </c>
    </row>
    <row r="496" spans="1:28" ht="12.6" customHeight="1" x14ac:dyDescent="0.2">
      <c r="A496" s="4"/>
      <c r="B496" s="969" t="s">
        <v>798</v>
      </c>
      <c r="C496" s="728"/>
      <c r="D496" s="728"/>
      <c r="E496" s="729"/>
      <c r="F496" s="413">
        <f>16.1*X2</f>
        <v>16341.500000000002</v>
      </c>
      <c r="G496" s="322">
        <f t="shared" si="926"/>
        <v>16341.500000000002</v>
      </c>
      <c r="H496" s="104">
        <f>F496+3000</f>
        <v>19341.5</v>
      </c>
      <c r="I496" s="322">
        <f t="shared" si="927"/>
        <v>19341.5</v>
      </c>
      <c r="J496" s="104">
        <f>F496+700</f>
        <v>17041.5</v>
      </c>
      <c r="K496" s="322">
        <f t="shared" si="928"/>
        <v>17041.5</v>
      </c>
      <c r="L496" s="104">
        <f>F496+550</f>
        <v>16891.5</v>
      </c>
      <c r="M496" s="322">
        <f t="shared" si="929"/>
        <v>16891.5</v>
      </c>
      <c r="N496" s="104">
        <f>F496+500</f>
        <v>16841.5</v>
      </c>
      <c r="O496" s="322">
        <f t="shared" si="930"/>
        <v>16841.5</v>
      </c>
      <c r="P496" s="104">
        <f>F496+460</f>
        <v>16801.5</v>
      </c>
      <c r="Q496" s="322">
        <f t="shared" si="931"/>
        <v>16801.5</v>
      </c>
      <c r="R496" s="104">
        <f>F496+440</f>
        <v>16781.5</v>
      </c>
      <c r="S496" s="322">
        <f t="shared" si="932"/>
        <v>16781.5</v>
      </c>
      <c r="T496" s="104">
        <f>F496+400</f>
        <v>16741.5</v>
      </c>
      <c r="U496" s="322">
        <f t="shared" si="933"/>
        <v>16741.5</v>
      </c>
      <c r="V496" s="104">
        <f>F496+370</f>
        <v>16711.5</v>
      </c>
      <c r="W496" s="322">
        <f t="shared" si="934"/>
        <v>16711.5</v>
      </c>
      <c r="X496" s="144"/>
      <c r="Y496" s="139"/>
      <c r="Z496" s="145"/>
      <c r="AA496" s="146"/>
      <c r="AB496" s="436">
        <v>886</v>
      </c>
    </row>
    <row r="497" spans="1:28" ht="12.6" customHeight="1" x14ac:dyDescent="0.2">
      <c r="A497" s="4"/>
      <c r="B497" s="879" t="s">
        <v>742</v>
      </c>
      <c r="C497" s="694"/>
      <c r="D497" s="694"/>
      <c r="E497" s="694"/>
      <c r="F497" s="408">
        <f>23.5*X2</f>
        <v>23852.5</v>
      </c>
      <c r="G497" s="300">
        <f t="shared" ref="G497" si="935">+F497*$X$1</f>
        <v>23852.5</v>
      </c>
      <c r="H497" s="103">
        <f>F497+4000</f>
        <v>27852.5</v>
      </c>
      <c r="I497" s="336">
        <f t="shared" ref="I497:I500" si="936">+H497*$X$1</f>
        <v>27852.5</v>
      </c>
      <c r="J497" s="103">
        <f>F497+1000</f>
        <v>24852.5</v>
      </c>
      <c r="K497" s="336">
        <f t="shared" ref="K497:K500" si="937">+J497*$X$1</f>
        <v>24852.5</v>
      </c>
      <c r="L497" s="103">
        <f>F497+900</f>
        <v>24752.5</v>
      </c>
      <c r="M497" s="336">
        <f t="shared" ref="M497:M500" si="938">+L497*$X$1</f>
        <v>24752.5</v>
      </c>
      <c r="N497" s="103">
        <f>F497+850</f>
        <v>24702.5</v>
      </c>
      <c r="O497" s="336">
        <f t="shared" ref="O497:O500" si="939">+N497*$X$1</f>
        <v>24702.5</v>
      </c>
      <c r="P497" s="103">
        <f>F497+800</f>
        <v>24652.5</v>
      </c>
      <c r="Q497" s="336">
        <f t="shared" ref="Q497:Q500" si="940">+P497*$X$1</f>
        <v>24652.5</v>
      </c>
      <c r="R497" s="103">
        <f>F497+770</f>
        <v>24622.5</v>
      </c>
      <c r="S497" s="336">
        <f t="shared" ref="S497:S500" si="941">+R497*$X$1</f>
        <v>24622.5</v>
      </c>
      <c r="T497" s="103">
        <f>F497+730</f>
        <v>24582.5</v>
      </c>
      <c r="U497" s="336">
        <f t="shared" ref="U497:U500" si="942">+T497*$X$1</f>
        <v>24582.5</v>
      </c>
      <c r="V497" s="103">
        <f>F497+690</f>
        <v>24542.5</v>
      </c>
      <c r="W497" s="336">
        <f t="shared" ref="W497:W500" si="943">+V497*$X$1</f>
        <v>24542.5</v>
      </c>
      <c r="X497" s="144"/>
      <c r="Y497" s="139"/>
      <c r="Z497" s="145"/>
      <c r="AA497" s="146"/>
      <c r="AB497" s="436" t="s">
        <v>725</v>
      </c>
    </row>
    <row r="498" spans="1:28" ht="12.6" customHeight="1" x14ac:dyDescent="0.2">
      <c r="A498" s="4"/>
      <c r="B498" s="890" t="s">
        <v>741</v>
      </c>
      <c r="C498" s="891"/>
      <c r="D498" s="891"/>
      <c r="E498" s="891"/>
      <c r="F498" s="407">
        <f>23.5*X2</f>
        <v>23852.5</v>
      </c>
      <c r="G498" s="299">
        <f t="shared" ref="G498" si="944">+F498*$X$1</f>
        <v>23852.5</v>
      </c>
      <c r="H498" s="104">
        <f>F498+3000</f>
        <v>26852.5</v>
      </c>
      <c r="I498" s="322">
        <f t="shared" si="936"/>
        <v>26852.5</v>
      </c>
      <c r="J498" s="104">
        <f>F498+700</f>
        <v>24552.5</v>
      </c>
      <c r="K498" s="322">
        <f t="shared" si="937"/>
        <v>24552.5</v>
      </c>
      <c r="L498" s="104">
        <f>F498+550</f>
        <v>24402.5</v>
      </c>
      <c r="M498" s="322">
        <f t="shared" si="938"/>
        <v>24402.5</v>
      </c>
      <c r="N498" s="104">
        <f>F498+500</f>
        <v>24352.5</v>
      </c>
      <c r="O498" s="322">
        <f t="shared" si="939"/>
        <v>24352.5</v>
      </c>
      <c r="P498" s="104">
        <f>F498+460</f>
        <v>24312.5</v>
      </c>
      <c r="Q498" s="322">
        <f t="shared" si="940"/>
        <v>24312.5</v>
      </c>
      <c r="R498" s="104">
        <f>F498+440</f>
        <v>24292.5</v>
      </c>
      <c r="S498" s="322">
        <f t="shared" si="941"/>
        <v>24292.5</v>
      </c>
      <c r="T498" s="104">
        <f>F498+400</f>
        <v>24252.5</v>
      </c>
      <c r="U498" s="322">
        <f t="shared" si="942"/>
        <v>24252.5</v>
      </c>
      <c r="V498" s="104">
        <f>F498+370</f>
        <v>24222.5</v>
      </c>
      <c r="W498" s="322">
        <f t="shared" si="943"/>
        <v>24222.5</v>
      </c>
      <c r="X498" s="144"/>
      <c r="Y498" s="139"/>
      <c r="Z498" s="145"/>
      <c r="AA498" s="146"/>
      <c r="AB498" s="436">
        <v>887</v>
      </c>
    </row>
    <row r="499" spans="1:28" ht="12.6" customHeight="1" x14ac:dyDescent="0.2">
      <c r="A499" s="4"/>
      <c r="B499" s="764" t="s">
        <v>656</v>
      </c>
      <c r="C499" s="686"/>
      <c r="D499" s="686"/>
      <c r="E499" s="686"/>
      <c r="F499" s="408">
        <f>14.7*X2</f>
        <v>14920.5</v>
      </c>
      <c r="G499" s="300">
        <f t="shared" ref="G499" si="945">+F499*$X$1</f>
        <v>14920.5</v>
      </c>
      <c r="H499" s="103">
        <f>F499+3000</f>
        <v>17920.5</v>
      </c>
      <c r="I499" s="336">
        <f t="shared" si="936"/>
        <v>17920.5</v>
      </c>
      <c r="J499" s="103">
        <f>F499+700</f>
        <v>15620.5</v>
      </c>
      <c r="K499" s="336">
        <f t="shared" si="937"/>
        <v>15620.5</v>
      </c>
      <c r="L499" s="103">
        <f>F499+550</f>
        <v>15470.5</v>
      </c>
      <c r="M499" s="336">
        <f t="shared" si="938"/>
        <v>15470.5</v>
      </c>
      <c r="N499" s="103">
        <f>F499+500</f>
        <v>15420.5</v>
      </c>
      <c r="O499" s="336">
        <f t="shared" si="939"/>
        <v>15420.5</v>
      </c>
      <c r="P499" s="103">
        <f>F499+460</f>
        <v>15380.5</v>
      </c>
      <c r="Q499" s="336">
        <f t="shared" si="940"/>
        <v>15380.5</v>
      </c>
      <c r="R499" s="103">
        <f>F499+440</f>
        <v>15360.5</v>
      </c>
      <c r="S499" s="336">
        <f t="shared" si="941"/>
        <v>15360.5</v>
      </c>
      <c r="T499" s="103">
        <f>F499+400</f>
        <v>15320.5</v>
      </c>
      <c r="U499" s="336">
        <f t="shared" si="942"/>
        <v>15320.5</v>
      </c>
      <c r="V499" s="103">
        <f>F499+370</f>
        <v>15290.5</v>
      </c>
      <c r="W499" s="336">
        <f t="shared" si="943"/>
        <v>15290.5</v>
      </c>
      <c r="X499" s="144"/>
      <c r="Y499" s="139"/>
      <c r="Z499" s="145"/>
      <c r="AA499" s="146"/>
      <c r="AB499" s="436">
        <v>888</v>
      </c>
    </row>
    <row r="500" spans="1:28" ht="12.6" customHeight="1" x14ac:dyDescent="0.2">
      <c r="A500" s="4"/>
      <c r="B500" s="669" t="s">
        <v>445</v>
      </c>
      <c r="C500" s="664"/>
      <c r="D500" s="664"/>
      <c r="E500" s="664"/>
      <c r="F500" s="407">
        <f>16.2*X2</f>
        <v>16443</v>
      </c>
      <c r="G500" s="299">
        <f t="shared" ref="G500" si="946">+F500*$X$1</f>
        <v>16443</v>
      </c>
      <c r="H500" s="104">
        <f>F500+3000</f>
        <v>19443</v>
      </c>
      <c r="I500" s="322">
        <f t="shared" si="936"/>
        <v>19443</v>
      </c>
      <c r="J500" s="104">
        <f>F500+700</f>
        <v>17143</v>
      </c>
      <c r="K500" s="322">
        <f t="shared" si="937"/>
        <v>17143</v>
      </c>
      <c r="L500" s="104">
        <f>F500+550</f>
        <v>16993</v>
      </c>
      <c r="M500" s="322">
        <f t="shared" si="938"/>
        <v>16993</v>
      </c>
      <c r="N500" s="104">
        <f>F500+500</f>
        <v>16943</v>
      </c>
      <c r="O500" s="322">
        <f t="shared" si="939"/>
        <v>16943</v>
      </c>
      <c r="P500" s="104">
        <f>F500+460</f>
        <v>16903</v>
      </c>
      <c r="Q500" s="322">
        <f t="shared" si="940"/>
        <v>16903</v>
      </c>
      <c r="R500" s="104">
        <f>F500+440</f>
        <v>16883</v>
      </c>
      <c r="S500" s="322">
        <f t="shared" si="941"/>
        <v>16883</v>
      </c>
      <c r="T500" s="104">
        <f>F500+400</f>
        <v>16843</v>
      </c>
      <c r="U500" s="322">
        <f t="shared" si="942"/>
        <v>16843</v>
      </c>
      <c r="V500" s="104">
        <f>F500+370</f>
        <v>16813</v>
      </c>
      <c r="W500" s="322">
        <f t="shared" si="943"/>
        <v>16813</v>
      </c>
      <c r="X500" s="144"/>
      <c r="Y500" s="139"/>
      <c r="Z500" s="145"/>
      <c r="AA500" s="146"/>
      <c r="AB500" s="436">
        <v>894</v>
      </c>
    </row>
    <row r="501" spans="1:28" ht="12.6" customHeight="1" x14ac:dyDescent="0.2">
      <c r="A501" s="4"/>
      <c r="B501" s="764" t="s">
        <v>702</v>
      </c>
      <c r="C501" s="686"/>
      <c r="D501" s="686"/>
      <c r="E501" s="686"/>
      <c r="F501" s="408">
        <f>15.5*X2</f>
        <v>15732.5</v>
      </c>
      <c r="G501" s="300">
        <f t="shared" ref="G501:G504" si="947">+F501*$X$1</f>
        <v>15732.5</v>
      </c>
      <c r="H501" s="103">
        <f>F501+4000</f>
        <v>19732.5</v>
      </c>
      <c r="I501" s="336">
        <f t="shared" ref="I501:I502" si="948">+H501*$X$1</f>
        <v>19732.5</v>
      </c>
      <c r="J501" s="103">
        <f>F501+1000</f>
        <v>16732.5</v>
      </c>
      <c r="K501" s="336">
        <f t="shared" ref="K501:K504" si="949">+J501*$X$1</f>
        <v>16732.5</v>
      </c>
      <c r="L501" s="103">
        <f>F501+900</f>
        <v>16632.5</v>
      </c>
      <c r="M501" s="336">
        <f t="shared" ref="M501:M504" si="950">+L501*$X$1</f>
        <v>16632.5</v>
      </c>
      <c r="N501" s="103">
        <f>F501+850</f>
        <v>16582.5</v>
      </c>
      <c r="O501" s="336">
        <f t="shared" ref="O501:O504" si="951">+N501*$X$1</f>
        <v>16582.5</v>
      </c>
      <c r="P501" s="103">
        <f>F501+800</f>
        <v>16532.5</v>
      </c>
      <c r="Q501" s="336">
        <f t="shared" ref="Q501:Q504" si="952">+P501*$X$1</f>
        <v>16532.5</v>
      </c>
      <c r="R501" s="103">
        <f>F501+770</f>
        <v>16502.5</v>
      </c>
      <c r="S501" s="336">
        <f t="shared" ref="S501:S504" si="953">+R501*$X$1</f>
        <v>16502.5</v>
      </c>
      <c r="T501" s="103">
        <f>F501+730</f>
        <v>16462.5</v>
      </c>
      <c r="U501" s="336">
        <f t="shared" ref="U501:U504" si="954">+T501*$X$1</f>
        <v>16462.5</v>
      </c>
      <c r="V501" s="103">
        <f>F501+690</f>
        <v>16422.5</v>
      </c>
      <c r="W501" s="336">
        <f t="shared" ref="W501:W504" si="955">+V501*$X$1</f>
        <v>16422.5</v>
      </c>
      <c r="X501" s="144"/>
      <c r="Y501" s="139"/>
      <c r="Z501" s="145"/>
      <c r="AA501" s="146"/>
      <c r="AB501" s="436">
        <v>896</v>
      </c>
    </row>
    <row r="502" spans="1:28" ht="12.6" customHeight="1" x14ac:dyDescent="0.2">
      <c r="A502" s="4"/>
      <c r="B502" s="669" t="s">
        <v>655</v>
      </c>
      <c r="C502" s="693"/>
      <c r="D502" s="693"/>
      <c r="E502" s="693"/>
      <c r="F502" s="407">
        <f>15.5*X2</f>
        <v>15732.5</v>
      </c>
      <c r="G502" s="299">
        <f t="shared" si="947"/>
        <v>15732.5</v>
      </c>
      <c r="H502" s="104">
        <f>F502+3000</f>
        <v>18732.5</v>
      </c>
      <c r="I502" s="322">
        <f t="shared" si="948"/>
        <v>18732.5</v>
      </c>
      <c r="J502" s="104">
        <f>F502+700</f>
        <v>16432.5</v>
      </c>
      <c r="K502" s="322">
        <f t="shared" si="949"/>
        <v>16432.5</v>
      </c>
      <c r="L502" s="104">
        <f>F502+550</f>
        <v>16282.5</v>
      </c>
      <c r="M502" s="322">
        <f t="shared" si="950"/>
        <v>16282.5</v>
      </c>
      <c r="N502" s="104">
        <f>F502+500</f>
        <v>16232.5</v>
      </c>
      <c r="O502" s="322">
        <f t="shared" si="951"/>
        <v>16232.5</v>
      </c>
      <c r="P502" s="104">
        <f>F502+460</f>
        <v>16192.5</v>
      </c>
      <c r="Q502" s="322">
        <f t="shared" si="952"/>
        <v>16192.5</v>
      </c>
      <c r="R502" s="104">
        <f>F502+440</f>
        <v>16172.5</v>
      </c>
      <c r="S502" s="322">
        <f t="shared" si="953"/>
        <v>16172.5</v>
      </c>
      <c r="T502" s="104">
        <f>F502+400</f>
        <v>16132.5</v>
      </c>
      <c r="U502" s="322">
        <f t="shared" si="954"/>
        <v>16132.5</v>
      </c>
      <c r="V502" s="104">
        <f>F502+370</f>
        <v>16102.5</v>
      </c>
      <c r="W502" s="322">
        <f t="shared" si="955"/>
        <v>16102.5</v>
      </c>
      <c r="X502" s="144"/>
      <c r="Y502" s="139"/>
      <c r="Z502" s="145"/>
      <c r="AA502" s="146"/>
      <c r="AB502" s="436">
        <v>896</v>
      </c>
    </row>
    <row r="503" spans="1:28" ht="12.6" customHeight="1" x14ac:dyDescent="0.2">
      <c r="A503" s="4"/>
      <c r="B503" s="764" t="s">
        <v>658</v>
      </c>
      <c r="C503" s="870"/>
      <c r="D503" s="870"/>
      <c r="E503" s="870"/>
      <c r="F503" s="408">
        <f>19*X2</f>
        <v>19285</v>
      </c>
      <c r="G503" s="300">
        <f t="shared" si="947"/>
        <v>19285</v>
      </c>
      <c r="H503" s="103">
        <f>F503+4000</f>
        <v>23285</v>
      </c>
      <c r="I503" s="336">
        <f t="shared" ref="I503:I504" si="956">+H503*$X$1</f>
        <v>23285</v>
      </c>
      <c r="J503" s="103">
        <f>F503+1000</f>
        <v>20285</v>
      </c>
      <c r="K503" s="336">
        <f t="shared" si="949"/>
        <v>20285</v>
      </c>
      <c r="L503" s="103">
        <f>F503+900</f>
        <v>20185</v>
      </c>
      <c r="M503" s="336">
        <f t="shared" si="950"/>
        <v>20185</v>
      </c>
      <c r="N503" s="103">
        <f>F503+850</f>
        <v>20135</v>
      </c>
      <c r="O503" s="336">
        <f t="shared" si="951"/>
        <v>20135</v>
      </c>
      <c r="P503" s="103">
        <f>F503+800</f>
        <v>20085</v>
      </c>
      <c r="Q503" s="336">
        <f t="shared" si="952"/>
        <v>20085</v>
      </c>
      <c r="R503" s="103">
        <f>F503+770</f>
        <v>20055</v>
      </c>
      <c r="S503" s="336">
        <f t="shared" si="953"/>
        <v>20055</v>
      </c>
      <c r="T503" s="103">
        <f>F503+730</f>
        <v>20015</v>
      </c>
      <c r="U503" s="336">
        <f t="shared" si="954"/>
        <v>20015</v>
      </c>
      <c r="V503" s="103">
        <f>F503+690</f>
        <v>19975</v>
      </c>
      <c r="W503" s="336">
        <f t="shared" si="955"/>
        <v>19975</v>
      </c>
      <c r="X503" s="144"/>
      <c r="Y503" s="139"/>
      <c r="Z503" s="145"/>
      <c r="AA503" s="146"/>
      <c r="AB503" s="436">
        <v>899</v>
      </c>
    </row>
    <row r="504" spans="1:28" ht="12.6" customHeight="1" x14ac:dyDescent="0.2">
      <c r="A504" s="4"/>
      <c r="B504" s="669" t="s">
        <v>667</v>
      </c>
      <c r="C504" s="712"/>
      <c r="D504" s="712"/>
      <c r="E504" s="712"/>
      <c r="F504" s="407">
        <f>19*X2</f>
        <v>19285</v>
      </c>
      <c r="G504" s="299">
        <f t="shared" si="947"/>
        <v>19285</v>
      </c>
      <c r="H504" s="104">
        <f>F504+3000</f>
        <v>22285</v>
      </c>
      <c r="I504" s="322">
        <f t="shared" si="956"/>
        <v>22285</v>
      </c>
      <c r="J504" s="104">
        <f>F504+700</f>
        <v>19985</v>
      </c>
      <c r="K504" s="322">
        <f t="shared" si="949"/>
        <v>19985</v>
      </c>
      <c r="L504" s="104">
        <f>F504+550</f>
        <v>19835</v>
      </c>
      <c r="M504" s="322">
        <f t="shared" si="950"/>
        <v>19835</v>
      </c>
      <c r="N504" s="104">
        <f>F504+500</f>
        <v>19785</v>
      </c>
      <c r="O504" s="322">
        <f t="shared" si="951"/>
        <v>19785</v>
      </c>
      <c r="P504" s="104">
        <f>F504+460</f>
        <v>19745</v>
      </c>
      <c r="Q504" s="322">
        <f t="shared" si="952"/>
        <v>19745</v>
      </c>
      <c r="R504" s="104">
        <f>F504+440</f>
        <v>19725</v>
      </c>
      <c r="S504" s="322">
        <f t="shared" si="953"/>
        <v>19725</v>
      </c>
      <c r="T504" s="104">
        <f>F504+400</f>
        <v>19685</v>
      </c>
      <c r="U504" s="322">
        <f t="shared" si="954"/>
        <v>19685</v>
      </c>
      <c r="V504" s="104">
        <f>F504+370</f>
        <v>19655</v>
      </c>
      <c r="W504" s="322">
        <f t="shared" si="955"/>
        <v>19655</v>
      </c>
      <c r="X504" s="144"/>
      <c r="Y504" s="139"/>
      <c r="Z504" s="145"/>
      <c r="AA504" s="146"/>
      <c r="AB504" s="436" t="s">
        <v>668</v>
      </c>
    </row>
    <row r="505" spans="1:28" ht="12.6" customHeight="1" x14ac:dyDescent="0.2">
      <c r="A505" s="4"/>
      <c r="B505" s="764" t="s">
        <v>516</v>
      </c>
      <c r="C505" s="901"/>
      <c r="D505" s="901"/>
      <c r="E505" s="901"/>
      <c r="F505" s="408">
        <f>20*X2</f>
        <v>20300</v>
      </c>
      <c r="G505" s="300">
        <f t="shared" ref="G505" si="957">+F505*$X$1</f>
        <v>20300</v>
      </c>
      <c r="H505" s="103">
        <f>F505+4000</f>
        <v>24300</v>
      </c>
      <c r="I505" s="336">
        <f t="shared" ref="I505:I507" si="958">+H505*$X$1</f>
        <v>24300</v>
      </c>
      <c r="J505" s="103">
        <f>F505+1000</f>
        <v>21300</v>
      </c>
      <c r="K505" s="336">
        <f t="shared" ref="K505:K507" si="959">+J505*$X$1</f>
        <v>21300</v>
      </c>
      <c r="L505" s="103">
        <f>F505+900</f>
        <v>21200</v>
      </c>
      <c r="M505" s="336">
        <f t="shared" ref="M505:M507" si="960">+L505*$X$1</f>
        <v>21200</v>
      </c>
      <c r="N505" s="103">
        <f>F505+850</f>
        <v>21150</v>
      </c>
      <c r="O505" s="336">
        <f t="shared" ref="O505:O507" si="961">+N505*$X$1</f>
        <v>21150</v>
      </c>
      <c r="P505" s="103">
        <f>F505+800</f>
        <v>21100</v>
      </c>
      <c r="Q505" s="336">
        <f t="shared" ref="Q505:Q507" si="962">+P505*$X$1</f>
        <v>21100</v>
      </c>
      <c r="R505" s="103">
        <f>F505+770</f>
        <v>21070</v>
      </c>
      <c r="S505" s="336">
        <f t="shared" ref="S505:S507" si="963">+R505*$X$1</f>
        <v>21070</v>
      </c>
      <c r="T505" s="103">
        <f>F505+730</f>
        <v>21030</v>
      </c>
      <c r="U505" s="336">
        <f t="shared" ref="U505:U507" si="964">+T505*$X$1</f>
        <v>21030</v>
      </c>
      <c r="V505" s="103">
        <f>F505+690</f>
        <v>20990</v>
      </c>
      <c r="W505" s="336">
        <f t="shared" ref="W505:W507" si="965">+V505*$X$1</f>
        <v>20990</v>
      </c>
      <c r="X505" s="144"/>
      <c r="Y505" s="139"/>
      <c r="Z505" s="145"/>
      <c r="AA505" s="146"/>
      <c r="AB505" s="436">
        <v>900</v>
      </c>
    </row>
    <row r="506" spans="1:28" ht="12.6" customHeight="1" x14ac:dyDescent="0.2">
      <c r="A506" s="4"/>
      <c r="B506" s="774" t="s">
        <v>444</v>
      </c>
      <c r="C506" s="674"/>
      <c r="D506" s="674"/>
      <c r="E506" s="675"/>
      <c r="F506" s="615">
        <v>15372</v>
      </c>
      <c r="G506" s="299">
        <f>+F506*$X$1</f>
        <v>15372</v>
      </c>
      <c r="H506" s="104">
        <f>F506+4000</f>
        <v>19372</v>
      </c>
      <c r="I506" s="322">
        <f t="shared" si="958"/>
        <v>19372</v>
      </c>
      <c r="J506" s="104">
        <f>F506+1000</f>
        <v>16372</v>
      </c>
      <c r="K506" s="322">
        <f t="shared" si="959"/>
        <v>16372</v>
      </c>
      <c r="L506" s="104">
        <f>F506+900</f>
        <v>16272</v>
      </c>
      <c r="M506" s="322">
        <f t="shared" si="960"/>
        <v>16272</v>
      </c>
      <c r="N506" s="104">
        <f>F506+850</f>
        <v>16222</v>
      </c>
      <c r="O506" s="322">
        <f t="shared" si="961"/>
        <v>16222</v>
      </c>
      <c r="P506" s="104">
        <f>F506+800</f>
        <v>16172</v>
      </c>
      <c r="Q506" s="322">
        <f t="shared" si="962"/>
        <v>16172</v>
      </c>
      <c r="R506" s="104"/>
      <c r="S506" s="322"/>
      <c r="T506" s="104"/>
      <c r="U506" s="322"/>
      <c r="V506" s="104"/>
      <c r="W506" s="322"/>
      <c r="X506" s="144"/>
      <c r="Y506" s="139"/>
      <c r="Z506" s="145"/>
      <c r="AA506" s="146"/>
      <c r="AB506" s="436">
        <v>902</v>
      </c>
    </row>
    <row r="507" spans="1:28" ht="12.6" customHeight="1" x14ac:dyDescent="0.2">
      <c r="A507" s="4"/>
      <c r="B507" s="764" t="s">
        <v>443</v>
      </c>
      <c r="C507" s="901"/>
      <c r="D507" s="901"/>
      <c r="E507" s="901"/>
      <c r="F507" s="347">
        <v>19970</v>
      </c>
      <c r="G507" s="300">
        <f>+F507*$X$1</f>
        <v>19970</v>
      </c>
      <c r="H507" s="103">
        <f>F507+3000</f>
        <v>22970</v>
      </c>
      <c r="I507" s="336">
        <f t="shared" si="958"/>
        <v>22970</v>
      </c>
      <c r="J507" s="103">
        <f>F507+700</f>
        <v>20670</v>
      </c>
      <c r="K507" s="336">
        <f t="shared" si="959"/>
        <v>20670</v>
      </c>
      <c r="L507" s="103">
        <f>F507+550</f>
        <v>20520</v>
      </c>
      <c r="M507" s="336">
        <f t="shared" si="960"/>
        <v>20520</v>
      </c>
      <c r="N507" s="103">
        <f>F507+500</f>
        <v>20470</v>
      </c>
      <c r="O507" s="336">
        <f t="shared" si="961"/>
        <v>20470</v>
      </c>
      <c r="P507" s="103">
        <f>F507+460</f>
        <v>20430</v>
      </c>
      <c r="Q507" s="336">
        <f t="shared" si="962"/>
        <v>20430</v>
      </c>
      <c r="R507" s="103">
        <f>F507+440</f>
        <v>20410</v>
      </c>
      <c r="S507" s="336">
        <f t="shared" si="963"/>
        <v>20410</v>
      </c>
      <c r="T507" s="103">
        <f>F507+400</f>
        <v>20370</v>
      </c>
      <c r="U507" s="336">
        <f t="shared" si="964"/>
        <v>20370</v>
      </c>
      <c r="V507" s="103">
        <f>F507+370</f>
        <v>20340</v>
      </c>
      <c r="W507" s="336">
        <f t="shared" si="965"/>
        <v>20340</v>
      </c>
      <c r="X507" s="144"/>
      <c r="Y507" s="139"/>
      <c r="Z507" s="145"/>
      <c r="AA507" s="146"/>
      <c r="AB507" s="436">
        <v>905</v>
      </c>
    </row>
    <row r="508" spans="1:28" ht="12.6" customHeight="1" x14ac:dyDescent="0.2">
      <c r="A508" s="4"/>
      <c r="B508" s="669" t="s">
        <v>713</v>
      </c>
      <c r="C508" s="664"/>
      <c r="D508" s="664"/>
      <c r="E508" s="664"/>
      <c r="F508" s="407">
        <f>21.3*X2</f>
        <v>21619.5</v>
      </c>
      <c r="G508" s="299">
        <f>+F508*$X$1</f>
        <v>21619.5</v>
      </c>
      <c r="H508" s="104">
        <f>F508+4000</f>
        <v>25619.5</v>
      </c>
      <c r="I508" s="322">
        <f t="shared" ref="I508" si="966">+H508*$X$1</f>
        <v>25619.5</v>
      </c>
      <c r="J508" s="104">
        <f>F508+1000</f>
        <v>22619.5</v>
      </c>
      <c r="K508" s="322">
        <f t="shared" ref="K508" si="967">+J508*$X$1</f>
        <v>22619.5</v>
      </c>
      <c r="L508" s="104">
        <f>F508+900</f>
        <v>22519.5</v>
      </c>
      <c r="M508" s="322">
        <f t="shared" ref="M508" si="968">+L508*$X$1</f>
        <v>22519.5</v>
      </c>
      <c r="N508" s="104">
        <f>F508+850</f>
        <v>22469.5</v>
      </c>
      <c r="O508" s="322">
        <f t="shared" ref="O508" si="969">+N508*$X$1</f>
        <v>22469.5</v>
      </c>
      <c r="P508" s="104">
        <f>F508+800</f>
        <v>22419.5</v>
      </c>
      <c r="Q508" s="322">
        <f t="shared" ref="Q508" si="970">+P508*$X$1</f>
        <v>22419.5</v>
      </c>
      <c r="R508" s="104">
        <f>F508+770</f>
        <v>22389.5</v>
      </c>
      <c r="S508" s="322">
        <f t="shared" ref="S508" si="971">+R508*$X$1</f>
        <v>22389.5</v>
      </c>
      <c r="T508" s="104">
        <f>F508+730</f>
        <v>22349.5</v>
      </c>
      <c r="U508" s="322">
        <f t="shared" ref="U508" si="972">+T508*$X$1</f>
        <v>22349.5</v>
      </c>
      <c r="V508" s="104">
        <f>F508+690</f>
        <v>22309.5</v>
      </c>
      <c r="W508" s="322">
        <f t="shared" ref="W508" si="973">+V508*$X$1</f>
        <v>22309.5</v>
      </c>
      <c r="X508" s="144"/>
      <c r="Y508" s="139"/>
      <c r="Z508" s="145"/>
      <c r="AA508" s="146"/>
      <c r="AB508" s="436">
        <v>906</v>
      </c>
    </row>
    <row r="509" spans="1:28" ht="12.6" customHeight="1" x14ac:dyDescent="0.2">
      <c r="A509" s="4"/>
      <c r="B509" s="764" t="s">
        <v>714</v>
      </c>
      <c r="C509" s="901"/>
      <c r="D509" s="901"/>
      <c r="E509" s="901"/>
      <c r="F509" s="408">
        <f>21.3*X2</f>
        <v>21619.5</v>
      </c>
      <c r="G509" s="300">
        <f>+F509*$X$1</f>
        <v>21619.5</v>
      </c>
      <c r="H509" s="103">
        <f>F509+3000</f>
        <v>24619.5</v>
      </c>
      <c r="I509" s="336">
        <f t="shared" ref="I509:I511" si="974">+H509*$X$1</f>
        <v>24619.5</v>
      </c>
      <c r="J509" s="103">
        <f>F509+700</f>
        <v>22319.5</v>
      </c>
      <c r="K509" s="336">
        <f t="shared" ref="K509:K511" si="975">+J509*$X$1</f>
        <v>22319.5</v>
      </c>
      <c r="L509" s="103">
        <f>F509+550</f>
        <v>22169.5</v>
      </c>
      <c r="M509" s="336">
        <f t="shared" ref="M509:M511" si="976">+L509*$X$1</f>
        <v>22169.5</v>
      </c>
      <c r="N509" s="103">
        <f>F509+500</f>
        <v>22119.5</v>
      </c>
      <c r="O509" s="336">
        <f t="shared" ref="O509:O511" si="977">+N509*$X$1</f>
        <v>22119.5</v>
      </c>
      <c r="P509" s="103">
        <f>F509+460</f>
        <v>22079.5</v>
      </c>
      <c r="Q509" s="336">
        <f t="shared" ref="Q509:Q510" si="978">+P509*$X$1</f>
        <v>22079.5</v>
      </c>
      <c r="R509" s="103">
        <f>F509+440</f>
        <v>22059.5</v>
      </c>
      <c r="S509" s="336">
        <f t="shared" ref="S509:S510" si="979">+R509*$X$1</f>
        <v>22059.5</v>
      </c>
      <c r="T509" s="103">
        <f>F509+400</f>
        <v>22019.5</v>
      </c>
      <c r="U509" s="336">
        <f t="shared" ref="U509:U510" si="980">+T509*$X$1</f>
        <v>22019.5</v>
      </c>
      <c r="V509" s="103">
        <f>F509+370</f>
        <v>21989.5</v>
      </c>
      <c r="W509" s="336">
        <f t="shared" ref="W509:W510" si="981">+V509*$X$1</f>
        <v>21989.5</v>
      </c>
      <c r="X509" s="144"/>
      <c r="Y509" s="139"/>
      <c r="Z509" s="145"/>
      <c r="AA509" s="146"/>
      <c r="AB509" s="436">
        <v>906</v>
      </c>
    </row>
    <row r="510" spans="1:28" ht="12.6" customHeight="1" x14ac:dyDescent="0.2">
      <c r="A510" s="4"/>
      <c r="B510" s="669" t="s">
        <v>654</v>
      </c>
      <c r="C510" s="693"/>
      <c r="D510" s="693"/>
      <c r="E510" s="693"/>
      <c r="F510" s="410">
        <f>21.1*X2</f>
        <v>21416.5</v>
      </c>
      <c r="G510" s="299">
        <f t="shared" ref="G510" si="982">+F510*$X$1</f>
        <v>21416.5</v>
      </c>
      <c r="H510" s="104">
        <f>F510+4000</f>
        <v>25416.5</v>
      </c>
      <c r="I510" s="322">
        <f t="shared" si="974"/>
        <v>25416.5</v>
      </c>
      <c r="J510" s="104">
        <f>F510+1000</f>
        <v>22416.5</v>
      </c>
      <c r="K510" s="322">
        <f t="shared" si="975"/>
        <v>22416.5</v>
      </c>
      <c r="L510" s="104">
        <f>F510+900</f>
        <v>22316.5</v>
      </c>
      <c r="M510" s="322">
        <f t="shared" si="976"/>
        <v>22316.5</v>
      </c>
      <c r="N510" s="104">
        <f>F510+850</f>
        <v>22266.5</v>
      </c>
      <c r="O510" s="322">
        <f t="shared" si="977"/>
        <v>22266.5</v>
      </c>
      <c r="P510" s="104">
        <f>F510+800</f>
        <v>22216.5</v>
      </c>
      <c r="Q510" s="322">
        <f t="shared" si="978"/>
        <v>22216.5</v>
      </c>
      <c r="R510" s="104">
        <f>F510+770</f>
        <v>22186.5</v>
      </c>
      <c r="S510" s="322">
        <f t="shared" si="979"/>
        <v>22186.5</v>
      </c>
      <c r="T510" s="104">
        <f>F510+730</f>
        <v>22146.5</v>
      </c>
      <c r="U510" s="322">
        <f t="shared" si="980"/>
        <v>22146.5</v>
      </c>
      <c r="V510" s="104">
        <f>F510+690</f>
        <v>22106.5</v>
      </c>
      <c r="W510" s="322">
        <f t="shared" si="981"/>
        <v>22106.5</v>
      </c>
      <c r="X510" s="144"/>
      <c r="Y510" s="139"/>
      <c r="Z510" s="145"/>
      <c r="AA510" s="146"/>
      <c r="AB510" s="436" t="s">
        <v>669</v>
      </c>
    </row>
    <row r="511" spans="1:28" ht="12.6" customHeight="1" x14ac:dyDescent="0.2">
      <c r="A511" s="4"/>
      <c r="B511" s="764" t="s">
        <v>712</v>
      </c>
      <c r="C511" s="686"/>
      <c r="D511" s="686"/>
      <c r="E511" s="686"/>
      <c r="F511" s="409">
        <f>21.1*X2</f>
        <v>21416.5</v>
      </c>
      <c r="G511" s="300">
        <f t="shared" ref="G511" si="983">+F511*$X$1</f>
        <v>21416.5</v>
      </c>
      <c r="H511" s="103">
        <f>F511+3000</f>
        <v>24416.5</v>
      </c>
      <c r="I511" s="336">
        <f t="shared" si="974"/>
        <v>24416.5</v>
      </c>
      <c r="J511" s="103">
        <f>F511+700</f>
        <v>22116.5</v>
      </c>
      <c r="K511" s="336">
        <f t="shared" si="975"/>
        <v>22116.5</v>
      </c>
      <c r="L511" s="103">
        <f>F511+550</f>
        <v>21966.5</v>
      </c>
      <c r="M511" s="336">
        <f t="shared" si="976"/>
        <v>21966.5</v>
      </c>
      <c r="N511" s="103">
        <f>F511+500</f>
        <v>21916.5</v>
      </c>
      <c r="O511" s="336">
        <f t="shared" si="977"/>
        <v>21916.5</v>
      </c>
      <c r="P511" s="103"/>
      <c r="Q511" s="336"/>
      <c r="R511" s="103"/>
      <c r="S511" s="336"/>
      <c r="T511" s="103"/>
      <c r="U511" s="336"/>
      <c r="V511" s="103"/>
      <c r="W511" s="336"/>
      <c r="X511" s="144"/>
      <c r="Y511" s="139"/>
      <c r="Z511" s="145"/>
      <c r="AA511" s="146"/>
      <c r="AB511" s="436">
        <v>907</v>
      </c>
    </row>
    <row r="512" spans="1:28" ht="12.6" customHeight="1" x14ac:dyDescent="0.2">
      <c r="A512" s="4"/>
      <c r="B512" s="1134" t="s">
        <v>625</v>
      </c>
      <c r="C512" s="1135"/>
      <c r="D512" s="1135"/>
      <c r="E512" s="1135"/>
      <c r="F512" s="299"/>
      <c r="G512" s="299"/>
      <c r="H512" s="333">
        <v>1900</v>
      </c>
      <c r="I512" s="299">
        <f t="shared" ref="I512" si="984">+H512*$X$1</f>
        <v>1900</v>
      </c>
      <c r="J512" s="333">
        <v>800</v>
      </c>
      <c r="K512" s="299">
        <f t="shared" ref="K512" si="985">+J512*$X$1</f>
        <v>800</v>
      </c>
      <c r="L512" s="333">
        <v>680</v>
      </c>
      <c r="M512" s="299">
        <f t="shared" ref="M512" si="986">+L512*$X$1</f>
        <v>680</v>
      </c>
      <c r="N512" s="333">
        <v>620</v>
      </c>
      <c r="O512" s="299">
        <f t="shared" ref="O512" si="987">+N512*$X$1</f>
        <v>620</v>
      </c>
      <c r="P512" s="333">
        <v>570</v>
      </c>
      <c r="Q512" s="299">
        <f t="shared" ref="Q512" si="988">+P512*$X$1</f>
        <v>570</v>
      </c>
      <c r="R512" s="333">
        <v>520</v>
      </c>
      <c r="S512" s="299">
        <f t="shared" ref="S512" si="989">+R512*$X$1</f>
        <v>520</v>
      </c>
      <c r="T512" s="333">
        <v>480</v>
      </c>
      <c r="U512" s="299">
        <f t="shared" ref="U512" si="990">+T512*$X$1</f>
        <v>480</v>
      </c>
      <c r="V512" s="333">
        <v>450</v>
      </c>
      <c r="W512" s="299">
        <f t="shared" ref="W512" si="991">+V512*$X$1</f>
        <v>450</v>
      </c>
      <c r="X512" s="144"/>
      <c r="Y512" s="139"/>
      <c r="Z512" s="145"/>
      <c r="AA512" s="146"/>
      <c r="AB512" s="32"/>
    </row>
    <row r="513" spans="1:34" ht="12.6" customHeight="1" x14ac:dyDescent="0.2">
      <c r="A513" s="4"/>
      <c r="B513" s="1132" t="s">
        <v>626</v>
      </c>
      <c r="C513" s="1133"/>
      <c r="D513" s="1133"/>
      <c r="E513" s="1133"/>
      <c r="F513" s="300"/>
      <c r="G513" s="300"/>
      <c r="H513" s="510">
        <v>900</v>
      </c>
      <c r="I513" s="300">
        <f t="shared" ref="I513" si="992">+H513*$X$1</f>
        <v>900</v>
      </c>
      <c r="J513" s="510">
        <v>420</v>
      </c>
      <c r="K513" s="300">
        <f t="shared" ref="K513" si="993">+J513*$X$1</f>
        <v>420</v>
      </c>
      <c r="L513" s="510">
        <v>380</v>
      </c>
      <c r="M513" s="300">
        <f t="shared" ref="M513" si="994">+L513*$X$1</f>
        <v>380</v>
      </c>
      <c r="N513" s="510">
        <v>350</v>
      </c>
      <c r="O513" s="300">
        <f t="shared" ref="O513" si="995">+N513*$X$1</f>
        <v>350</v>
      </c>
      <c r="P513" s="510">
        <v>320</v>
      </c>
      <c r="Q513" s="300">
        <f t="shared" ref="Q513" si="996">+P513*$X$1</f>
        <v>320</v>
      </c>
      <c r="R513" s="510">
        <v>300</v>
      </c>
      <c r="S513" s="300">
        <f t="shared" ref="S513" si="997">+R513*$X$1</f>
        <v>300</v>
      </c>
      <c r="T513" s="510">
        <v>280</v>
      </c>
      <c r="U513" s="300">
        <f t="shared" ref="U513" si="998">+T513*$X$1</f>
        <v>280</v>
      </c>
      <c r="V513" s="510">
        <v>260</v>
      </c>
      <c r="W513" s="300">
        <f t="shared" ref="W513" si="999">+V513*$X$1</f>
        <v>260</v>
      </c>
      <c r="X513" s="144"/>
      <c r="Y513" s="139"/>
      <c r="Z513" s="145"/>
      <c r="AA513" s="146"/>
      <c r="AB513" s="32"/>
    </row>
    <row r="514" spans="1:34" ht="9.75" customHeight="1" x14ac:dyDescent="0.2">
      <c r="A514" s="98"/>
      <c r="B514" s="78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80"/>
      <c r="W514" s="81"/>
      <c r="AB514" s="82"/>
    </row>
    <row r="515" spans="1:34" ht="14.25" customHeight="1" x14ac:dyDescent="0.2">
      <c r="B515" s="645" t="s">
        <v>600</v>
      </c>
      <c r="C515" s="646"/>
      <c r="D515" s="646"/>
      <c r="E515" s="646"/>
      <c r="F515" s="646"/>
      <c r="G515" s="646"/>
      <c r="H515" s="646"/>
      <c r="I515" s="646"/>
      <c r="J515" s="646"/>
      <c r="K515" s="646"/>
      <c r="L515" s="646"/>
      <c r="M515" s="646"/>
      <c r="N515" s="646"/>
      <c r="O515" s="646"/>
      <c r="P515" s="646"/>
      <c r="Q515" s="646"/>
      <c r="R515" s="646"/>
      <c r="S515" s="646"/>
      <c r="T515" s="646"/>
      <c r="U515" s="646"/>
      <c r="V515" s="646"/>
      <c r="W515" s="646"/>
      <c r="AB515" s="4"/>
      <c r="AF515" s="625"/>
      <c r="AG515" s="626"/>
      <c r="AH515" s="626"/>
    </row>
    <row r="516" spans="1:34" ht="14.25" customHeight="1" x14ac:dyDescent="0.2">
      <c r="B516" s="627" t="s">
        <v>11</v>
      </c>
      <c r="C516" s="629" t="s">
        <v>12</v>
      </c>
      <c r="D516" s="630"/>
      <c r="E516" s="630"/>
      <c r="F516" s="632" t="s">
        <v>295</v>
      </c>
      <c r="G516" s="632" t="s">
        <v>13</v>
      </c>
      <c r="H516" s="634" t="s">
        <v>855</v>
      </c>
      <c r="I516" s="634"/>
      <c r="J516" s="635"/>
      <c r="K516" s="635"/>
      <c r="L516" s="635"/>
      <c r="M516" s="635"/>
      <c r="N516" s="635"/>
      <c r="O516" s="635"/>
      <c r="P516" s="635"/>
      <c r="Q516" s="635"/>
      <c r="R516" s="635"/>
      <c r="S516" s="635"/>
      <c r="T516" s="635"/>
      <c r="U516" s="635"/>
      <c r="V516" s="635"/>
      <c r="W516" s="636"/>
      <c r="X516" s="637" t="s">
        <v>14</v>
      </c>
      <c r="Y516" s="638"/>
      <c r="Z516" s="638"/>
      <c r="AA516" s="639"/>
      <c r="AB516" s="643" t="s">
        <v>15</v>
      </c>
      <c r="AF516" s="625" t="s">
        <v>3</v>
      </c>
      <c r="AG516" s="626"/>
      <c r="AH516" s="626"/>
    </row>
    <row r="517" spans="1:34" ht="12" customHeight="1" x14ac:dyDescent="0.2">
      <c r="B517" s="628"/>
      <c r="C517" s="631"/>
      <c r="D517" s="631"/>
      <c r="E517" s="631"/>
      <c r="F517" s="633"/>
      <c r="G517" s="633"/>
      <c r="H517" s="541"/>
      <c r="I517" s="542" t="s">
        <v>585</v>
      </c>
      <c r="J517" s="541"/>
      <c r="K517" s="542" t="s">
        <v>296</v>
      </c>
      <c r="L517" s="541"/>
      <c r="M517" s="542" t="s">
        <v>297</v>
      </c>
      <c r="N517" s="541"/>
      <c r="O517" s="542" t="s">
        <v>587</v>
      </c>
      <c r="P517" s="541"/>
      <c r="Q517" s="542" t="s">
        <v>17</v>
      </c>
      <c r="R517" s="541"/>
      <c r="S517" s="542" t="s">
        <v>18</v>
      </c>
      <c r="T517" s="541"/>
      <c r="U517" s="542" t="s">
        <v>19</v>
      </c>
      <c r="V517" s="541"/>
      <c r="W517" s="543" t="s">
        <v>588</v>
      </c>
      <c r="X517" s="640"/>
      <c r="Y517" s="641"/>
      <c r="Z517" s="641"/>
      <c r="AA517" s="642"/>
      <c r="AB517" s="644"/>
    </row>
    <row r="518" spans="1:34" ht="12" customHeight="1" x14ac:dyDescent="0.2">
      <c r="A518" s="4"/>
      <c r="B518" s="689" t="s">
        <v>919</v>
      </c>
      <c r="C518" s="938"/>
      <c r="D518" s="938"/>
      <c r="E518" s="938"/>
      <c r="F518" s="412"/>
      <c r="G518" s="336"/>
      <c r="H518" s="103"/>
      <c r="I518" s="336"/>
      <c r="J518" s="103"/>
      <c r="K518" s="336"/>
      <c r="L518" s="103"/>
      <c r="M518" s="336"/>
      <c r="N518" s="103"/>
      <c r="O518" s="336"/>
      <c r="P518" s="103"/>
      <c r="Q518" s="336"/>
      <c r="R518" s="103"/>
      <c r="S518" s="336"/>
      <c r="T518" s="103"/>
      <c r="U518" s="336"/>
      <c r="V518" s="103"/>
      <c r="W518" s="336"/>
      <c r="X518" s="144"/>
      <c r="Y518" s="139"/>
      <c r="Z518" s="145"/>
      <c r="AA518" s="146"/>
      <c r="AB518" s="436">
        <v>533</v>
      </c>
    </row>
    <row r="519" spans="1:34" ht="12" customHeight="1" x14ac:dyDescent="0.2">
      <c r="A519" s="4"/>
      <c r="B519" s="706" t="s">
        <v>922</v>
      </c>
      <c r="C519" s="1082"/>
      <c r="D519" s="1082"/>
      <c r="E519" s="1082"/>
      <c r="F519" s="413">
        <f>7.79*X2</f>
        <v>7906.85</v>
      </c>
      <c r="G519" s="322">
        <f t="shared" ref="G519" si="1000">+F519*$X$1</f>
        <v>7906.85</v>
      </c>
      <c r="H519" s="104"/>
      <c r="I519" s="322"/>
      <c r="J519" s="104"/>
      <c r="K519" s="322"/>
      <c r="L519" s="104">
        <f>F519+450</f>
        <v>8356.85</v>
      </c>
      <c r="M519" s="322">
        <f t="shared" ref="M519" si="1001">+L519*$X$1</f>
        <v>8356.85</v>
      </c>
      <c r="N519" s="104">
        <f>F519+400</f>
        <v>8306.85</v>
      </c>
      <c r="O519" s="322">
        <f t="shared" ref="O519" si="1002">+N519*$X$1</f>
        <v>8306.85</v>
      </c>
      <c r="P519" s="104">
        <f>F519+370</f>
        <v>8276.85</v>
      </c>
      <c r="Q519" s="322">
        <f t="shared" ref="Q519" si="1003">+P519*$X$1</f>
        <v>8276.85</v>
      </c>
      <c r="R519" s="104">
        <f>F519+340</f>
        <v>8246.85</v>
      </c>
      <c r="S519" s="322">
        <f t="shared" ref="S519" si="1004">+R519*$X$1</f>
        <v>8246.85</v>
      </c>
      <c r="T519" s="104">
        <f>F519+300</f>
        <v>8206.85</v>
      </c>
      <c r="U519" s="322">
        <f t="shared" ref="U519" si="1005">+T519*$X$1</f>
        <v>8206.85</v>
      </c>
      <c r="V519" s="104">
        <f>F519+260</f>
        <v>8166.85</v>
      </c>
      <c r="W519" s="322">
        <f t="shared" ref="W519" si="1006">+V519*$X$1</f>
        <v>8166.85</v>
      </c>
      <c r="X519" s="144"/>
      <c r="Y519" s="139"/>
      <c r="Z519" s="145"/>
      <c r="AA519" s="146"/>
      <c r="AB519" s="450">
        <v>566</v>
      </c>
    </row>
    <row r="520" spans="1:34" ht="12" customHeight="1" x14ac:dyDescent="0.2">
      <c r="A520" s="4"/>
      <c r="B520" s="706" t="s">
        <v>923</v>
      </c>
      <c r="C520" s="1082"/>
      <c r="D520" s="1082"/>
      <c r="E520" s="1082"/>
      <c r="F520" s="412">
        <f>9.6*X2</f>
        <v>9744</v>
      </c>
      <c r="G520" s="336">
        <f t="shared" ref="G520" si="1007">+F520*$X$1</f>
        <v>9744</v>
      </c>
      <c r="H520" s="103"/>
      <c r="I520" s="336"/>
      <c r="J520" s="103"/>
      <c r="K520" s="336"/>
      <c r="L520" s="103">
        <f>F520+450</f>
        <v>10194</v>
      </c>
      <c r="M520" s="336">
        <f t="shared" ref="M520" si="1008">+L520*$X$1</f>
        <v>10194</v>
      </c>
      <c r="N520" s="103">
        <f>F520+400</f>
        <v>10144</v>
      </c>
      <c r="O520" s="336">
        <f t="shared" ref="O520" si="1009">+N520*$X$1</f>
        <v>10144</v>
      </c>
      <c r="P520" s="103">
        <f>F520+370</f>
        <v>10114</v>
      </c>
      <c r="Q520" s="336">
        <f t="shared" ref="Q520" si="1010">+P520*$X$1</f>
        <v>10114</v>
      </c>
      <c r="R520" s="103">
        <f>F520+340</f>
        <v>10084</v>
      </c>
      <c r="S520" s="336">
        <f t="shared" ref="S520" si="1011">+R520*$X$1</f>
        <v>10084</v>
      </c>
      <c r="T520" s="103">
        <f>F520+300</f>
        <v>10044</v>
      </c>
      <c r="U520" s="336">
        <f t="shared" ref="U520" si="1012">+T520*$X$1</f>
        <v>10044</v>
      </c>
      <c r="V520" s="103">
        <f>F520+260</f>
        <v>10004</v>
      </c>
      <c r="W520" s="336">
        <f t="shared" ref="W520" si="1013">+V520*$X$1</f>
        <v>10004</v>
      </c>
      <c r="X520" s="144"/>
      <c r="Y520" s="139"/>
      <c r="Z520" s="145"/>
      <c r="AA520" s="146"/>
      <c r="AB520" s="450">
        <v>567</v>
      </c>
    </row>
    <row r="521" spans="1:34" ht="12" customHeight="1" x14ac:dyDescent="0.2">
      <c r="A521" s="4"/>
      <c r="B521" s="706" t="s">
        <v>924</v>
      </c>
      <c r="C521" s="1082"/>
      <c r="D521" s="1082"/>
      <c r="E521" s="1082"/>
      <c r="F521" s="413">
        <f>9.36*X2</f>
        <v>9500.4</v>
      </c>
      <c r="G521" s="322">
        <f t="shared" ref="G521" si="1014">+F521*$X$1</f>
        <v>9500.4</v>
      </c>
      <c r="H521" s="104"/>
      <c r="I521" s="322"/>
      <c r="J521" s="104"/>
      <c r="K521" s="322"/>
      <c r="L521" s="104">
        <f>F521+450</f>
        <v>9950.4</v>
      </c>
      <c r="M521" s="322">
        <f t="shared" ref="M521" si="1015">+L521*$X$1</f>
        <v>9950.4</v>
      </c>
      <c r="N521" s="104">
        <f>F521+400</f>
        <v>9900.4</v>
      </c>
      <c r="O521" s="322">
        <f t="shared" ref="O521" si="1016">+N521*$X$1</f>
        <v>9900.4</v>
      </c>
      <c r="P521" s="104">
        <f>F521+370</f>
        <v>9870.4</v>
      </c>
      <c r="Q521" s="322">
        <f t="shared" ref="Q521" si="1017">+P521*$X$1</f>
        <v>9870.4</v>
      </c>
      <c r="R521" s="104">
        <f>F521+340</f>
        <v>9840.4</v>
      </c>
      <c r="S521" s="322">
        <f t="shared" ref="S521" si="1018">+R521*$X$1</f>
        <v>9840.4</v>
      </c>
      <c r="T521" s="104">
        <f>F521+300</f>
        <v>9800.4</v>
      </c>
      <c r="U521" s="322">
        <f t="shared" ref="U521" si="1019">+T521*$X$1</f>
        <v>9800.4</v>
      </c>
      <c r="V521" s="104">
        <f>F521+260</f>
        <v>9760.4</v>
      </c>
      <c r="W521" s="322">
        <f t="shared" ref="W521" si="1020">+V521*$X$1</f>
        <v>9760.4</v>
      </c>
      <c r="X521" s="144"/>
      <c r="Y521" s="139"/>
      <c r="Z521" s="145"/>
      <c r="AA521" s="146"/>
      <c r="AB521" s="450">
        <v>569</v>
      </c>
    </row>
    <row r="522" spans="1:34" ht="12" customHeight="1" x14ac:dyDescent="0.2">
      <c r="A522" s="4"/>
      <c r="B522" s="687" t="s">
        <v>781</v>
      </c>
      <c r="C522" s="688"/>
      <c r="D522" s="688"/>
      <c r="E522" s="688"/>
      <c r="F522" s="412">
        <f>28.3*X2</f>
        <v>28724.5</v>
      </c>
      <c r="G522" s="336">
        <f t="shared" ref="G522:K537" si="1021">+F522*$X$1</f>
        <v>28724.5</v>
      </c>
      <c r="H522" s="103">
        <f>F522+3000</f>
        <v>31724.5</v>
      </c>
      <c r="I522" s="336">
        <f t="shared" si="1021"/>
        <v>31724.5</v>
      </c>
      <c r="J522" s="103">
        <f>F522+600</f>
        <v>29324.5</v>
      </c>
      <c r="K522" s="336">
        <f t="shared" si="1021"/>
        <v>29324.5</v>
      </c>
      <c r="L522" s="103">
        <f>F522+450</f>
        <v>29174.5</v>
      </c>
      <c r="M522" s="336">
        <f t="shared" ref="M522" si="1022">+L522*$X$1</f>
        <v>29174.5</v>
      </c>
      <c r="N522" s="103">
        <f>F522+400</f>
        <v>29124.5</v>
      </c>
      <c r="O522" s="336">
        <f t="shared" ref="O522" si="1023">+N522*$X$1</f>
        <v>29124.5</v>
      </c>
      <c r="P522" s="103">
        <f>F522+370</f>
        <v>29094.5</v>
      </c>
      <c r="Q522" s="336">
        <f t="shared" ref="Q522" si="1024">+P522*$X$1</f>
        <v>29094.5</v>
      </c>
      <c r="R522" s="103">
        <f>F522+340</f>
        <v>29064.5</v>
      </c>
      <c r="S522" s="336">
        <f t="shared" ref="S522" si="1025">+R522*$X$1</f>
        <v>29064.5</v>
      </c>
      <c r="T522" s="103">
        <f>F522+300</f>
        <v>29024.5</v>
      </c>
      <c r="U522" s="336">
        <f t="shared" ref="U522" si="1026">+T522*$X$1</f>
        <v>29024.5</v>
      </c>
      <c r="V522" s="103">
        <f>F522+260</f>
        <v>28984.5</v>
      </c>
      <c r="W522" s="336">
        <f t="shared" ref="W522" si="1027">+V522*$X$1</f>
        <v>28984.5</v>
      </c>
      <c r="X522" s="144"/>
      <c r="Y522" s="139"/>
      <c r="Z522" s="145"/>
      <c r="AA522" s="146"/>
      <c r="AB522" s="450">
        <v>570</v>
      </c>
    </row>
    <row r="523" spans="1:34" ht="12" customHeight="1" x14ac:dyDescent="0.2">
      <c r="A523" s="4"/>
      <c r="B523" s="914" t="s">
        <v>790</v>
      </c>
      <c r="C523" s="920"/>
      <c r="D523" s="920"/>
      <c r="E523" s="920"/>
      <c r="F523" s="413">
        <f>5.1*X2</f>
        <v>5176.5</v>
      </c>
      <c r="G523" s="322">
        <f t="shared" ref="G523" si="1028">+F523*$X$1</f>
        <v>5176.5</v>
      </c>
      <c r="H523" s="104"/>
      <c r="I523" s="322"/>
      <c r="J523" s="104">
        <f t="shared" ref="J523:J556" si="1029">F523+600</f>
        <v>5776.5</v>
      </c>
      <c r="K523" s="322">
        <f t="shared" ref="K523:K556" si="1030">+J523*$X$1</f>
        <v>5776.5</v>
      </c>
      <c r="L523" s="104">
        <f t="shared" ref="L523:L556" si="1031">F523+450</f>
        <v>5626.5</v>
      </c>
      <c r="M523" s="322">
        <f t="shared" ref="M523:M556" si="1032">+L523*$X$1</f>
        <v>5626.5</v>
      </c>
      <c r="N523" s="104">
        <f t="shared" ref="N523:N556" si="1033">F523+400</f>
        <v>5576.5</v>
      </c>
      <c r="O523" s="322">
        <f t="shared" ref="O523:O556" si="1034">+N523*$X$1</f>
        <v>5576.5</v>
      </c>
      <c r="P523" s="104">
        <f t="shared" ref="P523:P556" si="1035">F523+370</f>
        <v>5546.5</v>
      </c>
      <c r="Q523" s="322">
        <f t="shared" ref="Q523:Q556" si="1036">+P523*$X$1</f>
        <v>5546.5</v>
      </c>
      <c r="R523" s="104">
        <f t="shared" ref="R523:R556" si="1037">F523+340</f>
        <v>5516.5</v>
      </c>
      <c r="S523" s="322">
        <f t="shared" ref="S523:S556" si="1038">+R523*$X$1</f>
        <v>5516.5</v>
      </c>
      <c r="T523" s="104">
        <f t="shared" ref="T523:T556" si="1039">F523+300</f>
        <v>5476.5</v>
      </c>
      <c r="U523" s="322">
        <f t="shared" ref="U523:U556" si="1040">+T523*$X$1</f>
        <v>5476.5</v>
      </c>
      <c r="V523" s="104">
        <f t="shared" ref="V523:V556" si="1041">F523+260</f>
        <v>5436.5</v>
      </c>
      <c r="W523" s="322">
        <f t="shared" ref="W523:W556" si="1042">+V523*$X$1</f>
        <v>5436.5</v>
      </c>
      <c r="X523" s="144"/>
      <c r="Y523" s="139"/>
      <c r="Z523" s="145"/>
      <c r="AA523" s="146"/>
      <c r="AB523" s="436" t="s">
        <v>824</v>
      </c>
    </row>
    <row r="524" spans="1:34" ht="12" customHeight="1" x14ac:dyDescent="0.2">
      <c r="A524" s="4"/>
      <c r="B524" s="687" t="s">
        <v>771</v>
      </c>
      <c r="C524" s="688"/>
      <c r="D524" s="688"/>
      <c r="E524" s="688"/>
      <c r="F524" s="587">
        <v>21800</v>
      </c>
      <c r="G524" s="336">
        <f t="shared" ref="G524" si="1043">+F524*$X$1</f>
        <v>21800</v>
      </c>
      <c r="H524" s="103"/>
      <c r="I524" s="336"/>
      <c r="J524" s="103">
        <f t="shared" si="1029"/>
        <v>22400</v>
      </c>
      <c r="K524" s="336">
        <f t="shared" si="1030"/>
        <v>22400</v>
      </c>
      <c r="L524" s="103">
        <f t="shared" si="1031"/>
        <v>22250</v>
      </c>
      <c r="M524" s="336">
        <f t="shared" si="1032"/>
        <v>22250</v>
      </c>
      <c r="N524" s="103">
        <f t="shared" si="1033"/>
        <v>22200</v>
      </c>
      <c r="O524" s="336">
        <f t="shared" si="1034"/>
        <v>22200</v>
      </c>
      <c r="P524" s="103">
        <f t="shared" si="1035"/>
        <v>22170</v>
      </c>
      <c r="Q524" s="336">
        <f t="shared" si="1036"/>
        <v>22170</v>
      </c>
      <c r="R524" s="103">
        <f t="shared" si="1037"/>
        <v>22140</v>
      </c>
      <c r="S524" s="336">
        <f t="shared" si="1038"/>
        <v>22140</v>
      </c>
      <c r="T524" s="103">
        <f t="shared" si="1039"/>
        <v>22100</v>
      </c>
      <c r="U524" s="336">
        <f t="shared" si="1040"/>
        <v>22100</v>
      </c>
      <c r="V524" s="103">
        <f t="shared" si="1041"/>
        <v>22060</v>
      </c>
      <c r="W524" s="336">
        <f t="shared" si="1042"/>
        <v>22060</v>
      </c>
      <c r="X524" s="144"/>
      <c r="Y524" s="139"/>
      <c r="Z524" s="145"/>
      <c r="AA524" s="146"/>
      <c r="AB524" s="436">
        <v>577</v>
      </c>
    </row>
    <row r="525" spans="1:34" ht="12" customHeight="1" x14ac:dyDescent="0.2">
      <c r="A525" s="4"/>
      <c r="B525" s="663" t="s">
        <v>770</v>
      </c>
      <c r="C525" s="664"/>
      <c r="D525" s="664"/>
      <c r="E525" s="664"/>
      <c r="F525" s="413">
        <f>29.9*X2</f>
        <v>30348.5</v>
      </c>
      <c r="G525" s="322">
        <f t="shared" si="1021"/>
        <v>30348.5</v>
      </c>
      <c r="H525" s="104">
        <f t="shared" ref="H525:H528" si="1044">F525+3000</f>
        <v>33348.5</v>
      </c>
      <c r="I525" s="322">
        <f t="shared" ref="I525:I528" si="1045">+H525*$X$1</f>
        <v>33348.5</v>
      </c>
      <c r="J525" s="104">
        <f t="shared" si="1029"/>
        <v>30948.5</v>
      </c>
      <c r="K525" s="322">
        <f t="shared" si="1030"/>
        <v>30948.5</v>
      </c>
      <c r="L525" s="104">
        <f t="shared" si="1031"/>
        <v>30798.5</v>
      </c>
      <c r="M525" s="322">
        <f t="shared" si="1032"/>
        <v>30798.5</v>
      </c>
      <c r="N525" s="104">
        <f t="shared" si="1033"/>
        <v>30748.5</v>
      </c>
      <c r="O525" s="322">
        <f t="shared" si="1034"/>
        <v>30748.5</v>
      </c>
      <c r="P525" s="104">
        <f t="shared" si="1035"/>
        <v>30718.5</v>
      </c>
      <c r="Q525" s="322">
        <f t="shared" si="1036"/>
        <v>30718.5</v>
      </c>
      <c r="R525" s="104">
        <f t="shared" si="1037"/>
        <v>30688.5</v>
      </c>
      <c r="S525" s="322">
        <f t="shared" si="1038"/>
        <v>30688.5</v>
      </c>
      <c r="T525" s="104">
        <f t="shared" si="1039"/>
        <v>30648.5</v>
      </c>
      <c r="U525" s="322">
        <f t="shared" si="1040"/>
        <v>30648.5</v>
      </c>
      <c r="V525" s="104">
        <f t="shared" si="1041"/>
        <v>30608.5</v>
      </c>
      <c r="W525" s="322">
        <f t="shared" si="1042"/>
        <v>30608.5</v>
      </c>
      <c r="X525" s="144"/>
      <c r="Y525" s="139"/>
      <c r="Z525" s="145"/>
      <c r="AA525" s="146"/>
      <c r="AB525" s="436">
        <v>580</v>
      </c>
    </row>
    <row r="526" spans="1:34" ht="12" customHeight="1" x14ac:dyDescent="0.2">
      <c r="A526" s="4"/>
      <c r="B526" s="685" t="s">
        <v>769</v>
      </c>
      <c r="C526" s="901"/>
      <c r="D526" s="901"/>
      <c r="E526" s="901"/>
      <c r="F526" s="409">
        <f>28.86*X2</f>
        <v>29292.899999999998</v>
      </c>
      <c r="G526" s="300">
        <f t="shared" si="1021"/>
        <v>29292.899999999998</v>
      </c>
      <c r="H526" s="103">
        <f t="shared" si="1044"/>
        <v>32292.899999999998</v>
      </c>
      <c r="I526" s="336">
        <f t="shared" si="1045"/>
        <v>32292.899999999998</v>
      </c>
      <c r="J526" s="103">
        <f t="shared" si="1029"/>
        <v>29892.899999999998</v>
      </c>
      <c r="K526" s="336">
        <f t="shared" si="1030"/>
        <v>29892.899999999998</v>
      </c>
      <c r="L526" s="103">
        <f t="shared" si="1031"/>
        <v>29742.899999999998</v>
      </c>
      <c r="M526" s="336">
        <f t="shared" si="1032"/>
        <v>29742.899999999998</v>
      </c>
      <c r="N526" s="103">
        <f t="shared" si="1033"/>
        <v>29692.899999999998</v>
      </c>
      <c r="O526" s="336">
        <f t="shared" si="1034"/>
        <v>29692.899999999998</v>
      </c>
      <c r="P526" s="103">
        <f t="shared" si="1035"/>
        <v>29662.899999999998</v>
      </c>
      <c r="Q526" s="336">
        <f t="shared" si="1036"/>
        <v>29662.899999999998</v>
      </c>
      <c r="R526" s="103">
        <f t="shared" si="1037"/>
        <v>29632.899999999998</v>
      </c>
      <c r="S526" s="336">
        <f t="shared" si="1038"/>
        <v>29632.899999999998</v>
      </c>
      <c r="T526" s="103">
        <f t="shared" si="1039"/>
        <v>29592.899999999998</v>
      </c>
      <c r="U526" s="336">
        <f t="shared" si="1040"/>
        <v>29592.899999999998</v>
      </c>
      <c r="V526" s="103">
        <f t="shared" si="1041"/>
        <v>29552.899999999998</v>
      </c>
      <c r="W526" s="336">
        <f t="shared" si="1042"/>
        <v>29552.899999999998</v>
      </c>
      <c r="X526" s="144"/>
      <c r="Y526" s="139"/>
      <c r="Z526" s="145"/>
      <c r="AA526" s="146"/>
      <c r="AB526" s="436">
        <v>582</v>
      </c>
    </row>
    <row r="527" spans="1:34" ht="12" customHeight="1" x14ac:dyDescent="0.2">
      <c r="A527" s="4"/>
      <c r="B527" s="663" t="s">
        <v>768</v>
      </c>
      <c r="C527" s="664"/>
      <c r="D527" s="664"/>
      <c r="E527" s="664"/>
      <c r="F527" s="588">
        <v>46874</v>
      </c>
      <c r="G527" s="322">
        <f t="shared" si="1021"/>
        <v>46874</v>
      </c>
      <c r="H527" s="104">
        <f t="shared" si="1044"/>
        <v>49874</v>
      </c>
      <c r="I527" s="322">
        <f t="shared" si="1045"/>
        <v>49874</v>
      </c>
      <c r="J527" s="104">
        <f t="shared" si="1029"/>
        <v>47474</v>
      </c>
      <c r="K527" s="322">
        <f t="shared" si="1030"/>
        <v>47474</v>
      </c>
      <c r="L527" s="104">
        <f t="shared" si="1031"/>
        <v>47324</v>
      </c>
      <c r="M527" s="322">
        <f t="shared" si="1032"/>
        <v>47324</v>
      </c>
      <c r="N527" s="104">
        <f t="shared" si="1033"/>
        <v>47274</v>
      </c>
      <c r="O527" s="322">
        <f t="shared" si="1034"/>
        <v>47274</v>
      </c>
      <c r="P527" s="104">
        <f t="shared" si="1035"/>
        <v>47244</v>
      </c>
      <c r="Q527" s="322">
        <f t="shared" si="1036"/>
        <v>47244</v>
      </c>
      <c r="R527" s="104">
        <f t="shared" si="1037"/>
        <v>47214</v>
      </c>
      <c r="S527" s="322">
        <f t="shared" si="1038"/>
        <v>47214</v>
      </c>
      <c r="T527" s="104">
        <f t="shared" si="1039"/>
        <v>47174</v>
      </c>
      <c r="U527" s="322">
        <f t="shared" si="1040"/>
        <v>47174</v>
      </c>
      <c r="V527" s="104">
        <f t="shared" si="1041"/>
        <v>47134</v>
      </c>
      <c r="W527" s="322">
        <f t="shared" si="1042"/>
        <v>47134</v>
      </c>
      <c r="X527" s="144"/>
      <c r="Y527" s="139"/>
      <c r="Z527" s="145"/>
      <c r="AA527" s="146"/>
      <c r="AB527" s="436">
        <v>584</v>
      </c>
    </row>
    <row r="528" spans="1:34" ht="12" customHeight="1" x14ac:dyDescent="0.2">
      <c r="A528" s="4"/>
      <c r="B528" s="760" t="s">
        <v>825</v>
      </c>
      <c r="C528" s="899"/>
      <c r="D528" s="899"/>
      <c r="E528" s="900"/>
      <c r="F528" s="409">
        <f>30.11*X2</f>
        <v>30561.649999999998</v>
      </c>
      <c r="G528" s="300">
        <f>+F528*$X$1</f>
        <v>30561.649999999998</v>
      </c>
      <c r="H528" s="103">
        <f t="shared" si="1044"/>
        <v>33561.649999999994</v>
      </c>
      <c r="I528" s="336">
        <f t="shared" si="1045"/>
        <v>33561.649999999994</v>
      </c>
      <c r="J528" s="103">
        <f t="shared" si="1029"/>
        <v>31161.649999999998</v>
      </c>
      <c r="K528" s="336">
        <f t="shared" si="1030"/>
        <v>31161.649999999998</v>
      </c>
      <c r="L528" s="103">
        <f t="shared" si="1031"/>
        <v>31011.649999999998</v>
      </c>
      <c r="M528" s="336">
        <f t="shared" si="1032"/>
        <v>31011.649999999998</v>
      </c>
      <c r="N528" s="103">
        <f t="shared" si="1033"/>
        <v>30961.649999999998</v>
      </c>
      <c r="O528" s="336">
        <f t="shared" si="1034"/>
        <v>30961.649999999998</v>
      </c>
      <c r="P528" s="103">
        <f t="shared" si="1035"/>
        <v>30931.649999999998</v>
      </c>
      <c r="Q528" s="336">
        <f t="shared" si="1036"/>
        <v>30931.649999999998</v>
      </c>
      <c r="R528" s="103">
        <f t="shared" si="1037"/>
        <v>30901.649999999998</v>
      </c>
      <c r="S528" s="336">
        <f t="shared" si="1038"/>
        <v>30901.649999999998</v>
      </c>
      <c r="T528" s="103">
        <f t="shared" si="1039"/>
        <v>30861.649999999998</v>
      </c>
      <c r="U528" s="336">
        <f t="shared" si="1040"/>
        <v>30861.649999999998</v>
      </c>
      <c r="V528" s="103">
        <f t="shared" si="1041"/>
        <v>30821.649999999998</v>
      </c>
      <c r="W528" s="336">
        <f t="shared" si="1042"/>
        <v>30821.649999999998</v>
      </c>
      <c r="X528" s="144"/>
      <c r="Y528" s="139"/>
      <c r="Z528" s="145"/>
      <c r="AA528" s="146"/>
      <c r="AB528" s="436">
        <v>586</v>
      </c>
    </row>
    <row r="529" spans="1:28" ht="12" customHeight="1" x14ac:dyDescent="0.2">
      <c r="A529" s="4"/>
      <c r="B529" s="842" t="s">
        <v>925</v>
      </c>
      <c r="C529" s="939"/>
      <c r="D529" s="939"/>
      <c r="E529" s="940"/>
      <c r="F529" s="588">
        <v>15080</v>
      </c>
      <c r="G529" s="322">
        <f t="shared" ref="G529" si="1046">+F529*$X$1</f>
        <v>15080</v>
      </c>
      <c r="H529" s="104"/>
      <c r="I529" s="322"/>
      <c r="J529" s="104"/>
      <c r="K529" s="322"/>
      <c r="L529" s="104">
        <f t="shared" ref="L529" si="1047">F529+450</f>
        <v>15530</v>
      </c>
      <c r="M529" s="322">
        <f t="shared" ref="M529" si="1048">+L529*$X$1</f>
        <v>15530</v>
      </c>
      <c r="N529" s="104">
        <f t="shared" ref="N529" si="1049">F529+400</f>
        <v>15480</v>
      </c>
      <c r="O529" s="322">
        <f t="shared" ref="O529" si="1050">+N529*$X$1</f>
        <v>15480</v>
      </c>
      <c r="P529" s="104">
        <f t="shared" ref="P529" si="1051">F529+370</f>
        <v>15450</v>
      </c>
      <c r="Q529" s="322">
        <f t="shared" ref="Q529" si="1052">+P529*$X$1</f>
        <v>15450</v>
      </c>
      <c r="R529" s="104">
        <f t="shared" ref="R529" si="1053">F529+340</f>
        <v>15420</v>
      </c>
      <c r="S529" s="322">
        <f t="shared" ref="S529" si="1054">+R529*$X$1</f>
        <v>15420</v>
      </c>
      <c r="T529" s="104">
        <f t="shared" ref="T529" si="1055">F529+300</f>
        <v>15380</v>
      </c>
      <c r="U529" s="322">
        <f t="shared" ref="U529" si="1056">+T529*$X$1</f>
        <v>15380</v>
      </c>
      <c r="V529" s="104">
        <f t="shared" ref="V529" si="1057">F529+260</f>
        <v>15340</v>
      </c>
      <c r="W529" s="322">
        <f t="shared" ref="W529" si="1058">+V529*$X$1</f>
        <v>15340</v>
      </c>
      <c r="X529" s="144"/>
      <c r="Y529" s="139"/>
      <c r="Z529" s="145"/>
      <c r="AA529" s="146"/>
      <c r="AB529" s="436">
        <v>590</v>
      </c>
    </row>
    <row r="530" spans="1:28" ht="12" customHeight="1" x14ac:dyDescent="0.2">
      <c r="A530" s="4"/>
      <c r="B530" s="760" t="s">
        <v>780</v>
      </c>
      <c r="C530" s="899"/>
      <c r="D530" s="899"/>
      <c r="E530" s="900"/>
      <c r="F530" s="616">
        <v>38600</v>
      </c>
      <c r="G530" s="300">
        <f t="shared" si="1021"/>
        <v>38600</v>
      </c>
      <c r="H530" s="103"/>
      <c r="I530" s="336"/>
      <c r="J530" s="103">
        <f t="shared" si="1029"/>
        <v>39200</v>
      </c>
      <c r="K530" s="336">
        <f t="shared" si="1030"/>
        <v>39200</v>
      </c>
      <c r="L530" s="103">
        <f t="shared" si="1031"/>
        <v>39050</v>
      </c>
      <c r="M530" s="336">
        <f t="shared" si="1032"/>
        <v>39050</v>
      </c>
      <c r="N530" s="103">
        <f t="shared" si="1033"/>
        <v>39000</v>
      </c>
      <c r="O530" s="336">
        <f t="shared" si="1034"/>
        <v>39000</v>
      </c>
      <c r="P530" s="103">
        <f t="shared" si="1035"/>
        <v>38970</v>
      </c>
      <c r="Q530" s="336">
        <f t="shared" si="1036"/>
        <v>38970</v>
      </c>
      <c r="R530" s="103">
        <f t="shared" si="1037"/>
        <v>38940</v>
      </c>
      <c r="S530" s="336">
        <f t="shared" si="1038"/>
        <v>38940</v>
      </c>
      <c r="T530" s="103">
        <f t="shared" si="1039"/>
        <v>38900</v>
      </c>
      <c r="U530" s="336">
        <f t="shared" si="1040"/>
        <v>38900</v>
      </c>
      <c r="V530" s="103">
        <f t="shared" si="1041"/>
        <v>38860</v>
      </c>
      <c r="W530" s="336">
        <f t="shared" si="1042"/>
        <v>38860</v>
      </c>
      <c r="X530" s="144"/>
      <c r="Y530" s="139"/>
      <c r="Z530" s="145"/>
      <c r="AA530" s="146"/>
      <c r="AB530" s="436">
        <v>599</v>
      </c>
    </row>
    <row r="531" spans="1:28" ht="12" customHeight="1" x14ac:dyDescent="0.2">
      <c r="A531" s="4"/>
      <c r="B531" s="774" t="s">
        <v>767</v>
      </c>
      <c r="C531" s="775"/>
      <c r="D531" s="775"/>
      <c r="E531" s="776"/>
      <c r="F531" s="407">
        <f>22.12*X2</f>
        <v>22451.8</v>
      </c>
      <c r="G531" s="299">
        <f t="shared" si="1021"/>
        <v>22451.8</v>
      </c>
      <c r="H531" s="104">
        <f t="shared" ref="H531:H532" si="1059">F531+3000</f>
        <v>25451.8</v>
      </c>
      <c r="I531" s="322">
        <f t="shared" ref="I531:I532" si="1060">+H531*$X$1</f>
        <v>25451.8</v>
      </c>
      <c r="J531" s="104">
        <f t="shared" si="1029"/>
        <v>23051.8</v>
      </c>
      <c r="K531" s="322">
        <f t="shared" si="1030"/>
        <v>23051.8</v>
      </c>
      <c r="L531" s="104">
        <f t="shared" si="1031"/>
        <v>22901.8</v>
      </c>
      <c r="M531" s="322">
        <f t="shared" si="1032"/>
        <v>22901.8</v>
      </c>
      <c r="N531" s="104">
        <f t="shared" si="1033"/>
        <v>22851.8</v>
      </c>
      <c r="O531" s="322">
        <f t="shared" si="1034"/>
        <v>22851.8</v>
      </c>
      <c r="P531" s="104">
        <f t="shared" si="1035"/>
        <v>22821.8</v>
      </c>
      <c r="Q531" s="322">
        <f t="shared" si="1036"/>
        <v>22821.8</v>
      </c>
      <c r="R531" s="104">
        <f t="shared" si="1037"/>
        <v>22791.8</v>
      </c>
      <c r="S531" s="322">
        <f t="shared" si="1038"/>
        <v>22791.8</v>
      </c>
      <c r="T531" s="104">
        <f t="shared" si="1039"/>
        <v>22751.8</v>
      </c>
      <c r="U531" s="322">
        <f t="shared" si="1040"/>
        <v>22751.8</v>
      </c>
      <c r="V531" s="104">
        <f t="shared" si="1041"/>
        <v>22711.8</v>
      </c>
      <c r="W531" s="322">
        <f t="shared" si="1042"/>
        <v>22711.8</v>
      </c>
      <c r="X531" s="144"/>
      <c r="Y531" s="139"/>
      <c r="Z531" s="145"/>
      <c r="AA531" s="146"/>
      <c r="AB531" s="436">
        <v>600</v>
      </c>
    </row>
    <row r="532" spans="1:28" ht="12" customHeight="1" x14ac:dyDescent="0.2">
      <c r="A532" s="4"/>
      <c r="B532" s="842" t="s">
        <v>921</v>
      </c>
      <c r="C532" s="939"/>
      <c r="D532" s="939"/>
      <c r="E532" s="940"/>
      <c r="F532" s="409">
        <f>53.39*X2</f>
        <v>54190.85</v>
      </c>
      <c r="G532" s="300">
        <f t="shared" si="1021"/>
        <v>54190.85</v>
      </c>
      <c r="H532" s="103">
        <f t="shared" si="1059"/>
        <v>57190.85</v>
      </c>
      <c r="I532" s="336">
        <f t="shared" si="1060"/>
        <v>57190.85</v>
      </c>
      <c r="J532" s="103">
        <f t="shared" ref="J532" si="1061">F532+600</f>
        <v>54790.85</v>
      </c>
      <c r="K532" s="336">
        <f t="shared" ref="K532" si="1062">+J532*$X$1</f>
        <v>54790.85</v>
      </c>
      <c r="L532" s="103">
        <f t="shared" ref="L532" si="1063">F532+450</f>
        <v>54640.85</v>
      </c>
      <c r="M532" s="336">
        <f t="shared" ref="M532" si="1064">+L532*$X$1</f>
        <v>54640.85</v>
      </c>
      <c r="N532" s="103">
        <f t="shared" ref="N532" si="1065">F532+400</f>
        <v>54590.85</v>
      </c>
      <c r="O532" s="336">
        <f t="shared" ref="O532" si="1066">+N532*$X$1</f>
        <v>54590.85</v>
      </c>
      <c r="P532" s="103">
        <f t="shared" ref="P532" si="1067">F532+370</f>
        <v>54560.85</v>
      </c>
      <c r="Q532" s="336">
        <f t="shared" ref="Q532" si="1068">+P532*$X$1</f>
        <v>54560.85</v>
      </c>
      <c r="R532" s="103">
        <f t="shared" ref="R532" si="1069">F532+340</f>
        <v>54530.85</v>
      </c>
      <c r="S532" s="336">
        <f t="shared" ref="S532" si="1070">+R532*$X$1</f>
        <v>54530.85</v>
      </c>
      <c r="T532" s="103">
        <f t="shared" ref="T532" si="1071">F532+300</f>
        <v>54490.85</v>
      </c>
      <c r="U532" s="336">
        <f t="shared" ref="U532" si="1072">+T532*$X$1</f>
        <v>54490.85</v>
      </c>
      <c r="V532" s="103">
        <f t="shared" ref="V532" si="1073">F532+260</f>
        <v>54450.85</v>
      </c>
      <c r="W532" s="336">
        <f t="shared" ref="W532" si="1074">+V532*$X$1</f>
        <v>54450.85</v>
      </c>
      <c r="X532" s="144"/>
      <c r="Y532" s="139"/>
      <c r="Z532" s="145"/>
      <c r="AA532" s="146"/>
      <c r="AB532" s="436">
        <v>608</v>
      </c>
    </row>
    <row r="533" spans="1:28" ht="12" customHeight="1" x14ac:dyDescent="0.2">
      <c r="A533" s="4"/>
      <c r="B533" s="774" t="s">
        <v>772</v>
      </c>
      <c r="C533" s="775"/>
      <c r="D533" s="775"/>
      <c r="E533" s="776"/>
      <c r="F533" s="410">
        <f>43.92*X2</f>
        <v>44578.8</v>
      </c>
      <c r="G533" s="299">
        <f t="shared" ref="G533:G534" si="1075">+F533*$X$1</f>
        <v>44578.8</v>
      </c>
      <c r="H533" s="104">
        <f t="shared" ref="H533:H534" si="1076">F533+3000</f>
        <v>47578.8</v>
      </c>
      <c r="I533" s="322">
        <f t="shared" ref="I533:I534" si="1077">+H533*$X$1</f>
        <v>47578.8</v>
      </c>
      <c r="J533" s="104">
        <f t="shared" si="1029"/>
        <v>45178.8</v>
      </c>
      <c r="K533" s="322">
        <f t="shared" si="1030"/>
        <v>45178.8</v>
      </c>
      <c r="L533" s="104">
        <f t="shared" si="1031"/>
        <v>45028.800000000003</v>
      </c>
      <c r="M533" s="322">
        <f t="shared" si="1032"/>
        <v>45028.800000000003</v>
      </c>
      <c r="N533" s="104">
        <f t="shared" si="1033"/>
        <v>44978.8</v>
      </c>
      <c r="O533" s="322">
        <f t="shared" si="1034"/>
        <v>44978.8</v>
      </c>
      <c r="P533" s="104">
        <f t="shared" si="1035"/>
        <v>44948.800000000003</v>
      </c>
      <c r="Q533" s="322">
        <f t="shared" si="1036"/>
        <v>44948.800000000003</v>
      </c>
      <c r="R533" s="104">
        <f t="shared" si="1037"/>
        <v>44918.8</v>
      </c>
      <c r="S533" s="322">
        <f t="shared" si="1038"/>
        <v>44918.8</v>
      </c>
      <c r="T533" s="104">
        <f t="shared" si="1039"/>
        <v>44878.8</v>
      </c>
      <c r="U533" s="322">
        <f t="shared" si="1040"/>
        <v>44878.8</v>
      </c>
      <c r="V533" s="104">
        <f t="shared" si="1041"/>
        <v>44838.8</v>
      </c>
      <c r="W533" s="322">
        <f t="shared" si="1042"/>
        <v>44838.8</v>
      </c>
      <c r="X533" s="144"/>
      <c r="Y533" s="139"/>
      <c r="Z533" s="145"/>
      <c r="AA533" s="146"/>
      <c r="AB533" s="436">
        <v>609</v>
      </c>
    </row>
    <row r="534" spans="1:28" ht="12" customHeight="1" x14ac:dyDescent="0.2">
      <c r="A534" s="4"/>
      <c r="B534" s="760" t="s">
        <v>773</v>
      </c>
      <c r="C534" s="899"/>
      <c r="D534" s="899"/>
      <c r="E534" s="900"/>
      <c r="F534" s="409">
        <f>52.7*X2</f>
        <v>53490.5</v>
      </c>
      <c r="G534" s="300">
        <f t="shared" si="1075"/>
        <v>53490.5</v>
      </c>
      <c r="H534" s="103">
        <f t="shared" si="1076"/>
        <v>56490.5</v>
      </c>
      <c r="I534" s="336">
        <f t="shared" si="1077"/>
        <v>56490.5</v>
      </c>
      <c r="J534" s="103">
        <f t="shared" si="1029"/>
        <v>54090.5</v>
      </c>
      <c r="K534" s="336">
        <f t="shared" si="1030"/>
        <v>54090.5</v>
      </c>
      <c r="L534" s="103">
        <f t="shared" si="1031"/>
        <v>53940.5</v>
      </c>
      <c r="M534" s="336">
        <f t="shared" si="1032"/>
        <v>53940.5</v>
      </c>
      <c r="N534" s="103">
        <f t="shared" si="1033"/>
        <v>53890.5</v>
      </c>
      <c r="O534" s="336">
        <f t="shared" si="1034"/>
        <v>53890.5</v>
      </c>
      <c r="P534" s="103">
        <f t="shared" si="1035"/>
        <v>53860.5</v>
      </c>
      <c r="Q534" s="336">
        <f t="shared" si="1036"/>
        <v>53860.5</v>
      </c>
      <c r="R534" s="103">
        <f t="shared" si="1037"/>
        <v>53830.5</v>
      </c>
      <c r="S534" s="336">
        <f t="shared" si="1038"/>
        <v>53830.5</v>
      </c>
      <c r="T534" s="103">
        <f t="shared" si="1039"/>
        <v>53790.5</v>
      </c>
      <c r="U534" s="336">
        <f t="shared" si="1040"/>
        <v>53790.5</v>
      </c>
      <c r="V534" s="103">
        <f t="shared" si="1041"/>
        <v>53750.5</v>
      </c>
      <c r="W534" s="336">
        <f t="shared" si="1042"/>
        <v>53750.5</v>
      </c>
      <c r="X534" s="144"/>
      <c r="Y534" s="139"/>
      <c r="Z534" s="145"/>
      <c r="AA534" s="146"/>
      <c r="AB534" s="436">
        <v>611</v>
      </c>
    </row>
    <row r="535" spans="1:28" ht="12" customHeight="1" x14ac:dyDescent="0.2">
      <c r="A535" s="4"/>
      <c r="B535" s="774" t="s">
        <v>648</v>
      </c>
      <c r="C535" s="775"/>
      <c r="D535" s="775"/>
      <c r="E535" s="776"/>
      <c r="F535" s="410">
        <f>5.96*X2</f>
        <v>6049.4</v>
      </c>
      <c r="G535" s="299">
        <f t="shared" ref="G535" si="1078">+F535*$X$1</f>
        <v>6049.4</v>
      </c>
      <c r="H535" s="104">
        <f t="shared" ref="H535" si="1079">F535+3000</f>
        <v>9049.4</v>
      </c>
      <c r="I535" s="322">
        <f t="shared" ref="I535" si="1080">+H535*$X$1</f>
        <v>9049.4</v>
      </c>
      <c r="J535" s="104">
        <f t="shared" si="1029"/>
        <v>6649.4</v>
      </c>
      <c r="K535" s="322">
        <f t="shared" si="1030"/>
        <v>6649.4</v>
      </c>
      <c r="L535" s="104">
        <f t="shared" si="1031"/>
        <v>6499.4</v>
      </c>
      <c r="M535" s="322">
        <f t="shared" si="1032"/>
        <v>6499.4</v>
      </c>
      <c r="N535" s="104">
        <f t="shared" si="1033"/>
        <v>6449.4</v>
      </c>
      <c r="O535" s="322">
        <f t="shared" si="1034"/>
        <v>6449.4</v>
      </c>
      <c r="P535" s="104">
        <f t="shared" si="1035"/>
        <v>6419.4</v>
      </c>
      <c r="Q535" s="322">
        <f t="shared" si="1036"/>
        <v>6419.4</v>
      </c>
      <c r="R535" s="104">
        <f t="shared" si="1037"/>
        <v>6389.4</v>
      </c>
      <c r="S535" s="322">
        <f t="shared" si="1038"/>
        <v>6389.4</v>
      </c>
      <c r="T535" s="104">
        <f t="shared" si="1039"/>
        <v>6349.4</v>
      </c>
      <c r="U535" s="322">
        <f t="shared" si="1040"/>
        <v>6349.4</v>
      </c>
      <c r="V535" s="104">
        <f t="shared" si="1041"/>
        <v>6309.4</v>
      </c>
      <c r="W535" s="322">
        <f t="shared" si="1042"/>
        <v>6309.4</v>
      </c>
      <c r="X535" s="144"/>
      <c r="Y535" s="139"/>
      <c r="Z535" s="145"/>
      <c r="AA535" s="146"/>
      <c r="AB535" s="200">
        <v>642</v>
      </c>
    </row>
    <row r="536" spans="1:28" ht="12" customHeight="1" x14ac:dyDescent="0.2">
      <c r="A536" s="4"/>
      <c r="B536" s="760" t="s">
        <v>649</v>
      </c>
      <c r="C536" s="899"/>
      <c r="D536" s="899"/>
      <c r="E536" s="900"/>
      <c r="F536" s="409">
        <f>26.6*X2</f>
        <v>26999</v>
      </c>
      <c r="G536" s="300">
        <f t="shared" ref="G536" si="1081">+F536*$X$1</f>
        <v>26999</v>
      </c>
      <c r="H536" s="103">
        <f t="shared" ref="H536:H540" si="1082">F536+3000</f>
        <v>29999</v>
      </c>
      <c r="I536" s="336">
        <f t="shared" ref="I536:I540" si="1083">+H536*$X$1</f>
        <v>29999</v>
      </c>
      <c r="J536" s="103">
        <f t="shared" si="1029"/>
        <v>27599</v>
      </c>
      <c r="K536" s="336">
        <f t="shared" si="1030"/>
        <v>27599</v>
      </c>
      <c r="L536" s="103">
        <f t="shared" si="1031"/>
        <v>27449</v>
      </c>
      <c r="M536" s="336">
        <f t="shared" si="1032"/>
        <v>27449</v>
      </c>
      <c r="N536" s="103">
        <f t="shared" si="1033"/>
        <v>27399</v>
      </c>
      <c r="O536" s="336">
        <f t="shared" si="1034"/>
        <v>27399</v>
      </c>
      <c r="P536" s="103">
        <f t="shared" si="1035"/>
        <v>27369</v>
      </c>
      <c r="Q536" s="336">
        <f t="shared" si="1036"/>
        <v>27369</v>
      </c>
      <c r="R536" s="103">
        <f t="shared" si="1037"/>
        <v>27339</v>
      </c>
      <c r="S536" s="336">
        <f t="shared" si="1038"/>
        <v>27339</v>
      </c>
      <c r="T536" s="103">
        <f t="shared" si="1039"/>
        <v>27299</v>
      </c>
      <c r="U536" s="336">
        <f t="shared" si="1040"/>
        <v>27299</v>
      </c>
      <c r="V536" s="103">
        <f t="shared" si="1041"/>
        <v>27259</v>
      </c>
      <c r="W536" s="336">
        <f t="shared" si="1042"/>
        <v>27259</v>
      </c>
      <c r="X536" s="144"/>
      <c r="Y536" s="139"/>
      <c r="Z536" s="145"/>
      <c r="AA536" s="146"/>
      <c r="AB536" s="200">
        <v>643</v>
      </c>
    </row>
    <row r="537" spans="1:28" ht="12" customHeight="1" x14ac:dyDescent="0.2">
      <c r="A537" s="4"/>
      <c r="B537" s="774" t="s">
        <v>774</v>
      </c>
      <c r="C537" s="775"/>
      <c r="D537" s="775"/>
      <c r="E537" s="776"/>
      <c r="F537" s="407">
        <f>42.331*X2</f>
        <v>42965.965000000004</v>
      </c>
      <c r="G537" s="299">
        <f t="shared" si="1021"/>
        <v>42965.965000000004</v>
      </c>
      <c r="H537" s="104">
        <f t="shared" si="1082"/>
        <v>45965.965000000004</v>
      </c>
      <c r="I537" s="322">
        <f t="shared" si="1083"/>
        <v>45965.965000000004</v>
      </c>
      <c r="J537" s="104">
        <f t="shared" si="1029"/>
        <v>43565.965000000004</v>
      </c>
      <c r="K537" s="322">
        <f t="shared" si="1030"/>
        <v>43565.965000000004</v>
      </c>
      <c r="L537" s="104">
        <f t="shared" si="1031"/>
        <v>43415.965000000004</v>
      </c>
      <c r="M537" s="322">
        <f t="shared" si="1032"/>
        <v>43415.965000000004</v>
      </c>
      <c r="N537" s="104">
        <f t="shared" si="1033"/>
        <v>43365.965000000004</v>
      </c>
      <c r="O537" s="322">
        <f t="shared" si="1034"/>
        <v>43365.965000000004</v>
      </c>
      <c r="P537" s="104">
        <f t="shared" si="1035"/>
        <v>43335.965000000004</v>
      </c>
      <c r="Q537" s="322">
        <f t="shared" si="1036"/>
        <v>43335.965000000004</v>
      </c>
      <c r="R537" s="104">
        <f t="shared" si="1037"/>
        <v>43305.965000000004</v>
      </c>
      <c r="S537" s="322">
        <f t="shared" si="1038"/>
        <v>43305.965000000004</v>
      </c>
      <c r="T537" s="104">
        <f t="shared" si="1039"/>
        <v>43265.965000000004</v>
      </c>
      <c r="U537" s="322">
        <f t="shared" si="1040"/>
        <v>43265.965000000004</v>
      </c>
      <c r="V537" s="104">
        <f t="shared" si="1041"/>
        <v>43225.965000000004</v>
      </c>
      <c r="W537" s="322">
        <f t="shared" si="1042"/>
        <v>43225.965000000004</v>
      </c>
      <c r="X537" s="144"/>
      <c r="Y537" s="139"/>
      <c r="Z537" s="145"/>
      <c r="AA537" s="146"/>
      <c r="AB537" s="436">
        <v>657</v>
      </c>
    </row>
    <row r="538" spans="1:28" ht="12" customHeight="1" x14ac:dyDescent="0.2">
      <c r="A538" s="4"/>
      <c r="B538" s="760" t="s">
        <v>775</v>
      </c>
      <c r="C538" s="899"/>
      <c r="D538" s="899"/>
      <c r="E538" s="900"/>
      <c r="F538" s="408">
        <f>36.05*X2</f>
        <v>36590.75</v>
      </c>
      <c r="G538" s="300">
        <f t="shared" ref="G538:G540" si="1084">+F538*$X$1</f>
        <v>36590.75</v>
      </c>
      <c r="H538" s="103">
        <f t="shared" si="1082"/>
        <v>39590.75</v>
      </c>
      <c r="I538" s="336">
        <f t="shared" si="1083"/>
        <v>39590.75</v>
      </c>
      <c r="J538" s="103">
        <f t="shared" si="1029"/>
        <v>37190.75</v>
      </c>
      <c r="K538" s="336">
        <f t="shared" si="1030"/>
        <v>37190.75</v>
      </c>
      <c r="L538" s="103">
        <f t="shared" si="1031"/>
        <v>37040.75</v>
      </c>
      <c r="M538" s="336">
        <f t="shared" si="1032"/>
        <v>37040.75</v>
      </c>
      <c r="N538" s="103">
        <f t="shared" si="1033"/>
        <v>36990.75</v>
      </c>
      <c r="O538" s="336">
        <f t="shared" si="1034"/>
        <v>36990.75</v>
      </c>
      <c r="P538" s="103">
        <f t="shared" si="1035"/>
        <v>36960.75</v>
      </c>
      <c r="Q538" s="336">
        <f t="shared" si="1036"/>
        <v>36960.75</v>
      </c>
      <c r="R538" s="103">
        <f t="shared" si="1037"/>
        <v>36930.75</v>
      </c>
      <c r="S538" s="336">
        <f t="shared" si="1038"/>
        <v>36930.75</v>
      </c>
      <c r="T538" s="103">
        <f t="shared" si="1039"/>
        <v>36890.75</v>
      </c>
      <c r="U538" s="336">
        <f t="shared" si="1040"/>
        <v>36890.75</v>
      </c>
      <c r="V538" s="103">
        <f t="shared" si="1041"/>
        <v>36850.75</v>
      </c>
      <c r="W538" s="336">
        <f t="shared" si="1042"/>
        <v>36850.75</v>
      </c>
      <c r="X538" s="144"/>
      <c r="Y538" s="139"/>
      <c r="Z538" s="145"/>
      <c r="AA538" s="146"/>
      <c r="AB538" s="436">
        <v>658</v>
      </c>
    </row>
    <row r="539" spans="1:28" ht="12" customHeight="1" x14ac:dyDescent="0.2">
      <c r="A539" s="4"/>
      <c r="B539" s="774" t="s">
        <v>776</v>
      </c>
      <c r="C539" s="775"/>
      <c r="D539" s="775"/>
      <c r="E539" s="776"/>
      <c r="F539" s="407">
        <f>28.5*X2</f>
        <v>28927.5</v>
      </c>
      <c r="G539" s="299">
        <f t="shared" si="1084"/>
        <v>28927.5</v>
      </c>
      <c r="H539" s="104">
        <f t="shared" si="1082"/>
        <v>31927.5</v>
      </c>
      <c r="I539" s="322">
        <f t="shared" si="1083"/>
        <v>31927.5</v>
      </c>
      <c r="J539" s="104">
        <f t="shared" si="1029"/>
        <v>29527.5</v>
      </c>
      <c r="K539" s="322">
        <f t="shared" si="1030"/>
        <v>29527.5</v>
      </c>
      <c r="L539" s="104">
        <f t="shared" si="1031"/>
        <v>29377.5</v>
      </c>
      <c r="M539" s="322">
        <f t="shared" si="1032"/>
        <v>29377.5</v>
      </c>
      <c r="N539" s="104">
        <f t="shared" si="1033"/>
        <v>29327.5</v>
      </c>
      <c r="O539" s="322">
        <f t="shared" si="1034"/>
        <v>29327.5</v>
      </c>
      <c r="P539" s="104">
        <f t="shared" si="1035"/>
        <v>29297.5</v>
      </c>
      <c r="Q539" s="322">
        <f t="shared" si="1036"/>
        <v>29297.5</v>
      </c>
      <c r="R539" s="104">
        <f t="shared" si="1037"/>
        <v>29267.5</v>
      </c>
      <c r="S539" s="322">
        <f t="shared" si="1038"/>
        <v>29267.5</v>
      </c>
      <c r="T539" s="104">
        <f t="shared" si="1039"/>
        <v>29227.5</v>
      </c>
      <c r="U539" s="322">
        <f t="shared" si="1040"/>
        <v>29227.5</v>
      </c>
      <c r="V539" s="104">
        <f t="shared" si="1041"/>
        <v>29187.5</v>
      </c>
      <c r="W539" s="322">
        <f t="shared" si="1042"/>
        <v>29187.5</v>
      </c>
      <c r="X539" s="144"/>
      <c r="Y539" s="139"/>
      <c r="Z539" s="145"/>
      <c r="AA539" s="146"/>
      <c r="AB539" s="436">
        <v>659</v>
      </c>
    </row>
    <row r="540" spans="1:28" ht="12" customHeight="1" x14ac:dyDescent="0.2">
      <c r="A540" s="4"/>
      <c r="B540" s="760" t="s">
        <v>777</v>
      </c>
      <c r="C540" s="899"/>
      <c r="D540" s="899"/>
      <c r="E540" s="900"/>
      <c r="F540" s="408">
        <f>13.1*X2</f>
        <v>13296.5</v>
      </c>
      <c r="G540" s="300">
        <f t="shared" si="1084"/>
        <v>13296.5</v>
      </c>
      <c r="H540" s="103">
        <f t="shared" si="1082"/>
        <v>16296.5</v>
      </c>
      <c r="I540" s="336">
        <f t="shared" si="1083"/>
        <v>16296.5</v>
      </c>
      <c r="J540" s="103">
        <f t="shared" si="1029"/>
        <v>13896.5</v>
      </c>
      <c r="K540" s="336">
        <f t="shared" si="1030"/>
        <v>13896.5</v>
      </c>
      <c r="L540" s="103">
        <f t="shared" si="1031"/>
        <v>13746.5</v>
      </c>
      <c r="M540" s="336">
        <f t="shared" si="1032"/>
        <v>13746.5</v>
      </c>
      <c r="N540" s="103">
        <f t="shared" si="1033"/>
        <v>13696.5</v>
      </c>
      <c r="O540" s="336">
        <f t="shared" si="1034"/>
        <v>13696.5</v>
      </c>
      <c r="P540" s="103">
        <f t="shared" si="1035"/>
        <v>13666.5</v>
      </c>
      <c r="Q540" s="336">
        <f t="shared" si="1036"/>
        <v>13666.5</v>
      </c>
      <c r="R540" s="103">
        <f t="shared" si="1037"/>
        <v>13636.5</v>
      </c>
      <c r="S540" s="336">
        <f t="shared" si="1038"/>
        <v>13636.5</v>
      </c>
      <c r="T540" s="103">
        <f t="shared" si="1039"/>
        <v>13596.5</v>
      </c>
      <c r="U540" s="336">
        <f t="shared" si="1040"/>
        <v>13596.5</v>
      </c>
      <c r="V540" s="103">
        <f t="shared" si="1041"/>
        <v>13556.5</v>
      </c>
      <c r="W540" s="336">
        <f t="shared" si="1042"/>
        <v>13556.5</v>
      </c>
      <c r="X540" s="144"/>
      <c r="Y540" s="139"/>
      <c r="Z540" s="145"/>
      <c r="AA540" s="146"/>
      <c r="AB540" s="436">
        <v>660</v>
      </c>
    </row>
    <row r="541" spans="1:28" ht="12" customHeight="1" x14ac:dyDescent="0.2">
      <c r="A541" s="4"/>
      <c r="B541" s="774" t="s">
        <v>628</v>
      </c>
      <c r="C541" s="775"/>
      <c r="D541" s="775"/>
      <c r="E541" s="776"/>
      <c r="F541" s="348">
        <v>32663</v>
      </c>
      <c r="G541" s="299">
        <f t="shared" ref="G541:G547" si="1085">+F541*$X$1</f>
        <v>32663</v>
      </c>
      <c r="H541" s="104"/>
      <c r="I541" s="322"/>
      <c r="J541" s="104">
        <f t="shared" si="1029"/>
        <v>33263</v>
      </c>
      <c r="K541" s="322">
        <f t="shared" si="1030"/>
        <v>33263</v>
      </c>
      <c r="L541" s="104">
        <f t="shared" si="1031"/>
        <v>33113</v>
      </c>
      <c r="M541" s="322">
        <f t="shared" si="1032"/>
        <v>33113</v>
      </c>
      <c r="N541" s="104">
        <f t="shared" si="1033"/>
        <v>33063</v>
      </c>
      <c r="O541" s="322">
        <f t="shared" si="1034"/>
        <v>33063</v>
      </c>
      <c r="P541" s="104">
        <f t="shared" si="1035"/>
        <v>33033</v>
      </c>
      <c r="Q541" s="322">
        <f t="shared" si="1036"/>
        <v>33033</v>
      </c>
      <c r="R541" s="104">
        <f t="shared" si="1037"/>
        <v>33003</v>
      </c>
      <c r="S541" s="322">
        <f t="shared" si="1038"/>
        <v>33003</v>
      </c>
      <c r="T541" s="104">
        <f t="shared" si="1039"/>
        <v>32963</v>
      </c>
      <c r="U541" s="322">
        <f t="shared" si="1040"/>
        <v>32963</v>
      </c>
      <c r="V541" s="104">
        <f t="shared" si="1041"/>
        <v>32923</v>
      </c>
      <c r="W541" s="322">
        <f t="shared" si="1042"/>
        <v>32923</v>
      </c>
      <c r="X541" s="144"/>
      <c r="Y541" s="139"/>
      <c r="Z541" s="145"/>
      <c r="AA541" s="146"/>
      <c r="AB541" s="436">
        <v>664</v>
      </c>
    </row>
    <row r="542" spans="1:28" ht="12" customHeight="1" x14ac:dyDescent="0.2">
      <c r="A542" s="4"/>
      <c r="B542" s="760" t="s">
        <v>800</v>
      </c>
      <c r="C542" s="899"/>
      <c r="D542" s="899"/>
      <c r="E542" s="900"/>
      <c r="F542" s="408">
        <f>18.36*X2</f>
        <v>18635.399999999998</v>
      </c>
      <c r="G542" s="300">
        <f t="shared" si="1085"/>
        <v>18635.399999999998</v>
      </c>
      <c r="H542" s="103">
        <f t="shared" ref="H542" si="1086">F542+3000</f>
        <v>21635.399999999998</v>
      </c>
      <c r="I542" s="336">
        <f t="shared" ref="I542" si="1087">+H542*$X$1</f>
        <v>21635.399999999998</v>
      </c>
      <c r="J542" s="103">
        <f t="shared" si="1029"/>
        <v>19235.399999999998</v>
      </c>
      <c r="K542" s="336">
        <f t="shared" si="1030"/>
        <v>19235.399999999998</v>
      </c>
      <c r="L542" s="103">
        <f t="shared" si="1031"/>
        <v>19085.399999999998</v>
      </c>
      <c r="M542" s="336">
        <f t="shared" si="1032"/>
        <v>19085.399999999998</v>
      </c>
      <c r="N542" s="103">
        <f t="shared" si="1033"/>
        <v>19035.399999999998</v>
      </c>
      <c r="O542" s="336">
        <f t="shared" si="1034"/>
        <v>19035.399999999998</v>
      </c>
      <c r="P542" s="103"/>
      <c r="Q542" s="336"/>
      <c r="R542" s="103"/>
      <c r="S542" s="336"/>
      <c r="T542" s="103"/>
      <c r="U542" s="336"/>
      <c r="V542" s="103"/>
      <c r="W542" s="336"/>
      <c r="X542" s="144"/>
      <c r="Y542" s="139"/>
      <c r="Z542" s="145"/>
      <c r="AA542" s="146"/>
      <c r="AB542" s="436">
        <v>667</v>
      </c>
    </row>
    <row r="543" spans="1:28" ht="12" customHeight="1" x14ac:dyDescent="0.2">
      <c r="A543" s="4"/>
      <c r="B543" s="774" t="s">
        <v>799</v>
      </c>
      <c r="C543" s="775"/>
      <c r="D543" s="775"/>
      <c r="E543" s="776"/>
      <c r="F543" s="407">
        <f>14.99*X2</f>
        <v>15214.85</v>
      </c>
      <c r="G543" s="299">
        <f t="shared" ref="G543:G544" si="1088">+F543*$X$1</f>
        <v>15214.85</v>
      </c>
      <c r="H543" s="104">
        <f t="shared" ref="H543:H556" si="1089">F543+3000</f>
        <v>18214.849999999999</v>
      </c>
      <c r="I543" s="322">
        <f t="shared" ref="I543:I556" si="1090">+H543*$X$1</f>
        <v>18214.849999999999</v>
      </c>
      <c r="J543" s="104">
        <f t="shared" si="1029"/>
        <v>15814.85</v>
      </c>
      <c r="K543" s="322">
        <f t="shared" si="1030"/>
        <v>15814.85</v>
      </c>
      <c r="L543" s="104">
        <f t="shared" si="1031"/>
        <v>15664.85</v>
      </c>
      <c r="M543" s="322">
        <f t="shared" si="1032"/>
        <v>15664.85</v>
      </c>
      <c r="N543" s="104">
        <f t="shared" si="1033"/>
        <v>15614.85</v>
      </c>
      <c r="O543" s="322">
        <f t="shared" si="1034"/>
        <v>15614.85</v>
      </c>
      <c r="P543" s="104">
        <f t="shared" si="1035"/>
        <v>15584.85</v>
      </c>
      <c r="Q543" s="322">
        <f t="shared" si="1036"/>
        <v>15584.85</v>
      </c>
      <c r="R543" s="104">
        <f t="shared" si="1037"/>
        <v>15554.85</v>
      </c>
      <c r="S543" s="322">
        <f t="shared" si="1038"/>
        <v>15554.85</v>
      </c>
      <c r="T543" s="104">
        <f t="shared" si="1039"/>
        <v>15514.85</v>
      </c>
      <c r="U543" s="322">
        <f t="shared" si="1040"/>
        <v>15514.85</v>
      </c>
      <c r="V543" s="104">
        <f t="shared" si="1041"/>
        <v>15474.85</v>
      </c>
      <c r="W543" s="322">
        <f t="shared" si="1042"/>
        <v>15474.85</v>
      </c>
      <c r="X543" s="144"/>
      <c r="Y543" s="139"/>
      <c r="Z543" s="145"/>
      <c r="AA543" s="146"/>
      <c r="AB543" s="436">
        <v>668</v>
      </c>
    </row>
    <row r="544" spans="1:28" ht="12" customHeight="1" x14ac:dyDescent="0.2">
      <c r="A544" s="4"/>
      <c r="B544" s="760" t="s">
        <v>885</v>
      </c>
      <c r="C544" s="899"/>
      <c r="D544" s="899"/>
      <c r="E544" s="900"/>
      <c r="F544" s="408">
        <f>15.28*X2</f>
        <v>15509.199999999999</v>
      </c>
      <c r="G544" s="300">
        <f t="shared" si="1088"/>
        <v>15509.199999999999</v>
      </c>
      <c r="H544" s="103">
        <f t="shared" si="1089"/>
        <v>18509.199999999997</v>
      </c>
      <c r="I544" s="336">
        <f t="shared" si="1090"/>
        <v>18509.199999999997</v>
      </c>
      <c r="J544" s="103">
        <f t="shared" si="1029"/>
        <v>16109.199999999999</v>
      </c>
      <c r="K544" s="336">
        <f t="shared" si="1030"/>
        <v>16109.199999999999</v>
      </c>
      <c r="L544" s="103">
        <f t="shared" si="1031"/>
        <v>15959.199999999999</v>
      </c>
      <c r="M544" s="336">
        <f t="shared" si="1032"/>
        <v>15959.199999999999</v>
      </c>
      <c r="N544" s="103">
        <f t="shared" si="1033"/>
        <v>15909.199999999999</v>
      </c>
      <c r="O544" s="336">
        <f t="shared" si="1034"/>
        <v>15909.199999999999</v>
      </c>
      <c r="P544" s="103">
        <f t="shared" si="1035"/>
        <v>15879.199999999999</v>
      </c>
      <c r="Q544" s="336">
        <f t="shared" si="1036"/>
        <v>15879.199999999999</v>
      </c>
      <c r="R544" s="103">
        <f t="shared" si="1037"/>
        <v>15849.199999999999</v>
      </c>
      <c r="S544" s="336">
        <f t="shared" si="1038"/>
        <v>15849.199999999999</v>
      </c>
      <c r="T544" s="103">
        <f t="shared" si="1039"/>
        <v>15809.199999999999</v>
      </c>
      <c r="U544" s="336">
        <f t="shared" si="1040"/>
        <v>15809.199999999999</v>
      </c>
      <c r="V544" s="103">
        <f t="shared" si="1041"/>
        <v>15769.199999999999</v>
      </c>
      <c r="W544" s="336">
        <f t="shared" si="1042"/>
        <v>15769.199999999999</v>
      </c>
      <c r="X544" s="144"/>
      <c r="Y544" s="139"/>
      <c r="Z544" s="145"/>
      <c r="AA544" s="146"/>
      <c r="AB544" s="200">
        <v>675</v>
      </c>
    </row>
    <row r="545" spans="1:28" ht="12" customHeight="1" x14ac:dyDescent="0.2">
      <c r="A545" s="4"/>
      <c r="B545" s="774" t="s">
        <v>546</v>
      </c>
      <c r="C545" s="775"/>
      <c r="D545" s="775"/>
      <c r="E545" s="776"/>
      <c r="F545" s="407">
        <f>10.4*X2</f>
        <v>10556</v>
      </c>
      <c r="G545" s="299">
        <f t="shared" si="1085"/>
        <v>10556</v>
      </c>
      <c r="H545" s="104">
        <f t="shared" si="1089"/>
        <v>13556</v>
      </c>
      <c r="I545" s="322">
        <f t="shared" si="1090"/>
        <v>13556</v>
      </c>
      <c r="J545" s="104">
        <f t="shared" si="1029"/>
        <v>11156</v>
      </c>
      <c r="K545" s="322">
        <f t="shared" si="1030"/>
        <v>11156</v>
      </c>
      <c r="L545" s="104">
        <f t="shared" si="1031"/>
        <v>11006</v>
      </c>
      <c r="M545" s="322">
        <f t="shared" si="1032"/>
        <v>11006</v>
      </c>
      <c r="N545" s="104">
        <f t="shared" si="1033"/>
        <v>10956</v>
      </c>
      <c r="O545" s="322">
        <f t="shared" si="1034"/>
        <v>10956</v>
      </c>
      <c r="P545" s="104">
        <f t="shared" si="1035"/>
        <v>10926</v>
      </c>
      <c r="Q545" s="322">
        <f t="shared" si="1036"/>
        <v>10926</v>
      </c>
      <c r="R545" s="104">
        <f t="shared" si="1037"/>
        <v>10896</v>
      </c>
      <c r="S545" s="322">
        <f t="shared" si="1038"/>
        <v>10896</v>
      </c>
      <c r="T545" s="104">
        <f t="shared" si="1039"/>
        <v>10856</v>
      </c>
      <c r="U545" s="322">
        <f t="shared" si="1040"/>
        <v>10856</v>
      </c>
      <c r="V545" s="104">
        <f t="shared" si="1041"/>
        <v>10816</v>
      </c>
      <c r="W545" s="322">
        <f t="shared" si="1042"/>
        <v>10816</v>
      </c>
      <c r="X545" s="144"/>
      <c r="Y545" s="139"/>
      <c r="Z545" s="145"/>
      <c r="AA545" s="146"/>
      <c r="AB545" s="200">
        <v>686</v>
      </c>
    </row>
    <row r="546" spans="1:28" ht="12" customHeight="1" x14ac:dyDescent="0.2">
      <c r="A546" s="4"/>
      <c r="B546" s="760" t="s">
        <v>586</v>
      </c>
      <c r="C546" s="899"/>
      <c r="D546" s="899"/>
      <c r="E546" s="900"/>
      <c r="F546" s="409">
        <f>32*X2</f>
        <v>32480</v>
      </c>
      <c r="G546" s="300">
        <f t="shared" si="1085"/>
        <v>32480</v>
      </c>
      <c r="H546" s="103">
        <f t="shared" si="1089"/>
        <v>35480</v>
      </c>
      <c r="I546" s="336">
        <f t="shared" si="1090"/>
        <v>35480</v>
      </c>
      <c r="J546" s="103">
        <f t="shared" si="1029"/>
        <v>33080</v>
      </c>
      <c r="K546" s="336">
        <f t="shared" si="1030"/>
        <v>33080</v>
      </c>
      <c r="L546" s="103">
        <f t="shared" si="1031"/>
        <v>32930</v>
      </c>
      <c r="M546" s="336">
        <f t="shared" si="1032"/>
        <v>32930</v>
      </c>
      <c r="N546" s="103">
        <f t="shared" si="1033"/>
        <v>32880</v>
      </c>
      <c r="O546" s="336">
        <f t="shared" si="1034"/>
        <v>32880</v>
      </c>
      <c r="P546" s="103">
        <f t="shared" si="1035"/>
        <v>32850</v>
      </c>
      <c r="Q546" s="336">
        <f t="shared" si="1036"/>
        <v>32850</v>
      </c>
      <c r="R546" s="103">
        <f t="shared" si="1037"/>
        <v>32820</v>
      </c>
      <c r="S546" s="336">
        <f t="shared" si="1038"/>
        <v>32820</v>
      </c>
      <c r="T546" s="103">
        <f t="shared" si="1039"/>
        <v>32780</v>
      </c>
      <c r="U546" s="336">
        <f t="shared" si="1040"/>
        <v>32780</v>
      </c>
      <c r="V546" s="103">
        <f t="shared" si="1041"/>
        <v>32740</v>
      </c>
      <c r="W546" s="336">
        <f t="shared" si="1042"/>
        <v>32740</v>
      </c>
      <c r="X546" s="144"/>
      <c r="Y546" s="139"/>
      <c r="Z546" s="145"/>
      <c r="AA546" s="146"/>
      <c r="AB546" s="436">
        <v>687</v>
      </c>
    </row>
    <row r="547" spans="1:28" ht="12" customHeight="1" x14ac:dyDescent="0.2">
      <c r="A547" s="4"/>
      <c r="B547" s="774" t="s">
        <v>778</v>
      </c>
      <c r="C547" s="775"/>
      <c r="D547" s="775"/>
      <c r="E547" s="776"/>
      <c r="F547" s="410">
        <f>17.8*X2</f>
        <v>18067</v>
      </c>
      <c r="G547" s="299">
        <f t="shared" si="1085"/>
        <v>18067</v>
      </c>
      <c r="H547" s="104">
        <f t="shared" si="1089"/>
        <v>21067</v>
      </c>
      <c r="I547" s="322">
        <f t="shared" si="1090"/>
        <v>21067</v>
      </c>
      <c r="J547" s="104">
        <f t="shared" si="1029"/>
        <v>18667</v>
      </c>
      <c r="K547" s="322">
        <f t="shared" si="1030"/>
        <v>18667</v>
      </c>
      <c r="L547" s="104">
        <f t="shared" si="1031"/>
        <v>18517</v>
      </c>
      <c r="M547" s="322">
        <f t="shared" si="1032"/>
        <v>18517</v>
      </c>
      <c r="N547" s="104">
        <f t="shared" si="1033"/>
        <v>18467</v>
      </c>
      <c r="O547" s="322">
        <f t="shared" si="1034"/>
        <v>18467</v>
      </c>
      <c r="P547" s="104">
        <f t="shared" si="1035"/>
        <v>18437</v>
      </c>
      <c r="Q547" s="322">
        <f t="shared" si="1036"/>
        <v>18437</v>
      </c>
      <c r="R547" s="104">
        <f t="shared" si="1037"/>
        <v>18407</v>
      </c>
      <c r="S547" s="322">
        <f t="shared" si="1038"/>
        <v>18407</v>
      </c>
      <c r="T547" s="104">
        <f t="shared" si="1039"/>
        <v>18367</v>
      </c>
      <c r="U547" s="322">
        <f t="shared" si="1040"/>
        <v>18367</v>
      </c>
      <c r="V547" s="104">
        <f t="shared" si="1041"/>
        <v>18327</v>
      </c>
      <c r="W547" s="322">
        <f t="shared" si="1042"/>
        <v>18327</v>
      </c>
      <c r="X547" s="144"/>
      <c r="Y547" s="139"/>
      <c r="Z547" s="145"/>
      <c r="AA547" s="146"/>
      <c r="AB547" s="436">
        <v>694</v>
      </c>
    </row>
    <row r="548" spans="1:28" ht="12" customHeight="1" x14ac:dyDescent="0.2">
      <c r="A548" s="4"/>
      <c r="B548" s="760" t="s">
        <v>779</v>
      </c>
      <c r="C548" s="899"/>
      <c r="D548" s="899"/>
      <c r="E548" s="900"/>
      <c r="F548" s="408">
        <f>37.5*X2</f>
        <v>38062.5</v>
      </c>
      <c r="G548" s="300">
        <f t="shared" ref="G548" si="1091">+F548*$X$1</f>
        <v>38062.5</v>
      </c>
      <c r="H548" s="103">
        <f t="shared" si="1089"/>
        <v>41062.5</v>
      </c>
      <c r="I548" s="336">
        <f t="shared" si="1090"/>
        <v>41062.5</v>
      </c>
      <c r="J548" s="103">
        <f t="shared" si="1029"/>
        <v>38662.5</v>
      </c>
      <c r="K548" s="336">
        <f t="shared" si="1030"/>
        <v>38662.5</v>
      </c>
      <c r="L548" s="103">
        <f t="shared" si="1031"/>
        <v>38512.5</v>
      </c>
      <c r="M548" s="336">
        <f t="shared" si="1032"/>
        <v>38512.5</v>
      </c>
      <c r="N548" s="103">
        <f t="shared" si="1033"/>
        <v>38462.5</v>
      </c>
      <c r="O548" s="336">
        <f t="shared" si="1034"/>
        <v>38462.5</v>
      </c>
      <c r="P548" s="103">
        <f t="shared" si="1035"/>
        <v>38432.5</v>
      </c>
      <c r="Q548" s="336">
        <f t="shared" si="1036"/>
        <v>38432.5</v>
      </c>
      <c r="R548" s="103">
        <f t="shared" si="1037"/>
        <v>38402.5</v>
      </c>
      <c r="S548" s="336">
        <f t="shared" si="1038"/>
        <v>38402.5</v>
      </c>
      <c r="T548" s="103">
        <f t="shared" si="1039"/>
        <v>38362.5</v>
      </c>
      <c r="U548" s="336">
        <f t="shared" si="1040"/>
        <v>38362.5</v>
      </c>
      <c r="V548" s="103">
        <f t="shared" si="1041"/>
        <v>38322.5</v>
      </c>
      <c r="W548" s="336">
        <f t="shared" si="1042"/>
        <v>38322.5</v>
      </c>
      <c r="X548" s="144"/>
      <c r="Y548" s="139"/>
      <c r="Z548" s="145"/>
      <c r="AA548" s="146"/>
      <c r="AB548" s="436">
        <v>698</v>
      </c>
    </row>
    <row r="549" spans="1:28" ht="12" customHeight="1" x14ac:dyDescent="0.2">
      <c r="A549" s="4"/>
      <c r="B549" s="774" t="s">
        <v>621</v>
      </c>
      <c r="C549" s="775"/>
      <c r="D549" s="775"/>
      <c r="E549" s="776"/>
      <c r="F549" s="407">
        <f>54*X2</f>
        <v>54810</v>
      </c>
      <c r="G549" s="299">
        <f>+F549*$X$1</f>
        <v>54810</v>
      </c>
      <c r="H549" s="104">
        <f t="shared" si="1089"/>
        <v>57810</v>
      </c>
      <c r="I549" s="322">
        <f t="shared" si="1090"/>
        <v>57810</v>
      </c>
      <c r="J549" s="104">
        <f t="shared" si="1029"/>
        <v>55410</v>
      </c>
      <c r="K549" s="322">
        <f t="shared" si="1030"/>
        <v>55410</v>
      </c>
      <c r="L549" s="104">
        <f t="shared" si="1031"/>
        <v>55260</v>
      </c>
      <c r="M549" s="322">
        <f t="shared" si="1032"/>
        <v>55260</v>
      </c>
      <c r="N549" s="104">
        <f t="shared" si="1033"/>
        <v>55210</v>
      </c>
      <c r="O549" s="322">
        <f t="shared" si="1034"/>
        <v>55210</v>
      </c>
      <c r="P549" s="104">
        <f t="shared" si="1035"/>
        <v>55180</v>
      </c>
      <c r="Q549" s="322">
        <f t="shared" si="1036"/>
        <v>55180</v>
      </c>
      <c r="R549" s="104">
        <f t="shared" si="1037"/>
        <v>55150</v>
      </c>
      <c r="S549" s="322">
        <f t="shared" si="1038"/>
        <v>55150</v>
      </c>
      <c r="T549" s="104">
        <f t="shared" si="1039"/>
        <v>55110</v>
      </c>
      <c r="U549" s="322">
        <f t="shared" si="1040"/>
        <v>55110</v>
      </c>
      <c r="V549" s="104">
        <f t="shared" si="1041"/>
        <v>55070</v>
      </c>
      <c r="W549" s="322">
        <f t="shared" si="1042"/>
        <v>55070</v>
      </c>
      <c r="X549" s="144"/>
      <c r="Y549" s="139"/>
      <c r="Z549" s="145"/>
      <c r="AA549" s="146"/>
      <c r="AB549" s="436">
        <v>710</v>
      </c>
    </row>
    <row r="550" spans="1:28" ht="12" customHeight="1" x14ac:dyDescent="0.2">
      <c r="A550" s="4"/>
      <c r="B550" s="760" t="s">
        <v>593</v>
      </c>
      <c r="C550" s="899"/>
      <c r="D550" s="899"/>
      <c r="E550" s="900"/>
      <c r="F550" s="408">
        <f>62.42*X2</f>
        <v>63356.3</v>
      </c>
      <c r="G550" s="300">
        <f t="shared" ref="G550" si="1092">+F550*$X$1</f>
        <v>63356.3</v>
      </c>
      <c r="H550" s="103">
        <f t="shared" si="1089"/>
        <v>66356.3</v>
      </c>
      <c r="I550" s="336">
        <f t="shared" si="1090"/>
        <v>66356.3</v>
      </c>
      <c r="J550" s="103">
        <f t="shared" si="1029"/>
        <v>63956.3</v>
      </c>
      <c r="K550" s="336">
        <f t="shared" si="1030"/>
        <v>63956.3</v>
      </c>
      <c r="L550" s="103">
        <f t="shared" si="1031"/>
        <v>63806.3</v>
      </c>
      <c r="M550" s="336">
        <f t="shared" si="1032"/>
        <v>63806.3</v>
      </c>
      <c r="N550" s="103">
        <f t="shared" si="1033"/>
        <v>63756.3</v>
      </c>
      <c r="O550" s="336">
        <f t="shared" si="1034"/>
        <v>63756.3</v>
      </c>
      <c r="P550" s="103">
        <f t="shared" si="1035"/>
        <v>63726.3</v>
      </c>
      <c r="Q550" s="336">
        <f t="shared" si="1036"/>
        <v>63726.3</v>
      </c>
      <c r="R550" s="103">
        <f t="shared" si="1037"/>
        <v>63696.3</v>
      </c>
      <c r="S550" s="336">
        <f t="shared" si="1038"/>
        <v>63696.3</v>
      </c>
      <c r="T550" s="103">
        <f t="shared" si="1039"/>
        <v>63656.3</v>
      </c>
      <c r="U550" s="336">
        <f t="shared" si="1040"/>
        <v>63656.3</v>
      </c>
      <c r="V550" s="103">
        <f t="shared" si="1041"/>
        <v>63616.3</v>
      </c>
      <c r="W550" s="336">
        <f t="shared" si="1042"/>
        <v>63616.3</v>
      </c>
      <c r="X550" s="144"/>
      <c r="Y550" s="139"/>
      <c r="Z550" s="145"/>
      <c r="AA550" s="146"/>
      <c r="AB550" s="436">
        <v>711</v>
      </c>
    </row>
    <row r="551" spans="1:28" ht="12" customHeight="1" x14ac:dyDescent="0.2">
      <c r="A551" s="4"/>
      <c r="B551" s="774" t="s">
        <v>624</v>
      </c>
      <c r="C551" s="775"/>
      <c r="D551" s="775"/>
      <c r="E551" s="776"/>
      <c r="F551" s="407">
        <f>59.1*X2</f>
        <v>59986.5</v>
      </c>
      <c r="G551" s="299">
        <f t="shared" ref="G551" si="1093">+F551*$X$1</f>
        <v>59986.5</v>
      </c>
      <c r="H551" s="104">
        <f t="shared" si="1089"/>
        <v>62986.5</v>
      </c>
      <c r="I551" s="322">
        <f t="shared" si="1090"/>
        <v>62986.5</v>
      </c>
      <c r="J551" s="104">
        <f t="shared" si="1029"/>
        <v>60586.5</v>
      </c>
      <c r="K551" s="322">
        <f t="shared" si="1030"/>
        <v>60586.5</v>
      </c>
      <c r="L551" s="104">
        <f t="shared" si="1031"/>
        <v>60436.5</v>
      </c>
      <c r="M551" s="322">
        <f t="shared" si="1032"/>
        <v>60436.5</v>
      </c>
      <c r="N551" s="104">
        <f t="shared" si="1033"/>
        <v>60386.5</v>
      </c>
      <c r="O551" s="322">
        <f t="shared" si="1034"/>
        <v>60386.5</v>
      </c>
      <c r="P551" s="104">
        <f t="shared" si="1035"/>
        <v>60356.5</v>
      </c>
      <c r="Q551" s="322">
        <f t="shared" si="1036"/>
        <v>60356.5</v>
      </c>
      <c r="R551" s="104">
        <f t="shared" si="1037"/>
        <v>60326.5</v>
      </c>
      <c r="S551" s="322">
        <f t="shared" si="1038"/>
        <v>60326.5</v>
      </c>
      <c r="T551" s="104">
        <f t="shared" si="1039"/>
        <v>60286.5</v>
      </c>
      <c r="U551" s="322">
        <f t="shared" si="1040"/>
        <v>60286.5</v>
      </c>
      <c r="V551" s="104">
        <f t="shared" si="1041"/>
        <v>60246.5</v>
      </c>
      <c r="W551" s="322">
        <f t="shared" si="1042"/>
        <v>60246.5</v>
      </c>
      <c r="X551" s="144"/>
      <c r="Y551" s="139"/>
      <c r="Z551" s="145"/>
      <c r="AA551" s="146"/>
      <c r="AB551" s="436">
        <v>714</v>
      </c>
    </row>
    <row r="552" spans="1:28" ht="12" customHeight="1" x14ac:dyDescent="0.2">
      <c r="A552" s="4"/>
      <c r="B552" s="842" t="s">
        <v>764</v>
      </c>
      <c r="C552" s="939"/>
      <c r="D552" s="939"/>
      <c r="E552" s="940"/>
      <c r="F552" s="408">
        <f>14.5*X2</f>
        <v>14717.5</v>
      </c>
      <c r="G552" s="300">
        <f t="shared" ref="G552" si="1094">+F552*$X$1</f>
        <v>14717.5</v>
      </c>
      <c r="H552" s="103">
        <f t="shared" si="1089"/>
        <v>17717.5</v>
      </c>
      <c r="I552" s="336">
        <f t="shared" si="1090"/>
        <v>17717.5</v>
      </c>
      <c r="J552" s="103">
        <f t="shared" si="1029"/>
        <v>15317.5</v>
      </c>
      <c r="K552" s="336">
        <f t="shared" si="1030"/>
        <v>15317.5</v>
      </c>
      <c r="L552" s="103">
        <f t="shared" si="1031"/>
        <v>15167.5</v>
      </c>
      <c r="M552" s="336">
        <f t="shared" si="1032"/>
        <v>15167.5</v>
      </c>
      <c r="N552" s="103">
        <f t="shared" si="1033"/>
        <v>15117.5</v>
      </c>
      <c r="O552" s="336">
        <f t="shared" si="1034"/>
        <v>15117.5</v>
      </c>
      <c r="P552" s="103">
        <f t="shared" si="1035"/>
        <v>15087.5</v>
      </c>
      <c r="Q552" s="336">
        <f t="shared" si="1036"/>
        <v>15087.5</v>
      </c>
      <c r="R552" s="103">
        <f t="shared" si="1037"/>
        <v>15057.5</v>
      </c>
      <c r="S552" s="336">
        <f t="shared" si="1038"/>
        <v>15057.5</v>
      </c>
      <c r="T552" s="103">
        <f t="shared" si="1039"/>
        <v>15017.5</v>
      </c>
      <c r="U552" s="336">
        <f t="shared" si="1040"/>
        <v>15017.5</v>
      </c>
      <c r="V552" s="103">
        <f t="shared" si="1041"/>
        <v>14977.5</v>
      </c>
      <c r="W552" s="336">
        <f t="shared" si="1042"/>
        <v>14977.5</v>
      </c>
      <c r="X552" s="144"/>
      <c r="Y552" s="139"/>
      <c r="Z552" s="145"/>
      <c r="AA552" s="146"/>
      <c r="AB552" s="436">
        <v>716</v>
      </c>
    </row>
    <row r="553" spans="1:28" ht="12" customHeight="1" x14ac:dyDescent="0.2">
      <c r="A553" s="4"/>
      <c r="B553" s="842" t="s">
        <v>766</v>
      </c>
      <c r="C553" s="939"/>
      <c r="D553" s="939"/>
      <c r="E553" s="940"/>
      <c r="F553" s="407">
        <f>83.8*X2</f>
        <v>85057</v>
      </c>
      <c r="G553" s="299">
        <f t="shared" ref="G553" si="1095">+F553*$X$1</f>
        <v>85057</v>
      </c>
      <c r="H553" s="104">
        <f t="shared" si="1089"/>
        <v>88057</v>
      </c>
      <c r="I553" s="322">
        <f t="shared" si="1090"/>
        <v>88057</v>
      </c>
      <c r="J553" s="104">
        <f t="shared" si="1029"/>
        <v>85657</v>
      </c>
      <c r="K553" s="322">
        <f t="shared" si="1030"/>
        <v>85657</v>
      </c>
      <c r="L553" s="104">
        <f t="shared" si="1031"/>
        <v>85507</v>
      </c>
      <c r="M553" s="322">
        <f t="shared" si="1032"/>
        <v>85507</v>
      </c>
      <c r="N553" s="104">
        <f t="shared" si="1033"/>
        <v>85457</v>
      </c>
      <c r="O553" s="322">
        <f t="shared" si="1034"/>
        <v>85457</v>
      </c>
      <c r="P553" s="104">
        <f t="shared" si="1035"/>
        <v>85427</v>
      </c>
      <c r="Q553" s="322">
        <f t="shared" si="1036"/>
        <v>85427</v>
      </c>
      <c r="R553" s="104">
        <f t="shared" si="1037"/>
        <v>85397</v>
      </c>
      <c r="S553" s="322">
        <f t="shared" si="1038"/>
        <v>85397</v>
      </c>
      <c r="T553" s="104">
        <f t="shared" si="1039"/>
        <v>85357</v>
      </c>
      <c r="U553" s="322">
        <f t="shared" si="1040"/>
        <v>85357</v>
      </c>
      <c r="V553" s="104">
        <f t="shared" si="1041"/>
        <v>85317</v>
      </c>
      <c r="W553" s="322">
        <f t="shared" si="1042"/>
        <v>85317</v>
      </c>
      <c r="X553" s="144"/>
      <c r="Y553" s="139"/>
      <c r="Z553" s="145"/>
      <c r="AA553" s="146"/>
      <c r="AB553" s="436">
        <v>717</v>
      </c>
    </row>
    <row r="554" spans="1:28" ht="12" customHeight="1" x14ac:dyDescent="0.2">
      <c r="A554" s="4"/>
      <c r="B554" s="842" t="s">
        <v>765</v>
      </c>
      <c r="C554" s="939"/>
      <c r="D554" s="939"/>
      <c r="E554" s="940"/>
      <c r="F554" s="408">
        <f>101*X2</f>
        <v>102515</v>
      </c>
      <c r="G554" s="300">
        <f t="shared" ref="G554" si="1096">+F554*$X$1</f>
        <v>102515</v>
      </c>
      <c r="H554" s="103">
        <f t="shared" si="1089"/>
        <v>105515</v>
      </c>
      <c r="I554" s="336">
        <f t="shared" si="1090"/>
        <v>105515</v>
      </c>
      <c r="J554" s="103">
        <f t="shared" si="1029"/>
        <v>103115</v>
      </c>
      <c r="K554" s="336">
        <f t="shared" si="1030"/>
        <v>103115</v>
      </c>
      <c r="L554" s="103">
        <f t="shared" si="1031"/>
        <v>102965</v>
      </c>
      <c r="M554" s="336">
        <f t="shared" si="1032"/>
        <v>102965</v>
      </c>
      <c r="N554" s="103">
        <f t="shared" si="1033"/>
        <v>102915</v>
      </c>
      <c r="O554" s="336">
        <f t="shared" si="1034"/>
        <v>102915</v>
      </c>
      <c r="P554" s="103">
        <f t="shared" si="1035"/>
        <v>102885</v>
      </c>
      <c r="Q554" s="336">
        <f t="shared" si="1036"/>
        <v>102885</v>
      </c>
      <c r="R554" s="103">
        <f t="shared" si="1037"/>
        <v>102855</v>
      </c>
      <c r="S554" s="336">
        <f t="shared" si="1038"/>
        <v>102855</v>
      </c>
      <c r="T554" s="103">
        <f t="shared" si="1039"/>
        <v>102815</v>
      </c>
      <c r="U554" s="336">
        <f t="shared" si="1040"/>
        <v>102815</v>
      </c>
      <c r="V554" s="103">
        <f t="shared" si="1041"/>
        <v>102775</v>
      </c>
      <c r="W554" s="336">
        <f t="shared" si="1042"/>
        <v>102775</v>
      </c>
      <c r="X554" s="144"/>
      <c r="Y554" s="139"/>
      <c r="Z554" s="145"/>
      <c r="AA554" s="146"/>
      <c r="AB554" s="436">
        <v>718</v>
      </c>
    </row>
    <row r="555" spans="1:28" ht="12" customHeight="1" x14ac:dyDescent="0.2">
      <c r="A555" s="4"/>
      <c r="B555" s="842" t="s">
        <v>887</v>
      </c>
      <c r="C555" s="939"/>
      <c r="D555" s="939"/>
      <c r="E555" s="940"/>
      <c r="F555" s="407">
        <f>33.13*X2</f>
        <v>33626.950000000004</v>
      </c>
      <c r="G555" s="299">
        <f t="shared" ref="G555" si="1097">+F555*$X$1</f>
        <v>33626.950000000004</v>
      </c>
      <c r="H555" s="104">
        <f t="shared" ref="H555" si="1098">F555+3000</f>
        <v>36626.950000000004</v>
      </c>
      <c r="I555" s="322">
        <f t="shared" ref="I555" si="1099">+H555*$X$1</f>
        <v>36626.950000000004</v>
      </c>
      <c r="J555" s="104">
        <f t="shared" ref="J555" si="1100">F555+600</f>
        <v>34226.950000000004</v>
      </c>
      <c r="K555" s="322">
        <f t="shared" ref="K555" si="1101">+J555*$X$1</f>
        <v>34226.950000000004</v>
      </c>
      <c r="L555" s="104">
        <f t="shared" ref="L555" si="1102">F555+450</f>
        <v>34076.950000000004</v>
      </c>
      <c r="M555" s="322">
        <f t="shared" ref="M555" si="1103">+L555*$X$1</f>
        <v>34076.950000000004</v>
      </c>
      <c r="N555" s="104">
        <f t="shared" ref="N555" si="1104">F555+400</f>
        <v>34026.950000000004</v>
      </c>
      <c r="O555" s="322">
        <f t="shared" ref="O555" si="1105">+N555*$X$1</f>
        <v>34026.950000000004</v>
      </c>
      <c r="P555" s="104">
        <f t="shared" ref="P555" si="1106">F555+370</f>
        <v>33996.950000000004</v>
      </c>
      <c r="Q555" s="322">
        <f t="shared" ref="Q555" si="1107">+P555*$X$1</f>
        <v>33996.950000000004</v>
      </c>
      <c r="R555" s="104">
        <f t="shared" ref="R555" si="1108">F555+340</f>
        <v>33966.950000000004</v>
      </c>
      <c r="S555" s="322">
        <f t="shared" ref="S555" si="1109">+R555*$X$1</f>
        <v>33966.950000000004</v>
      </c>
      <c r="T555" s="104">
        <f t="shared" ref="T555" si="1110">F555+300</f>
        <v>33926.950000000004</v>
      </c>
      <c r="U555" s="322">
        <f t="shared" ref="U555" si="1111">+T555*$X$1</f>
        <v>33926.950000000004</v>
      </c>
      <c r="V555" s="104">
        <f t="shared" ref="V555" si="1112">F555+260</f>
        <v>33886.950000000004</v>
      </c>
      <c r="W555" s="322">
        <f t="shared" ref="W555" si="1113">+V555*$X$1</f>
        <v>33886.950000000004</v>
      </c>
      <c r="X555" s="144"/>
      <c r="Y555" s="139"/>
      <c r="Z555" s="145"/>
      <c r="AA555" s="146"/>
      <c r="AB555" s="436">
        <v>719</v>
      </c>
    </row>
    <row r="556" spans="1:28" ht="12" customHeight="1" x14ac:dyDescent="0.2">
      <c r="A556" s="4"/>
      <c r="B556" s="760" t="s">
        <v>763</v>
      </c>
      <c r="C556" s="899"/>
      <c r="D556" s="899"/>
      <c r="E556" s="900"/>
      <c r="F556" s="408">
        <f>14.4*X2</f>
        <v>14616</v>
      </c>
      <c r="G556" s="300">
        <f t="shared" ref="G556" si="1114">+F556*$X$1</f>
        <v>14616</v>
      </c>
      <c r="H556" s="103">
        <f t="shared" si="1089"/>
        <v>17616</v>
      </c>
      <c r="I556" s="336">
        <f t="shared" si="1090"/>
        <v>17616</v>
      </c>
      <c r="J556" s="103">
        <f t="shared" si="1029"/>
        <v>15216</v>
      </c>
      <c r="K556" s="336">
        <f t="shared" si="1030"/>
        <v>15216</v>
      </c>
      <c r="L556" s="103">
        <f t="shared" si="1031"/>
        <v>15066</v>
      </c>
      <c r="M556" s="336">
        <f t="shared" si="1032"/>
        <v>15066</v>
      </c>
      <c r="N556" s="103">
        <f t="shared" si="1033"/>
        <v>15016</v>
      </c>
      <c r="O556" s="336">
        <f t="shared" si="1034"/>
        <v>15016</v>
      </c>
      <c r="P556" s="103">
        <f t="shared" si="1035"/>
        <v>14986</v>
      </c>
      <c r="Q556" s="336">
        <f t="shared" si="1036"/>
        <v>14986</v>
      </c>
      <c r="R556" s="103">
        <f t="shared" si="1037"/>
        <v>14956</v>
      </c>
      <c r="S556" s="336">
        <f t="shared" si="1038"/>
        <v>14956</v>
      </c>
      <c r="T556" s="103">
        <f t="shared" si="1039"/>
        <v>14916</v>
      </c>
      <c r="U556" s="336">
        <f t="shared" si="1040"/>
        <v>14916</v>
      </c>
      <c r="V556" s="103">
        <f t="shared" si="1041"/>
        <v>14876</v>
      </c>
      <c r="W556" s="336">
        <f t="shared" si="1042"/>
        <v>14876</v>
      </c>
      <c r="X556" s="144"/>
      <c r="Y556" s="139"/>
      <c r="Z556" s="145"/>
      <c r="AA556" s="146"/>
      <c r="AB556" s="436">
        <v>720</v>
      </c>
    </row>
    <row r="557" spans="1:28" ht="10.5" customHeight="1" x14ac:dyDescent="0.2">
      <c r="A557" s="76"/>
      <c r="B557" s="111"/>
      <c r="C557" s="352"/>
      <c r="D557" s="352"/>
      <c r="E557" s="352"/>
      <c r="F557" s="353"/>
      <c r="G557" s="353"/>
      <c r="H557" s="121"/>
      <c r="I557" s="353"/>
      <c r="J557" s="121"/>
      <c r="K557" s="353"/>
      <c r="L557" s="121"/>
      <c r="M557" s="353"/>
      <c r="N557" s="121"/>
      <c r="O557" s="353"/>
      <c r="P557" s="121"/>
      <c r="Q557" s="353"/>
      <c r="R557" s="121"/>
      <c r="S557" s="353"/>
      <c r="T557" s="121"/>
      <c r="U557" s="353"/>
      <c r="V557" s="121"/>
      <c r="W557" s="353"/>
      <c r="X557" s="208"/>
      <c r="Y557" s="76"/>
      <c r="Z557" s="209"/>
      <c r="AA557" s="209"/>
      <c r="AB557" s="210"/>
    </row>
    <row r="558" spans="1:28" ht="10.5" customHeight="1" x14ac:dyDescent="0.2">
      <c r="A558" s="76"/>
      <c r="B558" s="111"/>
      <c r="C558" s="617"/>
      <c r="D558" s="617"/>
      <c r="E558" s="617"/>
      <c r="F558" s="353"/>
      <c r="G558" s="353"/>
      <c r="H558" s="121"/>
      <c r="I558" s="353"/>
      <c r="J558" s="121"/>
      <c r="K558" s="353"/>
      <c r="L558" s="121"/>
      <c r="M558" s="353"/>
      <c r="N558" s="121"/>
      <c r="O558" s="353"/>
      <c r="P558" s="121"/>
      <c r="Q558" s="353"/>
      <c r="R558" s="121"/>
      <c r="S558" s="353"/>
      <c r="T558" s="121"/>
      <c r="U558" s="353"/>
      <c r="V558" s="121"/>
      <c r="W558" s="353"/>
      <c r="X558" s="208"/>
      <c r="Y558" s="76"/>
      <c r="Z558" s="209"/>
      <c r="AA558" s="209"/>
      <c r="AB558" s="210"/>
    </row>
    <row r="559" spans="1:28" ht="10.5" customHeight="1" x14ac:dyDescent="0.2">
      <c r="A559" s="76"/>
      <c r="B559" s="111"/>
      <c r="C559" s="617"/>
      <c r="D559" s="617"/>
      <c r="E559" s="617"/>
      <c r="F559" s="353"/>
      <c r="G559" s="353"/>
      <c r="H559" s="121"/>
      <c r="I559" s="353"/>
      <c r="J559" s="121"/>
      <c r="K559" s="353"/>
      <c r="L559" s="121"/>
      <c r="M559" s="353"/>
      <c r="N559" s="121"/>
      <c r="O559" s="353"/>
      <c r="P559" s="121"/>
      <c r="Q559" s="353"/>
      <c r="R559" s="121"/>
      <c r="S559" s="353"/>
      <c r="T559" s="121"/>
      <c r="U559" s="353"/>
      <c r="V559" s="121"/>
      <c r="W559" s="353"/>
      <c r="X559" s="208"/>
      <c r="Y559" s="76"/>
      <c r="Z559" s="209"/>
      <c r="AA559" s="209"/>
      <c r="AB559" s="210"/>
    </row>
    <row r="560" spans="1:28" ht="10.5" customHeight="1" x14ac:dyDescent="0.2">
      <c r="A560" s="76"/>
      <c r="B560" s="111"/>
      <c r="C560" s="617"/>
      <c r="D560" s="617"/>
      <c r="E560" s="617"/>
      <c r="F560" s="353"/>
      <c r="G560" s="353"/>
      <c r="H560" s="121"/>
      <c r="I560" s="353"/>
      <c r="J560" s="121"/>
      <c r="K560" s="353"/>
      <c r="L560" s="121"/>
      <c r="M560" s="353"/>
      <c r="N560" s="121"/>
      <c r="O560" s="353"/>
      <c r="P560" s="121"/>
      <c r="Q560" s="353"/>
      <c r="R560" s="121"/>
      <c r="S560" s="353"/>
      <c r="T560" s="121"/>
      <c r="U560" s="353"/>
      <c r="V560" s="121"/>
      <c r="W560" s="353"/>
      <c r="X560" s="208"/>
      <c r="Y560" s="76"/>
      <c r="Z560" s="209"/>
      <c r="AA560" s="209"/>
      <c r="AB560" s="210"/>
    </row>
    <row r="561" spans="1:34" ht="14.25" customHeight="1" x14ac:dyDescent="0.2">
      <c r="B561" s="645" t="s">
        <v>600</v>
      </c>
      <c r="C561" s="646"/>
      <c r="D561" s="646"/>
      <c r="E561" s="646"/>
      <c r="F561" s="646"/>
      <c r="G561" s="646"/>
      <c r="H561" s="646"/>
      <c r="I561" s="646"/>
      <c r="J561" s="646"/>
      <c r="K561" s="646"/>
      <c r="L561" s="646"/>
      <c r="M561" s="646"/>
      <c r="N561" s="646"/>
      <c r="O561" s="646"/>
      <c r="P561" s="646"/>
      <c r="Q561" s="646"/>
      <c r="R561" s="646"/>
      <c r="S561" s="646"/>
      <c r="T561" s="646"/>
      <c r="U561" s="646"/>
      <c r="V561" s="646"/>
      <c r="W561" s="646"/>
      <c r="AB561" s="4"/>
      <c r="AF561" s="625"/>
      <c r="AG561" s="626"/>
      <c r="AH561" s="626"/>
    </row>
    <row r="562" spans="1:34" ht="14.25" customHeight="1" x14ac:dyDescent="0.2">
      <c r="B562" s="627" t="s">
        <v>11</v>
      </c>
      <c r="C562" s="629" t="s">
        <v>12</v>
      </c>
      <c r="D562" s="630"/>
      <c r="E562" s="630"/>
      <c r="F562" s="632" t="s">
        <v>295</v>
      </c>
      <c r="G562" s="632" t="s">
        <v>13</v>
      </c>
      <c r="H562" s="634" t="s">
        <v>855</v>
      </c>
      <c r="I562" s="634"/>
      <c r="J562" s="635"/>
      <c r="K562" s="635"/>
      <c r="L562" s="635"/>
      <c r="M562" s="635"/>
      <c r="N562" s="635"/>
      <c r="O562" s="635"/>
      <c r="P562" s="635"/>
      <c r="Q562" s="635"/>
      <c r="R562" s="635"/>
      <c r="S562" s="635"/>
      <c r="T562" s="635"/>
      <c r="U562" s="635"/>
      <c r="V562" s="635"/>
      <c r="W562" s="636"/>
      <c r="X562" s="637" t="s">
        <v>14</v>
      </c>
      <c r="Y562" s="638"/>
      <c r="Z562" s="638"/>
      <c r="AA562" s="639"/>
      <c r="AB562" s="643" t="s">
        <v>15</v>
      </c>
      <c r="AF562" s="625" t="s">
        <v>3</v>
      </c>
      <c r="AG562" s="626"/>
      <c r="AH562" s="626"/>
    </row>
    <row r="563" spans="1:34" ht="12" customHeight="1" x14ac:dyDescent="0.2">
      <c r="B563" s="628"/>
      <c r="C563" s="631"/>
      <c r="D563" s="631"/>
      <c r="E563" s="631"/>
      <c r="F563" s="633"/>
      <c r="G563" s="633"/>
      <c r="H563" s="541"/>
      <c r="I563" s="542" t="s">
        <v>585</v>
      </c>
      <c r="J563" s="541"/>
      <c r="K563" s="542" t="s">
        <v>296</v>
      </c>
      <c r="L563" s="541"/>
      <c r="M563" s="542" t="s">
        <v>297</v>
      </c>
      <c r="N563" s="541"/>
      <c r="O563" s="542" t="s">
        <v>587</v>
      </c>
      <c r="P563" s="541"/>
      <c r="Q563" s="542" t="s">
        <v>17</v>
      </c>
      <c r="R563" s="541"/>
      <c r="S563" s="542" t="s">
        <v>18</v>
      </c>
      <c r="T563" s="541"/>
      <c r="U563" s="542" t="s">
        <v>19</v>
      </c>
      <c r="V563" s="541"/>
      <c r="W563" s="543" t="s">
        <v>588</v>
      </c>
      <c r="X563" s="640"/>
      <c r="Y563" s="641"/>
      <c r="Z563" s="641"/>
      <c r="AA563" s="642"/>
      <c r="AB563" s="644"/>
    </row>
    <row r="564" spans="1:34" ht="12" customHeight="1" x14ac:dyDescent="0.2">
      <c r="A564" s="4"/>
      <c r="B564" s="774" t="s">
        <v>762</v>
      </c>
      <c r="C564" s="775"/>
      <c r="D564" s="775"/>
      <c r="E564" s="776"/>
      <c r="F564" s="407">
        <f>40.98*X2</f>
        <v>41594.699999999997</v>
      </c>
      <c r="G564" s="299">
        <f t="shared" ref="G564" si="1115">+F564*$X$1</f>
        <v>41594.699999999997</v>
      </c>
      <c r="H564" s="104">
        <f>F564+3000</f>
        <v>44594.7</v>
      </c>
      <c r="I564" s="322">
        <f>+H564*$X$1</f>
        <v>44594.7</v>
      </c>
      <c r="J564" s="104">
        <f>F564+600</f>
        <v>42194.7</v>
      </c>
      <c r="K564" s="322">
        <f>+J564*$X$1</f>
        <v>42194.7</v>
      </c>
      <c r="L564" s="104">
        <f>F564+450</f>
        <v>42044.7</v>
      </c>
      <c r="M564" s="322">
        <f>+L564*$X$1</f>
        <v>42044.7</v>
      </c>
      <c r="N564" s="104">
        <f>F564+400</f>
        <v>41994.7</v>
      </c>
      <c r="O564" s="322">
        <f>+N564*$X$1</f>
        <v>41994.7</v>
      </c>
      <c r="P564" s="104">
        <f>F564+370</f>
        <v>41964.7</v>
      </c>
      <c r="Q564" s="322">
        <f>+P564*$X$1</f>
        <v>41964.7</v>
      </c>
      <c r="R564" s="104">
        <f>F564+340</f>
        <v>41934.699999999997</v>
      </c>
      <c r="S564" s="322">
        <f>+R564*$X$1</f>
        <v>41934.699999999997</v>
      </c>
      <c r="T564" s="104">
        <f>F564+300</f>
        <v>41894.699999999997</v>
      </c>
      <c r="U564" s="322">
        <f>+T564*$X$1</f>
        <v>41894.699999999997</v>
      </c>
      <c r="V564" s="104">
        <f>F564+260</f>
        <v>41854.699999999997</v>
      </c>
      <c r="W564" s="322">
        <f>+V564*$X$1</f>
        <v>41854.699999999997</v>
      </c>
      <c r="X564" s="144"/>
      <c r="Y564" s="139"/>
      <c r="Z564" s="145"/>
      <c r="AA564" s="146"/>
      <c r="AB564" s="436">
        <v>721</v>
      </c>
    </row>
    <row r="565" spans="1:34" ht="12.6" customHeight="1" x14ac:dyDescent="0.2">
      <c r="A565" s="4"/>
      <c r="B565" s="842" t="s">
        <v>903</v>
      </c>
      <c r="C565" s="939"/>
      <c r="D565" s="939"/>
      <c r="E565" s="940"/>
      <c r="F565" s="408">
        <f>5.4*X2</f>
        <v>5481</v>
      </c>
      <c r="G565" s="300">
        <f t="shared" ref="G565" si="1116">+F565*$X$1</f>
        <v>5481</v>
      </c>
      <c r="H565" s="103">
        <f t="shared" ref="H565" si="1117">F565+3000</f>
        <v>8481</v>
      </c>
      <c r="I565" s="336">
        <f t="shared" ref="I565" si="1118">+H565*$X$1</f>
        <v>8481</v>
      </c>
      <c r="J565" s="103">
        <f t="shared" ref="J565" si="1119">F565+600</f>
        <v>6081</v>
      </c>
      <c r="K565" s="336">
        <f t="shared" ref="K565" si="1120">+J565*$X$1</f>
        <v>6081</v>
      </c>
      <c r="L565" s="103">
        <f t="shared" ref="L565" si="1121">F565+450</f>
        <v>5931</v>
      </c>
      <c r="M565" s="336">
        <f t="shared" ref="M565" si="1122">+L565*$X$1</f>
        <v>5931</v>
      </c>
      <c r="N565" s="103">
        <f t="shared" ref="N565" si="1123">F565+400</f>
        <v>5881</v>
      </c>
      <c r="O565" s="336">
        <f t="shared" ref="O565" si="1124">+N565*$X$1</f>
        <v>5881</v>
      </c>
      <c r="P565" s="103">
        <f t="shared" ref="P565" si="1125">F565+370</f>
        <v>5851</v>
      </c>
      <c r="Q565" s="336">
        <f t="shared" ref="Q565" si="1126">+P565*$X$1</f>
        <v>5851</v>
      </c>
      <c r="R565" s="103">
        <f t="shared" ref="R565" si="1127">F565+340</f>
        <v>5821</v>
      </c>
      <c r="S565" s="336">
        <f t="shared" ref="S565" si="1128">+R565*$X$1</f>
        <v>5821</v>
      </c>
      <c r="T565" s="103">
        <f t="shared" ref="T565" si="1129">F565+300</f>
        <v>5781</v>
      </c>
      <c r="U565" s="336">
        <f t="shared" ref="U565" si="1130">+T565*$X$1</f>
        <v>5781</v>
      </c>
      <c r="V565" s="103">
        <f t="shared" ref="V565" si="1131">F565+260</f>
        <v>5741</v>
      </c>
      <c r="W565" s="336">
        <f t="shared" ref="W565" si="1132">+V565*$X$1</f>
        <v>5741</v>
      </c>
      <c r="X565" s="144"/>
      <c r="Y565" s="139"/>
      <c r="Z565" s="145"/>
      <c r="AA565" s="146"/>
      <c r="AB565" s="200">
        <v>741</v>
      </c>
    </row>
    <row r="566" spans="1:34" ht="12" customHeight="1" x14ac:dyDescent="0.2">
      <c r="A566" s="4"/>
      <c r="B566" s="774" t="s">
        <v>652</v>
      </c>
      <c r="C566" s="775"/>
      <c r="D566" s="775"/>
      <c r="E566" s="776"/>
      <c r="F566" s="407">
        <f>21*X2</f>
        <v>21315</v>
      </c>
      <c r="G566" s="299">
        <f>+F566*$X$1</f>
        <v>21315</v>
      </c>
      <c r="H566" s="104">
        <f>F566+3000</f>
        <v>24315</v>
      </c>
      <c r="I566" s="322">
        <f>+H566*$X$1</f>
        <v>24315</v>
      </c>
      <c r="J566" s="104">
        <f>F566+600</f>
        <v>21915</v>
      </c>
      <c r="K566" s="322">
        <f>+J566*$X$1</f>
        <v>21915</v>
      </c>
      <c r="L566" s="104">
        <f>F566+450</f>
        <v>21765</v>
      </c>
      <c r="M566" s="322">
        <f>+L566*$X$1</f>
        <v>21765</v>
      </c>
      <c r="N566" s="104">
        <f>F566+400</f>
        <v>21715</v>
      </c>
      <c r="O566" s="322">
        <f>+N566*$X$1</f>
        <v>21715</v>
      </c>
      <c r="P566" s="104">
        <f>F566+370</f>
        <v>21685</v>
      </c>
      <c r="Q566" s="322">
        <f>+P566*$X$1</f>
        <v>21685</v>
      </c>
      <c r="R566" s="104">
        <f>F566+340</f>
        <v>21655</v>
      </c>
      <c r="S566" s="322">
        <f>+R566*$X$1</f>
        <v>21655</v>
      </c>
      <c r="T566" s="104">
        <f>F566+300</f>
        <v>21615</v>
      </c>
      <c r="U566" s="322">
        <f>+T566*$X$1</f>
        <v>21615</v>
      </c>
      <c r="V566" s="104">
        <f>F566+260</f>
        <v>21575</v>
      </c>
      <c r="W566" s="322">
        <f>+V566*$X$1</f>
        <v>21575</v>
      </c>
      <c r="X566" s="144"/>
      <c r="Y566" s="139"/>
      <c r="Z566" s="145"/>
      <c r="AA566" s="146"/>
      <c r="AB566" s="200">
        <v>742</v>
      </c>
    </row>
    <row r="567" spans="1:34" ht="12" customHeight="1" x14ac:dyDescent="0.2">
      <c r="A567" s="4"/>
      <c r="B567" s="760" t="s">
        <v>653</v>
      </c>
      <c r="C567" s="899"/>
      <c r="D567" s="899"/>
      <c r="E567" s="900"/>
      <c r="F567" s="408">
        <f>21*X2</f>
        <v>21315</v>
      </c>
      <c r="G567" s="300">
        <f>+F567*$X$1</f>
        <v>21315</v>
      </c>
      <c r="H567" s="103">
        <f>F567+3000</f>
        <v>24315</v>
      </c>
      <c r="I567" s="336">
        <f>+H567*$X$1</f>
        <v>24315</v>
      </c>
      <c r="J567" s="103">
        <f>F567+600</f>
        <v>21915</v>
      </c>
      <c r="K567" s="336">
        <f>+J567*$X$1</f>
        <v>21915</v>
      </c>
      <c r="L567" s="103">
        <f>F567+450</f>
        <v>21765</v>
      </c>
      <c r="M567" s="336">
        <f>+L567*$X$1</f>
        <v>21765</v>
      </c>
      <c r="N567" s="103">
        <f>F567+400</f>
        <v>21715</v>
      </c>
      <c r="O567" s="336">
        <f>+N567*$X$1</f>
        <v>21715</v>
      </c>
      <c r="P567" s="103">
        <f>F567+370</f>
        <v>21685</v>
      </c>
      <c r="Q567" s="336">
        <f>+P567*$X$1</f>
        <v>21685</v>
      </c>
      <c r="R567" s="103">
        <f>F567+340</f>
        <v>21655</v>
      </c>
      <c r="S567" s="336">
        <f>+R567*$X$1</f>
        <v>21655</v>
      </c>
      <c r="T567" s="103">
        <f>F567+300</f>
        <v>21615</v>
      </c>
      <c r="U567" s="336">
        <f>+T567*$X$1</f>
        <v>21615</v>
      </c>
      <c r="V567" s="103">
        <f>F567+260</f>
        <v>21575</v>
      </c>
      <c r="W567" s="336">
        <f>+V567*$X$1</f>
        <v>21575</v>
      </c>
      <c r="X567" s="144"/>
      <c r="Y567" s="139"/>
      <c r="Z567" s="145"/>
      <c r="AA567" s="146"/>
      <c r="AB567" s="200">
        <v>743</v>
      </c>
    </row>
    <row r="568" spans="1:34" ht="12" customHeight="1" x14ac:dyDescent="0.2">
      <c r="A568" s="4"/>
      <c r="B568" s="774" t="s">
        <v>737</v>
      </c>
      <c r="C568" s="775"/>
      <c r="D568" s="775"/>
      <c r="E568" s="776"/>
      <c r="F568" s="407">
        <f>18*X2</f>
        <v>18270</v>
      </c>
      <c r="G568" s="299">
        <f t="shared" ref="G568" si="1133">+F568*$X$1</f>
        <v>18270</v>
      </c>
      <c r="H568" s="104">
        <f>F568+3000</f>
        <v>21270</v>
      </c>
      <c r="I568" s="322">
        <f>+H568*$X$1</f>
        <v>21270</v>
      </c>
      <c r="J568" s="104">
        <f>F568+600</f>
        <v>18870</v>
      </c>
      <c r="K568" s="322">
        <f>+J568*$X$1</f>
        <v>18870</v>
      </c>
      <c r="L568" s="104">
        <f>F568+450</f>
        <v>18720</v>
      </c>
      <c r="M568" s="322">
        <f>+L568*$X$1</f>
        <v>18720</v>
      </c>
      <c r="N568" s="104">
        <f>F568+400</f>
        <v>18670</v>
      </c>
      <c r="O568" s="322">
        <f>+N568*$X$1</f>
        <v>18670</v>
      </c>
      <c r="P568" s="104">
        <f>F568+370</f>
        <v>18640</v>
      </c>
      <c r="Q568" s="322">
        <f>+P568*$X$1</f>
        <v>18640</v>
      </c>
      <c r="R568" s="104">
        <f>F568+340</f>
        <v>18610</v>
      </c>
      <c r="S568" s="322">
        <f>+R568*$X$1</f>
        <v>18610</v>
      </c>
      <c r="T568" s="104">
        <f>F568+300</f>
        <v>18570</v>
      </c>
      <c r="U568" s="322">
        <f>+T568*$X$1</f>
        <v>18570</v>
      </c>
      <c r="V568" s="104">
        <f>F568+260</f>
        <v>18530</v>
      </c>
      <c r="W568" s="322">
        <f>+V568*$X$1</f>
        <v>18530</v>
      </c>
      <c r="X568" s="144"/>
      <c r="Y568" s="139"/>
      <c r="Z568" s="145"/>
      <c r="AA568" s="146"/>
      <c r="AB568" s="200">
        <v>744</v>
      </c>
    </row>
    <row r="569" spans="1:34" ht="12" customHeight="1" x14ac:dyDescent="0.2">
      <c r="A569" s="4"/>
      <c r="B569" s="1130" t="s">
        <v>627</v>
      </c>
      <c r="C569" s="1131"/>
      <c r="D569" s="1131"/>
      <c r="E569" s="1131"/>
      <c r="F569" s="422"/>
      <c r="G569" s="422"/>
      <c r="H569" s="514">
        <v>1700</v>
      </c>
      <c r="I569" s="300">
        <f t="shared" ref="I569:K569" si="1134">+H569*$X$1</f>
        <v>1700</v>
      </c>
      <c r="J569" s="514">
        <v>700</v>
      </c>
      <c r="K569" s="300">
        <f t="shared" si="1134"/>
        <v>700</v>
      </c>
      <c r="L569" s="514">
        <v>600</v>
      </c>
      <c r="M569" s="300">
        <f t="shared" ref="M569" si="1135">+L569*$X$1</f>
        <v>600</v>
      </c>
      <c r="N569" s="514">
        <v>520</v>
      </c>
      <c r="O569" s="300">
        <f t="shared" ref="O569" si="1136">+N569*$X$1</f>
        <v>520</v>
      </c>
      <c r="P569" s="514">
        <v>480</v>
      </c>
      <c r="Q569" s="300">
        <f t="shared" ref="Q569" si="1137">+P569*$X$1</f>
        <v>480</v>
      </c>
      <c r="R569" s="514">
        <v>430</v>
      </c>
      <c r="S569" s="300">
        <f t="shared" ref="S569" si="1138">+R569*$X$1</f>
        <v>430</v>
      </c>
      <c r="T569" s="514">
        <v>390</v>
      </c>
      <c r="U569" s="300">
        <f t="shared" ref="U569" si="1139">+T569*$X$1</f>
        <v>390</v>
      </c>
      <c r="V569" s="514">
        <v>360</v>
      </c>
      <c r="W569" s="300">
        <f t="shared" ref="W569" si="1140">+V569*$X$1</f>
        <v>360</v>
      </c>
      <c r="X569" s="144"/>
      <c r="Y569" s="139"/>
      <c r="Z569" s="145"/>
      <c r="AA569" s="145"/>
      <c r="AB569" s="40"/>
    </row>
    <row r="570" spans="1:34" ht="15.75" customHeight="1" x14ac:dyDescent="0.2">
      <c r="A570" s="76"/>
      <c r="B570" s="111"/>
      <c r="C570" s="521"/>
      <c r="D570" s="521"/>
      <c r="E570" s="521"/>
      <c r="F570" s="353"/>
      <c r="G570" s="353"/>
      <c r="H570" s="121"/>
      <c r="I570" s="353"/>
      <c r="J570" s="121"/>
      <c r="K570" s="353"/>
      <c r="L570" s="121"/>
      <c r="M570" s="353"/>
      <c r="N570" s="121"/>
      <c r="O570" s="353"/>
      <c r="P570" s="121"/>
      <c r="Q570" s="353"/>
      <c r="R570" s="121"/>
      <c r="S570" s="353"/>
      <c r="T570" s="121"/>
      <c r="U570" s="353"/>
      <c r="V570" s="121"/>
      <c r="W570" s="353"/>
      <c r="X570" s="208"/>
      <c r="Y570" s="76"/>
      <c r="Z570" s="209"/>
      <c r="AA570" s="209"/>
      <c r="AB570" s="210"/>
    </row>
    <row r="571" spans="1:34" ht="14.25" customHeight="1" x14ac:dyDescent="0.2">
      <c r="B571" s="645" t="s">
        <v>856</v>
      </c>
      <c r="C571" s="646"/>
      <c r="D571" s="646"/>
      <c r="E571" s="646"/>
      <c r="F571" s="646"/>
      <c r="G571" s="646"/>
      <c r="H571" s="646"/>
      <c r="I571" s="646"/>
      <c r="J571" s="646"/>
      <c r="K571" s="646"/>
      <c r="L571" s="646"/>
      <c r="M571" s="646"/>
      <c r="N571" s="646"/>
      <c r="O571" s="646"/>
      <c r="P571" s="646"/>
      <c r="Q571" s="646"/>
      <c r="R571" s="646"/>
      <c r="S571" s="646"/>
      <c r="T571" s="646"/>
      <c r="U571" s="646"/>
      <c r="V571" s="646"/>
      <c r="W571" s="646"/>
      <c r="AB571" s="4"/>
      <c r="AF571" s="625"/>
      <c r="AG571" s="626"/>
      <c r="AH571" s="626"/>
    </row>
    <row r="572" spans="1:34" ht="12" customHeight="1" x14ac:dyDescent="0.2">
      <c r="B572" s="649" t="s">
        <v>11</v>
      </c>
      <c r="C572" s="649" t="s">
        <v>12</v>
      </c>
      <c r="D572" s="650"/>
      <c r="E572" s="650"/>
      <c r="F572" s="651" t="s">
        <v>295</v>
      </c>
      <c r="G572" s="651" t="s">
        <v>13</v>
      </c>
      <c r="H572" s="653" t="s">
        <v>845</v>
      </c>
      <c r="I572" s="653"/>
      <c r="J572" s="654"/>
      <c r="K572" s="654"/>
      <c r="L572" s="654"/>
      <c r="M572" s="654"/>
      <c r="N572" s="654"/>
      <c r="O572" s="654"/>
      <c r="P572" s="654"/>
      <c r="Q572" s="654"/>
      <c r="R572" s="654"/>
      <c r="S572" s="654"/>
      <c r="T572" s="654"/>
      <c r="U572" s="654"/>
      <c r="V572" s="654"/>
      <c r="W572" s="654"/>
      <c r="X572" s="637" t="s">
        <v>14</v>
      </c>
      <c r="Y572" s="638"/>
      <c r="Z572" s="638"/>
      <c r="AA572" s="638"/>
      <c r="AB572" s="643" t="s">
        <v>15</v>
      </c>
      <c r="AF572" s="625"/>
      <c r="AG572" s="626"/>
      <c r="AH572" s="626"/>
    </row>
    <row r="573" spans="1:34" ht="11.25" customHeight="1" x14ac:dyDescent="0.2">
      <c r="B573" s="650"/>
      <c r="C573" s="650"/>
      <c r="D573" s="650"/>
      <c r="E573" s="650"/>
      <c r="F573" s="652"/>
      <c r="G573" s="652"/>
      <c r="H573" s="532"/>
      <c r="I573" s="531" t="s">
        <v>296</v>
      </c>
      <c r="J573" s="532"/>
      <c r="K573" s="531" t="s">
        <v>297</v>
      </c>
      <c r="L573" s="532"/>
      <c r="M573" s="531" t="s">
        <v>587</v>
      </c>
      <c r="N573" s="532"/>
      <c r="O573" s="531" t="s">
        <v>17</v>
      </c>
      <c r="P573" s="532"/>
      <c r="Q573" s="531" t="s">
        <v>18</v>
      </c>
      <c r="R573" s="532"/>
      <c r="S573" s="531" t="s">
        <v>19</v>
      </c>
      <c r="T573" s="532"/>
      <c r="U573" s="531" t="s">
        <v>299</v>
      </c>
      <c r="V573" s="532"/>
      <c r="W573" s="531" t="s">
        <v>20</v>
      </c>
      <c r="X573" s="640"/>
      <c r="Y573" s="641"/>
      <c r="Z573" s="641"/>
      <c r="AA573" s="641"/>
      <c r="AB573" s="644"/>
    </row>
    <row r="574" spans="1:34" ht="12.6" customHeight="1" x14ac:dyDescent="0.2">
      <c r="A574" s="18"/>
      <c r="B574" s="953" t="s">
        <v>566</v>
      </c>
      <c r="C574" s="954"/>
      <c r="D574" s="954"/>
      <c r="E574" s="955"/>
      <c r="F574" s="336">
        <v>3200</v>
      </c>
      <c r="G574" s="321"/>
      <c r="H574" s="103"/>
      <c r="I574" s="336"/>
      <c r="J574" s="514">
        <f>F574+450</f>
        <v>3650</v>
      </c>
      <c r="K574" s="300">
        <f t="shared" ref="K574:K583" si="1141">+J574*$X$1</f>
        <v>3650</v>
      </c>
      <c r="L574" s="514">
        <f>F574+350</f>
        <v>3550</v>
      </c>
      <c r="M574" s="300">
        <f t="shared" ref="M574:M583" si="1142">+L574*$X$1</f>
        <v>3550</v>
      </c>
      <c r="N574" s="514">
        <f>F574+320</f>
        <v>3520</v>
      </c>
      <c r="O574" s="300">
        <f t="shared" ref="O574:O583" si="1143">+N574*$X$1</f>
        <v>3520</v>
      </c>
      <c r="P574" s="514">
        <f>F574+290</f>
        <v>3490</v>
      </c>
      <c r="Q574" s="300">
        <f t="shared" ref="Q574:Q583" si="1144">+P574*$X$1</f>
        <v>3490</v>
      </c>
      <c r="R574" s="514">
        <f>F574+240</f>
        <v>3440</v>
      </c>
      <c r="S574" s="300">
        <f t="shared" ref="S574:S583" si="1145">+R574*$X$1</f>
        <v>3440</v>
      </c>
      <c r="T574" s="514">
        <f>F574+200</f>
        <v>3400</v>
      </c>
      <c r="U574" s="300">
        <f t="shared" ref="U574:U583" si="1146">+T574*$X$1</f>
        <v>3400</v>
      </c>
      <c r="V574" s="514">
        <f>F574+170</f>
        <v>3370</v>
      </c>
      <c r="W574" s="300">
        <f t="shared" ref="W574:W583" si="1147">+V574*$X$1</f>
        <v>3370</v>
      </c>
      <c r="X574" s="150"/>
      <c r="Y574" s="151"/>
      <c r="Z574" s="151"/>
      <c r="AA574" s="151"/>
      <c r="AB574" s="450" t="s">
        <v>819</v>
      </c>
    </row>
    <row r="575" spans="1:34" ht="12.6" customHeight="1" x14ac:dyDescent="0.2">
      <c r="A575" s="18"/>
      <c r="B575" s="673" t="s">
        <v>412</v>
      </c>
      <c r="C575" s="695"/>
      <c r="D575" s="695"/>
      <c r="E575" s="696"/>
      <c r="F575" s="299">
        <v>1325</v>
      </c>
      <c r="G575" s="264"/>
      <c r="H575" s="624"/>
      <c r="I575" s="299"/>
      <c r="J575" s="624"/>
      <c r="K575" s="299"/>
      <c r="L575" s="624">
        <f>F575+350</f>
        <v>1675</v>
      </c>
      <c r="M575" s="299">
        <f t="shared" si="1142"/>
        <v>1675</v>
      </c>
      <c r="N575" s="624">
        <f>F575+320</f>
        <v>1645</v>
      </c>
      <c r="O575" s="299">
        <f t="shared" si="1143"/>
        <v>1645</v>
      </c>
      <c r="P575" s="624">
        <f>F575+290</f>
        <v>1615</v>
      </c>
      <c r="Q575" s="299">
        <f t="shared" si="1144"/>
        <v>1615</v>
      </c>
      <c r="R575" s="624">
        <f>F575+240</f>
        <v>1565</v>
      </c>
      <c r="S575" s="299">
        <f t="shared" si="1145"/>
        <v>1565</v>
      </c>
      <c r="T575" s="624">
        <f>F575+200</f>
        <v>1525</v>
      </c>
      <c r="U575" s="299">
        <f t="shared" si="1146"/>
        <v>1525</v>
      </c>
      <c r="V575" s="624">
        <f>F575+170</f>
        <v>1495</v>
      </c>
      <c r="W575" s="299">
        <f t="shared" si="1147"/>
        <v>1495</v>
      </c>
      <c r="X575" s="150"/>
      <c r="Y575" s="151"/>
      <c r="Z575" s="151"/>
      <c r="AA575" s="151"/>
      <c r="AB575" s="32"/>
    </row>
    <row r="576" spans="1:34" ht="12.6" customHeight="1" x14ac:dyDescent="0.2">
      <c r="A576" s="18"/>
      <c r="B576" s="670" t="s">
        <v>463</v>
      </c>
      <c r="C576" s="679"/>
      <c r="D576" s="679"/>
      <c r="E576" s="680"/>
      <c r="F576" s="336">
        <v>3160</v>
      </c>
      <c r="G576" s="321"/>
      <c r="H576" s="514">
        <f>F576+900</f>
        <v>4060</v>
      </c>
      <c r="I576" s="300">
        <f t="shared" ref="I576:I582" si="1148">+H576*$X$1</f>
        <v>4060</v>
      </c>
      <c r="J576" s="514">
        <f>F576+450</f>
        <v>3610</v>
      </c>
      <c r="K576" s="300">
        <f t="shared" si="1141"/>
        <v>3610</v>
      </c>
      <c r="L576" s="514">
        <f>F576+350</f>
        <v>3510</v>
      </c>
      <c r="M576" s="300">
        <f t="shared" si="1142"/>
        <v>3510</v>
      </c>
      <c r="N576" s="514">
        <f>F576+320</f>
        <v>3480</v>
      </c>
      <c r="O576" s="300">
        <f t="shared" si="1143"/>
        <v>3480</v>
      </c>
      <c r="P576" s="514">
        <f>F576+290</f>
        <v>3450</v>
      </c>
      <c r="Q576" s="300">
        <f t="shared" si="1144"/>
        <v>3450</v>
      </c>
      <c r="R576" s="514">
        <f>F576+240</f>
        <v>3400</v>
      </c>
      <c r="S576" s="300">
        <f t="shared" si="1145"/>
        <v>3400</v>
      </c>
      <c r="T576" s="514">
        <f>F576+200</f>
        <v>3360</v>
      </c>
      <c r="U576" s="300">
        <f t="shared" si="1146"/>
        <v>3360</v>
      </c>
      <c r="V576" s="514">
        <f>F576+170</f>
        <v>3330</v>
      </c>
      <c r="W576" s="300">
        <f t="shared" si="1147"/>
        <v>3330</v>
      </c>
      <c r="X576" s="150"/>
      <c r="Y576" s="151"/>
      <c r="Z576" s="151"/>
      <c r="AA576" s="151"/>
      <c r="AB576" s="436" t="s">
        <v>820</v>
      </c>
    </row>
    <row r="577" spans="1:28" ht="12.6" customHeight="1" x14ac:dyDescent="0.2">
      <c r="A577" s="18"/>
      <c r="B577" s="673" t="s">
        <v>300</v>
      </c>
      <c r="C577" s="676"/>
      <c r="D577" s="676"/>
      <c r="E577" s="677"/>
      <c r="F577" s="322">
        <v>6050</v>
      </c>
      <c r="G577" s="264"/>
      <c r="H577" s="624">
        <f>F577+900</f>
        <v>6950</v>
      </c>
      <c r="I577" s="299">
        <f t="shared" ref="I577:I582" si="1149">+H577*$X$1</f>
        <v>6950</v>
      </c>
      <c r="J577" s="624">
        <f>F577+450</f>
        <v>6500</v>
      </c>
      <c r="K577" s="299">
        <f t="shared" si="1141"/>
        <v>6500</v>
      </c>
      <c r="L577" s="624">
        <f>F577+350</f>
        <v>6400</v>
      </c>
      <c r="M577" s="299">
        <f t="shared" si="1142"/>
        <v>6400</v>
      </c>
      <c r="N577" s="624">
        <f>F577+320</f>
        <v>6370</v>
      </c>
      <c r="O577" s="299">
        <f t="shared" si="1143"/>
        <v>6370</v>
      </c>
      <c r="P577" s="624">
        <f>F577+290</f>
        <v>6340</v>
      </c>
      <c r="Q577" s="299">
        <f t="shared" si="1144"/>
        <v>6340</v>
      </c>
      <c r="R577" s="624">
        <f>F577+240</f>
        <v>6290</v>
      </c>
      <c r="S577" s="299">
        <f t="shared" si="1145"/>
        <v>6290</v>
      </c>
      <c r="T577" s="624">
        <f>F577+200</f>
        <v>6250</v>
      </c>
      <c r="U577" s="299">
        <f t="shared" si="1146"/>
        <v>6250</v>
      </c>
      <c r="V577" s="624">
        <f>F577+170</f>
        <v>6220</v>
      </c>
      <c r="W577" s="299">
        <f t="shared" si="1147"/>
        <v>6220</v>
      </c>
      <c r="X577" s="150"/>
      <c r="Y577" s="151"/>
      <c r="Z577" s="151"/>
      <c r="AA577" s="151"/>
      <c r="AB577" s="436" t="s">
        <v>821</v>
      </c>
    </row>
    <row r="578" spans="1:28" ht="12.6" customHeight="1" x14ac:dyDescent="0.2">
      <c r="A578" s="18"/>
      <c r="B578" s="970" t="s">
        <v>301</v>
      </c>
      <c r="C578" s="971"/>
      <c r="D578" s="971"/>
      <c r="E578" s="972"/>
      <c r="F578" s="435">
        <v>2835</v>
      </c>
      <c r="G578" s="321"/>
      <c r="H578" s="514">
        <f>F578+900</f>
        <v>3735</v>
      </c>
      <c r="I578" s="300">
        <f t="shared" si="1149"/>
        <v>3735</v>
      </c>
      <c r="J578" s="514">
        <f>F578+450</f>
        <v>3285</v>
      </c>
      <c r="K578" s="300">
        <f t="shared" si="1141"/>
        <v>3285</v>
      </c>
      <c r="L578" s="514">
        <f>F578+350</f>
        <v>3185</v>
      </c>
      <c r="M578" s="300">
        <f t="shared" si="1142"/>
        <v>3185</v>
      </c>
      <c r="N578" s="514">
        <f>F578+320</f>
        <v>3155</v>
      </c>
      <c r="O578" s="300">
        <f t="shared" si="1143"/>
        <v>3155</v>
      </c>
      <c r="P578" s="514">
        <f>F578+290</f>
        <v>3125</v>
      </c>
      <c r="Q578" s="300">
        <f t="shared" si="1144"/>
        <v>3125</v>
      </c>
      <c r="R578" s="514">
        <f>F578+240</f>
        <v>3075</v>
      </c>
      <c r="S578" s="300">
        <f t="shared" si="1145"/>
        <v>3075</v>
      </c>
      <c r="T578" s="514">
        <f>F578+200</f>
        <v>3035</v>
      </c>
      <c r="U578" s="300">
        <f t="shared" si="1146"/>
        <v>3035</v>
      </c>
      <c r="V578" s="514">
        <f>F578+170</f>
        <v>3005</v>
      </c>
      <c r="W578" s="300">
        <f t="shared" si="1147"/>
        <v>3005</v>
      </c>
      <c r="X578" s="150"/>
      <c r="Y578" s="151"/>
      <c r="Z578" s="151"/>
      <c r="AA578" s="151"/>
      <c r="AB578" s="436" t="s">
        <v>920</v>
      </c>
    </row>
    <row r="579" spans="1:28" ht="12.6" customHeight="1" x14ac:dyDescent="0.2">
      <c r="A579" s="18"/>
      <c r="B579" s="967" t="s">
        <v>302</v>
      </c>
      <c r="C579" s="968"/>
      <c r="D579" s="968"/>
      <c r="E579" s="968"/>
      <c r="F579" s="299">
        <v>2580</v>
      </c>
      <c r="G579" s="264"/>
      <c r="H579" s="624">
        <f>F579+900</f>
        <v>3480</v>
      </c>
      <c r="I579" s="299">
        <f t="shared" si="1149"/>
        <v>3480</v>
      </c>
      <c r="J579" s="624">
        <f>F579+450</f>
        <v>3030</v>
      </c>
      <c r="K579" s="299">
        <f t="shared" si="1141"/>
        <v>3030</v>
      </c>
      <c r="L579" s="624">
        <f>F579+350</f>
        <v>2930</v>
      </c>
      <c r="M579" s="299">
        <f t="shared" si="1142"/>
        <v>2930</v>
      </c>
      <c r="N579" s="624">
        <f>F579+320</f>
        <v>2900</v>
      </c>
      <c r="O579" s="299">
        <f t="shared" si="1143"/>
        <v>2900</v>
      </c>
      <c r="P579" s="624">
        <f>F579+290</f>
        <v>2870</v>
      </c>
      <c r="Q579" s="299">
        <f t="shared" si="1144"/>
        <v>2870</v>
      </c>
      <c r="R579" s="624">
        <f>F579+240</f>
        <v>2820</v>
      </c>
      <c r="S579" s="299">
        <f t="shared" si="1145"/>
        <v>2820</v>
      </c>
      <c r="T579" s="624">
        <f>F579+200</f>
        <v>2780</v>
      </c>
      <c r="U579" s="299">
        <f t="shared" si="1146"/>
        <v>2780</v>
      </c>
      <c r="V579" s="624">
        <f>F579+170</f>
        <v>2750</v>
      </c>
      <c r="W579" s="299">
        <f t="shared" si="1147"/>
        <v>2750</v>
      </c>
      <c r="X579" s="150"/>
      <c r="Y579" s="151"/>
      <c r="Z579" s="151"/>
      <c r="AA579" s="151"/>
      <c r="AB579" s="436" t="s">
        <v>823</v>
      </c>
    </row>
    <row r="580" spans="1:28" ht="12.6" customHeight="1" x14ac:dyDescent="0.2">
      <c r="A580" s="18"/>
      <c r="B580" s="700" t="s">
        <v>535</v>
      </c>
      <c r="C580" s="701"/>
      <c r="D580" s="701"/>
      <c r="E580" s="702"/>
      <c r="F580" s="336">
        <v>4570</v>
      </c>
      <c r="G580" s="321"/>
      <c r="H580" s="514">
        <f>F580+900</f>
        <v>5470</v>
      </c>
      <c r="I580" s="300">
        <f t="shared" si="1149"/>
        <v>5470</v>
      </c>
      <c r="J580" s="514">
        <f>F580+450</f>
        <v>5020</v>
      </c>
      <c r="K580" s="300">
        <f t="shared" si="1141"/>
        <v>5020</v>
      </c>
      <c r="L580" s="514">
        <f>F580+350</f>
        <v>4920</v>
      </c>
      <c r="M580" s="300">
        <f t="shared" si="1142"/>
        <v>4920</v>
      </c>
      <c r="N580" s="514">
        <f>F580+320</f>
        <v>4890</v>
      </c>
      <c r="O580" s="300">
        <f t="shared" si="1143"/>
        <v>4890</v>
      </c>
      <c r="P580" s="514">
        <f>F580+290</f>
        <v>4860</v>
      </c>
      <c r="Q580" s="300">
        <f t="shared" si="1144"/>
        <v>4860</v>
      </c>
      <c r="R580" s="514">
        <f>F580+240</f>
        <v>4810</v>
      </c>
      <c r="S580" s="300">
        <f t="shared" si="1145"/>
        <v>4810</v>
      </c>
      <c r="T580" s="514">
        <f>F580+200</f>
        <v>4770</v>
      </c>
      <c r="U580" s="300">
        <f t="shared" si="1146"/>
        <v>4770</v>
      </c>
      <c r="V580" s="514">
        <f>F580+170</f>
        <v>4740</v>
      </c>
      <c r="W580" s="300">
        <f t="shared" si="1147"/>
        <v>4740</v>
      </c>
      <c r="X580" s="150"/>
      <c r="Y580" s="151"/>
      <c r="Z580" s="151"/>
      <c r="AA580" s="151"/>
      <c r="AB580" s="436" t="s">
        <v>822</v>
      </c>
    </row>
    <row r="581" spans="1:28" ht="12.6" customHeight="1" x14ac:dyDescent="0.2">
      <c r="A581" s="18"/>
      <c r="B581" s="1084" t="s">
        <v>804</v>
      </c>
      <c r="C581" s="1085"/>
      <c r="D581" s="1085"/>
      <c r="E581" s="1086"/>
      <c r="F581" s="322">
        <v>7460</v>
      </c>
      <c r="G581" s="264"/>
      <c r="H581" s="624">
        <f>F581+900</f>
        <v>8360</v>
      </c>
      <c r="I581" s="299">
        <f t="shared" si="1149"/>
        <v>8360</v>
      </c>
      <c r="J581" s="624">
        <f>F581+450</f>
        <v>7910</v>
      </c>
      <c r="K581" s="299">
        <f t="shared" si="1141"/>
        <v>7910</v>
      </c>
      <c r="L581" s="624">
        <f>F581+350</f>
        <v>7810</v>
      </c>
      <c r="M581" s="299">
        <f t="shared" si="1142"/>
        <v>7810</v>
      </c>
      <c r="N581" s="624">
        <f>F581+320</f>
        <v>7780</v>
      </c>
      <c r="O581" s="299">
        <f t="shared" si="1143"/>
        <v>7780</v>
      </c>
      <c r="P581" s="624">
        <f>F581+290</f>
        <v>7750</v>
      </c>
      <c r="Q581" s="299">
        <f t="shared" si="1144"/>
        <v>7750</v>
      </c>
      <c r="R581" s="624">
        <f>F581+240</f>
        <v>7700</v>
      </c>
      <c r="S581" s="299">
        <f t="shared" si="1145"/>
        <v>7700</v>
      </c>
      <c r="T581" s="624">
        <f>F581+200</f>
        <v>7660</v>
      </c>
      <c r="U581" s="299">
        <f t="shared" si="1146"/>
        <v>7660</v>
      </c>
      <c r="V581" s="624">
        <f>F581+170</f>
        <v>7630</v>
      </c>
      <c r="W581" s="299">
        <f t="shared" si="1147"/>
        <v>7630</v>
      </c>
      <c r="X581" s="150"/>
      <c r="Y581" s="151"/>
      <c r="Z581" s="151"/>
      <c r="AA581" s="151"/>
      <c r="AB581" s="32"/>
    </row>
    <row r="582" spans="1:28" ht="12.6" customHeight="1" x14ac:dyDescent="0.2">
      <c r="A582" s="18"/>
      <c r="B582" s="670" t="s">
        <v>522</v>
      </c>
      <c r="C582" s="679"/>
      <c r="D582" s="679"/>
      <c r="E582" s="680"/>
      <c r="F582" s="336">
        <v>7102</v>
      </c>
      <c r="G582" s="321"/>
      <c r="H582" s="514">
        <f>F582+900</f>
        <v>8002</v>
      </c>
      <c r="I582" s="300">
        <f t="shared" si="1149"/>
        <v>8002</v>
      </c>
      <c r="J582" s="514">
        <f>F582+450</f>
        <v>7552</v>
      </c>
      <c r="K582" s="300">
        <f t="shared" si="1141"/>
        <v>7552</v>
      </c>
      <c r="L582" s="514">
        <f>F582+350</f>
        <v>7452</v>
      </c>
      <c r="M582" s="300">
        <f t="shared" si="1142"/>
        <v>7452</v>
      </c>
      <c r="N582" s="514">
        <f>F582+320</f>
        <v>7422</v>
      </c>
      <c r="O582" s="300">
        <f t="shared" si="1143"/>
        <v>7422</v>
      </c>
      <c r="P582" s="514">
        <f>F582+290</f>
        <v>7392</v>
      </c>
      <c r="Q582" s="300">
        <f t="shared" si="1144"/>
        <v>7392</v>
      </c>
      <c r="R582" s="514">
        <f>F582+240</f>
        <v>7342</v>
      </c>
      <c r="S582" s="300">
        <f t="shared" si="1145"/>
        <v>7342</v>
      </c>
      <c r="T582" s="514">
        <f>F582+200</f>
        <v>7302</v>
      </c>
      <c r="U582" s="300">
        <f t="shared" si="1146"/>
        <v>7302</v>
      </c>
      <c r="V582" s="514">
        <f>F582+170</f>
        <v>7272</v>
      </c>
      <c r="W582" s="300">
        <f t="shared" si="1147"/>
        <v>7272</v>
      </c>
      <c r="X582" s="150"/>
      <c r="Y582" s="151"/>
      <c r="Z582" s="151"/>
      <c r="AA582" s="151"/>
      <c r="AB582" s="32"/>
    </row>
    <row r="583" spans="1:28" ht="12.6" customHeight="1" x14ac:dyDescent="0.2">
      <c r="A583" s="4"/>
      <c r="B583" s="774" t="s">
        <v>469</v>
      </c>
      <c r="C583" s="676"/>
      <c r="D583" s="676"/>
      <c r="E583" s="677"/>
      <c r="F583" s="299">
        <v>1800</v>
      </c>
      <c r="G583" s="264"/>
      <c r="H583" s="624"/>
      <c r="I583" s="299"/>
      <c r="J583" s="624">
        <f>F583+450</f>
        <v>2250</v>
      </c>
      <c r="K583" s="299">
        <f t="shared" si="1141"/>
        <v>2250</v>
      </c>
      <c r="L583" s="624">
        <f>F583+350</f>
        <v>2150</v>
      </c>
      <c r="M583" s="299">
        <f t="shared" si="1142"/>
        <v>2150</v>
      </c>
      <c r="N583" s="624">
        <f>F583+320</f>
        <v>2120</v>
      </c>
      <c r="O583" s="299">
        <f t="shared" si="1143"/>
        <v>2120</v>
      </c>
      <c r="P583" s="624">
        <f>F583+290</f>
        <v>2090</v>
      </c>
      <c r="Q583" s="299">
        <f t="shared" si="1144"/>
        <v>2090</v>
      </c>
      <c r="R583" s="624">
        <f>F583+240</f>
        <v>2040</v>
      </c>
      <c r="S583" s="299">
        <f t="shared" si="1145"/>
        <v>2040</v>
      </c>
      <c r="T583" s="624">
        <f>F583+200</f>
        <v>2000</v>
      </c>
      <c r="U583" s="299">
        <f t="shared" si="1146"/>
        <v>2000</v>
      </c>
      <c r="V583" s="624">
        <f>F583+170</f>
        <v>1970</v>
      </c>
      <c r="W583" s="299">
        <f t="shared" si="1147"/>
        <v>1970</v>
      </c>
      <c r="X583" s="150"/>
      <c r="Y583" s="135"/>
      <c r="Z583" s="152"/>
      <c r="AA583" s="152"/>
      <c r="AB583" s="436" t="s">
        <v>468</v>
      </c>
    </row>
    <row r="584" spans="1:28" ht="12.6" customHeight="1" x14ac:dyDescent="0.2">
      <c r="A584" s="4"/>
      <c r="B584" s="760" t="s">
        <v>467</v>
      </c>
      <c r="C584" s="679"/>
      <c r="D584" s="679"/>
      <c r="E584" s="680"/>
      <c r="F584" s="300">
        <v>1800</v>
      </c>
      <c r="G584" s="321"/>
      <c r="H584" s="514"/>
      <c r="I584" s="300"/>
      <c r="J584" s="514">
        <f>F584+450</f>
        <v>2250</v>
      </c>
      <c r="K584" s="300">
        <f t="shared" ref="K584" si="1150">+J584*$X$1</f>
        <v>2250</v>
      </c>
      <c r="L584" s="514">
        <f>F584+350</f>
        <v>2150</v>
      </c>
      <c r="M584" s="300">
        <f t="shared" ref="M584" si="1151">+L584*$X$1</f>
        <v>2150</v>
      </c>
      <c r="N584" s="514">
        <f>F584+320</f>
        <v>2120</v>
      </c>
      <c r="O584" s="300">
        <f t="shared" ref="O584" si="1152">+N584*$X$1</f>
        <v>2120</v>
      </c>
      <c r="P584" s="514">
        <f>F584+290</f>
        <v>2090</v>
      </c>
      <c r="Q584" s="300">
        <f t="shared" ref="Q584" si="1153">+P584*$X$1</f>
        <v>2090</v>
      </c>
      <c r="R584" s="514">
        <f>F584+240</f>
        <v>2040</v>
      </c>
      <c r="S584" s="300">
        <f t="shared" ref="S584" si="1154">+R584*$X$1</f>
        <v>2040</v>
      </c>
      <c r="T584" s="514">
        <f>F584+200</f>
        <v>2000</v>
      </c>
      <c r="U584" s="300">
        <f t="shared" ref="U584" si="1155">+T584*$X$1</f>
        <v>2000</v>
      </c>
      <c r="V584" s="514">
        <f>F584+170</f>
        <v>1970</v>
      </c>
      <c r="W584" s="300">
        <f t="shared" ref="W584" si="1156">+V584*$X$1</f>
        <v>1970</v>
      </c>
      <c r="X584" s="150"/>
      <c r="Y584" s="135"/>
      <c r="Z584" s="152"/>
      <c r="AA584" s="152"/>
      <c r="AB584" s="436" t="s">
        <v>464</v>
      </c>
    </row>
    <row r="585" spans="1:28" ht="12.6" customHeight="1" x14ac:dyDescent="0.2">
      <c r="A585" s="4"/>
      <c r="B585" s="774" t="s">
        <v>465</v>
      </c>
      <c r="C585" s="676"/>
      <c r="D585" s="676"/>
      <c r="E585" s="677"/>
      <c r="F585" s="299">
        <v>2700</v>
      </c>
      <c r="G585" s="264"/>
      <c r="H585" s="624"/>
      <c r="I585" s="299"/>
      <c r="J585" s="624">
        <f>F585+450</f>
        <v>3150</v>
      </c>
      <c r="K585" s="299">
        <f t="shared" ref="K581:K585" si="1157">+J585*$X$1</f>
        <v>3150</v>
      </c>
      <c r="L585" s="624">
        <f>F585+350</f>
        <v>3050</v>
      </c>
      <c r="M585" s="299">
        <f t="shared" ref="M581:M585" si="1158">+L585*$X$1</f>
        <v>3050</v>
      </c>
      <c r="N585" s="624">
        <f>F585+320</f>
        <v>3020</v>
      </c>
      <c r="O585" s="299">
        <f t="shared" ref="O581:O585" si="1159">+N585*$X$1</f>
        <v>3020</v>
      </c>
      <c r="P585" s="624">
        <f>F585+290</f>
        <v>2990</v>
      </c>
      <c r="Q585" s="299">
        <f t="shared" ref="Q581:Q585" si="1160">+P585*$X$1</f>
        <v>2990</v>
      </c>
      <c r="R585" s="624">
        <f>F585+240</f>
        <v>2940</v>
      </c>
      <c r="S585" s="299">
        <f t="shared" ref="S581:S585" si="1161">+R585*$X$1</f>
        <v>2940</v>
      </c>
      <c r="T585" s="624">
        <f>F585+200</f>
        <v>2900</v>
      </c>
      <c r="U585" s="299">
        <f t="shared" ref="U581:U585" si="1162">+T585*$X$1</f>
        <v>2900</v>
      </c>
      <c r="V585" s="624">
        <f>F585+170</f>
        <v>2870</v>
      </c>
      <c r="W585" s="299">
        <f t="shared" ref="W581:W585" si="1163">+V585*$X$1</f>
        <v>2870</v>
      </c>
      <c r="X585" s="150"/>
      <c r="Y585" s="135"/>
      <c r="Z585" s="152"/>
      <c r="AA585" s="152"/>
      <c r="AB585" s="436" t="s">
        <v>466</v>
      </c>
    </row>
    <row r="586" spans="1:28" ht="12.6" customHeight="1" x14ac:dyDescent="0.2">
      <c r="A586" s="4"/>
      <c r="B586" s="760" t="s">
        <v>303</v>
      </c>
      <c r="C586" s="679"/>
      <c r="D586" s="679"/>
      <c r="E586" s="680"/>
      <c r="F586" s="337"/>
      <c r="G586" s="95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150"/>
      <c r="Y586" s="135"/>
      <c r="Z586" s="152"/>
      <c r="AA586" s="152"/>
      <c r="AB586" s="436" t="s">
        <v>304</v>
      </c>
    </row>
    <row r="587" spans="1:28" ht="12.6" customHeight="1" x14ac:dyDescent="0.2">
      <c r="A587" s="4"/>
      <c r="B587" s="774" t="s">
        <v>305</v>
      </c>
      <c r="C587" s="676"/>
      <c r="D587" s="676"/>
      <c r="E587" s="677"/>
      <c r="F587" s="242"/>
      <c r="G587" s="97"/>
      <c r="H587" s="242"/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150"/>
      <c r="Y587" s="135"/>
      <c r="Z587" s="152"/>
      <c r="AA587" s="152"/>
      <c r="AB587" s="436"/>
    </row>
    <row r="588" spans="1:28" ht="12.6" customHeight="1" x14ac:dyDescent="0.2">
      <c r="A588" s="4"/>
      <c r="B588" s="764" t="s">
        <v>306</v>
      </c>
      <c r="C588" s="686"/>
      <c r="D588" s="686"/>
      <c r="E588" s="686"/>
      <c r="F588" s="94"/>
      <c r="G588" s="95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150"/>
      <c r="Y588" s="135"/>
      <c r="Z588" s="152"/>
      <c r="AA588" s="152"/>
      <c r="AB588" s="436">
        <v>730</v>
      </c>
    </row>
    <row r="589" spans="1:28" ht="12.6" customHeight="1" x14ac:dyDescent="0.2">
      <c r="A589" s="4"/>
      <c r="B589" s="669" t="s">
        <v>307</v>
      </c>
      <c r="C589" s="693"/>
      <c r="D589" s="693"/>
      <c r="E589" s="693"/>
      <c r="F589" s="242"/>
      <c r="G589" s="97"/>
      <c r="H589" s="242"/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150"/>
      <c r="Y589" s="135"/>
      <c r="Z589" s="152"/>
      <c r="AA589" s="152"/>
      <c r="AB589" s="436">
        <v>731</v>
      </c>
    </row>
    <row r="590" spans="1:28" ht="12.6" customHeight="1" x14ac:dyDescent="0.2">
      <c r="A590" s="4"/>
      <c r="B590" s="764" t="s">
        <v>414</v>
      </c>
      <c r="C590" s="686"/>
      <c r="D590" s="686"/>
      <c r="E590" s="686"/>
      <c r="F590" s="94"/>
      <c r="G590" s="95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144"/>
      <c r="Y590" s="139"/>
      <c r="Z590" s="145"/>
      <c r="AA590" s="146"/>
      <c r="AB590" s="436">
        <v>735</v>
      </c>
    </row>
    <row r="591" spans="1:28" ht="12.6" customHeight="1" x14ac:dyDescent="0.2">
      <c r="A591" s="4"/>
      <c r="B591" s="669" t="s">
        <v>413</v>
      </c>
      <c r="C591" s="693"/>
      <c r="D591" s="693"/>
      <c r="E591" s="693"/>
      <c r="F591" s="242"/>
      <c r="G591" s="97"/>
      <c r="H591" s="242"/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144"/>
      <c r="Y591" s="139"/>
      <c r="Z591" s="145"/>
      <c r="AA591" s="146"/>
      <c r="AB591" s="436">
        <v>736</v>
      </c>
    </row>
    <row r="592" spans="1:28" ht="12.6" customHeight="1" x14ac:dyDescent="0.2">
      <c r="A592" s="4"/>
      <c r="B592" s="764" t="s">
        <v>308</v>
      </c>
      <c r="C592" s="901"/>
      <c r="D592" s="901"/>
      <c r="E592" s="901"/>
      <c r="F592" s="101"/>
      <c r="G592" s="95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144"/>
      <c r="Y592" s="139"/>
      <c r="Z592" s="145"/>
      <c r="AA592" s="146"/>
      <c r="AB592" s="436">
        <v>986</v>
      </c>
    </row>
    <row r="593" spans="1:34" ht="12.6" customHeight="1" x14ac:dyDescent="0.2">
      <c r="A593" s="4"/>
      <c r="B593" s="669" t="s">
        <v>430</v>
      </c>
      <c r="C593" s="664"/>
      <c r="D593" s="664"/>
      <c r="E593" s="664"/>
      <c r="F593" s="242"/>
      <c r="G593" s="97"/>
      <c r="H593" s="242"/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144"/>
      <c r="Y593" s="139"/>
      <c r="Z593" s="145"/>
      <c r="AA593" s="146"/>
      <c r="AB593" s="436"/>
    </row>
    <row r="594" spans="1:34" ht="12.6" customHeight="1" x14ac:dyDescent="0.2">
      <c r="A594" s="4"/>
      <c r="B594" s="764" t="s">
        <v>376</v>
      </c>
      <c r="C594" s="901"/>
      <c r="D594" s="901"/>
      <c r="E594" s="901"/>
      <c r="F594" s="101"/>
      <c r="G594" s="95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144"/>
      <c r="Y594" s="139"/>
      <c r="Z594" s="145"/>
      <c r="AA594" s="146"/>
      <c r="AB594" s="436">
        <v>987</v>
      </c>
    </row>
    <row r="595" spans="1:34" ht="12.6" customHeight="1" x14ac:dyDescent="0.2">
      <c r="A595" s="4"/>
      <c r="B595" s="669" t="s">
        <v>431</v>
      </c>
      <c r="C595" s="664"/>
      <c r="D595" s="664"/>
      <c r="E595" s="664"/>
      <c r="F595" s="242"/>
      <c r="G595" s="97"/>
      <c r="H595" s="242"/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144"/>
      <c r="Y595" s="139"/>
      <c r="Z595" s="145"/>
      <c r="AA595" s="146"/>
      <c r="AB595" s="436"/>
    </row>
    <row r="596" spans="1:34" ht="12.6" customHeight="1" x14ac:dyDescent="0.2">
      <c r="A596" s="4"/>
      <c r="B596" s="764" t="s">
        <v>309</v>
      </c>
      <c r="C596" s="686"/>
      <c r="D596" s="686"/>
      <c r="E596" s="686"/>
      <c r="F596" s="94"/>
      <c r="G596" s="95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144"/>
      <c r="Y596" s="139"/>
      <c r="Z596" s="145"/>
      <c r="AA596" s="146"/>
      <c r="AB596" s="436">
        <v>989</v>
      </c>
    </row>
    <row r="597" spans="1:34" ht="12.6" customHeight="1" x14ac:dyDescent="0.2">
      <c r="A597" s="4"/>
      <c r="B597" s="669" t="s">
        <v>310</v>
      </c>
      <c r="C597" s="693"/>
      <c r="D597" s="693"/>
      <c r="E597" s="693"/>
      <c r="F597" s="242"/>
      <c r="G597" s="97"/>
      <c r="H597" s="242"/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144"/>
      <c r="Y597" s="139"/>
      <c r="Z597" s="145"/>
      <c r="AA597" s="146"/>
      <c r="AB597" s="455" t="s">
        <v>311</v>
      </c>
    </row>
    <row r="598" spans="1:34" ht="12.6" customHeight="1" x14ac:dyDescent="0.2">
      <c r="A598" s="4"/>
      <c r="B598" s="764" t="s">
        <v>312</v>
      </c>
      <c r="C598" s="901"/>
      <c r="D598" s="901"/>
      <c r="E598" s="901"/>
      <c r="F598" s="94"/>
      <c r="G598" s="95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147"/>
      <c r="Y598" s="137"/>
      <c r="Z598" s="148"/>
      <c r="AA598" s="149"/>
      <c r="AB598" s="32"/>
    </row>
    <row r="599" spans="1:34" ht="12.75" customHeight="1" x14ac:dyDescent="0.2">
      <c r="A599" s="76"/>
      <c r="B599" s="111"/>
      <c r="C599" s="207"/>
      <c r="D599" s="207"/>
      <c r="E599" s="207"/>
      <c r="F599" s="133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208"/>
      <c r="Y599" s="76"/>
      <c r="Z599" s="209"/>
      <c r="AA599" s="209"/>
      <c r="AB599" s="210"/>
    </row>
    <row r="600" spans="1:34" ht="13.5" customHeight="1" x14ac:dyDescent="0.2">
      <c r="B600" s="645" t="s">
        <v>313</v>
      </c>
      <c r="C600" s="646"/>
      <c r="D600" s="646"/>
      <c r="E600" s="646"/>
      <c r="F600" s="646"/>
      <c r="G600" s="646"/>
      <c r="H600" s="646"/>
      <c r="I600" s="646"/>
      <c r="J600" s="646"/>
      <c r="K600" s="646"/>
      <c r="L600" s="646"/>
      <c r="M600" s="646"/>
      <c r="N600" s="646"/>
      <c r="O600" s="646"/>
      <c r="P600" s="646"/>
      <c r="Q600" s="646"/>
      <c r="R600" s="646"/>
      <c r="S600" s="646"/>
      <c r="T600" s="647"/>
      <c r="U600" s="647"/>
      <c r="V600" s="648"/>
      <c r="W600" s="648"/>
      <c r="AB600" s="4"/>
    </row>
    <row r="601" spans="1:34" ht="12" customHeight="1" x14ac:dyDescent="0.2">
      <c r="B601" s="649" t="s">
        <v>11</v>
      </c>
      <c r="C601" s="649" t="s">
        <v>12</v>
      </c>
      <c r="D601" s="650"/>
      <c r="E601" s="650"/>
      <c r="F601" s="651" t="s">
        <v>295</v>
      </c>
      <c r="G601" s="651" t="s">
        <v>13</v>
      </c>
      <c r="H601" s="653" t="s">
        <v>844</v>
      </c>
      <c r="I601" s="653"/>
      <c r="J601" s="654"/>
      <c r="K601" s="654"/>
      <c r="L601" s="654"/>
      <c r="M601" s="654"/>
      <c r="N601" s="654"/>
      <c r="O601" s="654"/>
      <c r="P601" s="654"/>
      <c r="Q601" s="654"/>
      <c r="R601" s="654"/>
      <c r="S601" s="654"/>
      <c r="T601" s="654"/>
      <c r="U601" s="654"/>
      <c r="V601" s="654"/>
      <c r="W601" s="654"/>
      <c r="X601" s="637" t="s">
        <v>14</v>
      </c>
      <c r="Y601" s="655"/>
      <c r="Z601" s="655"/>
      <c r="AA601" s="656"/>
      <c r="AB601" s="643" t="s">
        <v>15</v>
      </c>
      <c r="AF601" s="625" t="s">
        <v>3</v>
      </c>
      <c r="AG601" s="626"/>
      <c r="AH601" s="626"/>
    </row>
    <row r="602" spans="1:34" ht="12" customHeight="1" x14ac:dyDescent="0.2">
      <c r="B602" s="650"/>
      <c r="C602" s="650"/>
      <c r="D602" s="650"/>
      <c r="E602" s="650"/>
      <c r="F602" s="652"/>
      <c r="G602" s="652"/>
      <c r="H602" s="530"/>
      <c r="I602" s="531" t="s">
        <v>585</v>
      </c>
      <c r="J602" s="530"/>
      <c r="K602" s="531" t="s">
        <v>296</v>
      </c>
      <c r="L602" s="531"/>
      <c r="M602" s="531" t="s">
        <v>297</v>
      </c>
      <c r="N602" s="531"/>
      <c r="O602" s="531" t="s">
        <v>298</v>
      </c>
      <c r="P602" s="531"/>
      <c r="Q602" s="531" t="s">
        <v>18</v>
      </c>
      <c r="R602" s="531"/>
      <c r="S602" s="531" t="s">
        <v>19</v>
      </c>
      <c r="T602" s="531"/>
      <c r="U602" s="531" t="s">
        <v>299</v>
      </c>
      <c r="V602" s="531"/>
      <c r="W602" s="531" t="s">
        <v>20</v>
      </c>
      <c r="X602" s="657"/>
      <c r="Y602" s="658"/>
      <c r="Z602" s="658"/>
      <c r="AA602" s="659"/>
      <c r="AB602" s="644"/>
    </row>
    <row r="603" spans="1:34" ht="12.6" customHeight="1" x14ac:dyDescent="0.2">
      <c r="B603" s="890" t="s">
        <v>787</v>
      </c>
      <c r="C603" s="890"/>
      <c r="D603" s="890"/>
      <c r="E603" s="890"/>
      <c r="F603" s="600">
        <f>21.73*X2</f>
        <v>22055.95</v>
      </c>
      <c r="G603" s="322">
        <f>+F603*$X$1</f>
        <v>22055.95</v>
      </c>
      <c r="H603" s="104">
        <f>F603+3000</f>
        <v>25055.95</v>
      </c>
      <c r="I603" s="322">
        <f t="shared" ref="I603" si="1164">+H603*$X$1</f>
        <v>25055.95</v>
      </c>
      <c r="J603" s="104">
        <f>F603+700</f>
        <v>22755.95</v>
      </c>
      <c r="K603" s="322">
        <f t="shared" ref="K603" si="1165">+J603*$X$1</f>
        <v>22755.95</v>
      </c>
      <c r="L603" s="104">
        <f>F603+400</f>
        <v>22455.95</v>
      </c>
      <c r="M603" s="322">
        <f t="shared" ref="M603" si="1166">+L603*$X$1</f>
        <v>22455.95</v>
      </c>
      <c r="N603" s="104">
        <f>F603+200</f>
        <v>22255.95</v>
      </c>
      <c r="O603" s="322">
        <f t="shared" ref="O603" si="1167">+N603*$X$1</f>
        <v>22255.95</v>
      </c>
      <c r="P603" s="104">
        <f>F603+160</f>
        <v>22215.95</v>
      </c>
      <c r="Q603" s="322">
        <f t="shared" ref="Q603" si="1168">+P603*$X$1</f>
        <v>22215.95</v>
      </c>
      <c r="R603" s="104">
        <f>F603+120</f>
        <v>22175.95</v>
      </c>
      <c r="S603" s="322">
        <f t="shared" ref="S603" si="1169">+R603*$X$1</f>
        <v>22175.95</v>
      </c>
      <c r="T603" s="104">
        <f>F603+80</f>
        <v>22135.95</v>
      </c>
      <c r="U603" s="322">
        <f t="shared" ref="U603" si="1170">+T603*$X$1</f>
        <v>22135.95</v>
      </c>
      <c r="V603" s="104">
        <f>F603+70</f>
        <v>22125.95</v>
      </c>
      <c r="W603" s="322">
        <f t="shared" ref="W603" si="1171">+V603*$X$1</f>
        <v>22125.95</v>
      </c>
      <c r="X603" s="509"/>
      <c r="Y603" s="141"/>
      <c r="Z603" s="139"/>
      <c r="AA603" s="142"/>
      <c r="AB603" s="456" t="s">
        <v>788</v>
      </c>
    </row>
    <row r="604" spans="1:34" ht="12.6" customHeight="1" x14ac:dyDescent="0.2">
      <c r="B604" s="764" t="s">
        <v>314</v>
      </c>
      <c r="C604" s="764"/>
      <c r="D604" s="764"/>
      <c r="E604" s="764"/>
      <c r="F604" s="500"/>
      <c r="G604" s="514"/>
      <c r="H604" s="108"/>
      <c r="I604" s="108"/>
      <c r="J604" s="514"/>
      <c r="K604" s="514"/>
      <c r="L604" s="514"/>
      <c r="M604" s="514"/>
      <c r="N604" s="119"/>
      <c r="O604" s="514"/>
      <c r="P604" s="514"/>
      <c r="Q604" s="514"/>
      <c r="R604" s="514"/>
      <c r="S604" s="514"/>
      <c r="T604" s="514"/>
      <c r="U604" s="514"/>
      <c r="V604" s="269"/>
      <c r="W604" s="507"/>
      <c r="X604" s="139"/>
      <c r="Y604" s="139"/>
      <c r="Z604" s="139"/>
      <c r="AA604" s="142"/>
      <c r="AB604" s="455" t="s">
        <v>315</v>
      </c>
    </row>
    <row r="605" spans="1:34" ht="12.6" customHeight="1" x14ac:dyDescent="0.2">
      <c r="B605" s="669" t="s">
        <v>316</v>
      </c>
      <c r="C605" s="669"/>
      <c r="D605" s="669"/>
      <c r="E605" s="669"/>
      <c r="F605" s="120"/>
      <c r="G605" s="598"/>
      <c r="H605" s="102"/>
      <c r="I605" s="102"/>
      <c r="J605" s="598"/>
      <c r="K605" s="598"/>
      <c r="L605" s="598"/>
      <c r="M605" s="598"/>
      <c r="N605" s="118"/>
      <c r="O605" s="598"/>
      <c r="P605" s="598"/>
      <c r="Q605" s="598"/>
      <c r="R605" s="598"/>
      <c r="S605" s="598"/>
      <c r="T605" s="598"/>
      <c r="U605" s="598"/>
      <c r="V605" s="601"/>
      <c r="W605" s="504"/>
      <c r="X605" s="139"/>
      <c r="Y605" s="139"/>
      <c r="Z605" s="139"/>
      <c r="AA605" s="142"/>
      <c r="AB605" s="455" t="s">
        <v>317</v>
      </c>
    </row>
    <row r="606" spans="1:34" ht="12.6" customHeight="1" x14ac:dyDescent="0.2">
      <c r="B606" s="668" t="s">
        <v>752</v>
      </c>
      <c r="C606" s="668"/>
      <c r="D606" s="668"/>
      <c r="E606" s="668"/>
      <c r="F606" s="502">
        <f>20.59*X2</f>
        <v>20898.849999999999</v>
      </c>
      <c r="G606" s="300">
        <f>+F606*$X$1</f>
        <v>20898.849999999999</v>
      </c>
      <c r="H606" s="514">
        <f>F606+2400</f>
        <v>23298.85</v>
      </c>
      <c r="I606" s="300">
        <f t="shared" ref="I606:I607" si="1172">+H606*$X$1</f>
        <v>23298.85</v>
      </c>
      <c r="J606" s="514">
        <f>F606+600</f>
        <v>21498.85</v>
      </c>
      <c r="K606" s="300">
        <f t="shared" ref="K606:K607" si="1173">+J606*$X$1</f>
        <v>21498.85</v>
      </c>
      <c r="L606" s="514">
        <f>F606+350</f>
        <v>21248.85</v>
      </c>
      <c r="M606" s="300">
        <f t="shared" ref="M606:M607" si="1174">+L606*$X$1</f>
        <v>21248.85</v>
      </c>
      <c r="N606" s="514">
        <f>F606+170</f>
        <v>21068.85</v>
      </c>
      <c r="O606" s="300">
        <f t="shared" ref="O606:O607" si="1175">+N606*$X$1</f>
        <v>21068.85</v>
      </c>
      <c r="P606" s="514">
        <f>F606+130</f>
        <v>21028.85</v>
      </c>
      <c r="Q606" s="300">
        <f t="shared" ref="Q606:Q607" si="1176">+P606*$X$1</f>
        <v>21028.85</v>
      </c>
      <c r="R606" s="514">
        <f>F606+90</f>
        <v>20988.85</v>
      </c>
      <c r="S606" s="300">
        <f t="shared" ref="S606:S607" si="1177">+R606*$X$1</f>
        <v>20988.85</v>
      </c>
      <c r="T606" s="514">
        <f>F606+75</f>
        <v>20973.85</v>
      </c>
      <c r="U606" s="300">
        <f t="shared" ref="U606:U607" si="1178">+T606*$X$1</f>
        <v>20973.85</v>
      </c>
      <c r="V606" s="514">
        <f>F606+64</f>
        <v>20962.849999999999</v>
      </c>
      <c r="W606" s="300">
        <f t="shared" ref="W606:W607" si="1179">+V606*$X$1</f>
        <v>20962.849999999999</v>
      </c>
      <c r="X606" s="493"/>
      <c r="Y606" s="141"/>
      <c r="Z606" s="139"/>
      <c r="AA606" s="142"/>
      <c r="AB606" s="455" t="s">
        <v>753</v>
      </c>
    </row>
    <row r="607" spans="1:34" ht="12.6" customHeight="1" x14ac:dyDescent="0.2">
      <c r="B607" s="669" t="s">
        <v>911</v>
      </c>
      <c r="C607" s="669"/>
      <c r="D607" s="669"/>
      <c r="E607" s="669"/>
      <c r="F607" s="501">
        <f>22.35*X2</f>
        <v>22685.25</v>
      </c>
      <c r="G607" s="299">
        <f>+F607*$X$1</f>
        <v>22685.25</v>
      </c>
      <c r="H607" s="104">
        <f>F607+3300</f>
        <v>25985.25</v>
      </c>
      <c r="I607" s="322">
        <f t="shared" si="1172"/>
        <v>25985.25</v>
      </c>
      <c r="J607" s="104">
        <f>F607+750</f>
        <v>23435.25</v>
      </c>
      <c r="K607" s="322">
        <f t="shared" si="1173"/>
        <v>23435.25</v>
      </c>
      <c r="L607" s="104">
        <f>F607+590</f>
        <v>23275.25</v>
      </c>
      <c r="M607" s="322">
        <f t="shared" si="1174"/>
        <v>23275.25</v>
      </c>
      <c r="N607" s="104">
        <f>F607+540</f>
        <v>23225.25</v>
      </c>
      <c r="O607" s="322">
        <f t="shared" si="1175"/>
        <v>23225.25</v>
      </c>
      <c r="P607" s="104">
        <f>F607+510</f>
        <v>23195.25</v>
      </c>
      <c r="Q607" s="322">
        <f t="shared" si="1176"/>
        <v>23195.25</v>
      </c>
      <c r="R607" s="104">
        <f>F607+470</f>
        <v>23155.25</v>
      </c>
      <c r="S607" s="322">
        <f t="shared" si="1177"/>
        <v>23155.25</v>
      </c>
      <c r="T607" s="104">
        <f>F607+420</f>
        <v>23105.25</v>
      </c>
      <c r="U607" s="322">
        <f t="shared" si="1178"/>
        <v>23105.25</v>
      </c>
      <c r="V607" s="104">
        <f>F607+390</f>
        <v>23075.25</v>
      </c>
      <c r="W607" s="322">
        <f t="shared" si="1179"/>
        <v>23075.25</v>
      </c>
      <c r="X607" s="595"/>
      <c r="Y607" s="141"/>
      <c r="Z607" s="139"/>
      <c r="AA607" s="142"/>
      <c r="AB607" s="455" t="s">
        <v>910</v>
      </c>
    </row>
    <row r="608" spans="1:34" ht="12.6" customHeight="1" x14ac:dyDescent="0.2">
      <c r="B608" s="668" t="s">
        <v>754</v>
      </c>
      <c r="C608" s="668"/>
      <c r="D608" s="668"/>
      <c r="E608" s="668"/>
      <c r="F608" s="502">
        <f>38.5*X2</f>
        <v>39077.5</v>
      </c>
      <c r="G608" s="300">
        <f>+F608*$X$1</f>
        <v>39077.5</v>
      </c>
      <c r="H608" s="514">
        <f>F608+2400</f>
        <v>41477.5</v>
      </c>
      <c r="I608" s="300">
        <f t="shared" ref="I608:I609" si="1180">+H608*$X$1</f>
        <v>41477.5</v>
      </c>
      <c r="J608" s="514">
        <f>F608+600</f>
        <v>39677.5</v>
      </c>
      <c r="K608" s="300">
        <f t="shared" ref="K608:K609" si="1181">+J608*$X$1</f>
        <v>39677.5</v>
      </c>
      <c r="L608" s="514">
        <f>F608+350</f>
        <v>39427.5</v>
      </c>
      <c r="M608" s="300">
        <f t="shared" ref="M608:M609" si="1182">+L608*$X$1</f>
        <v>39427.5</v>
      </c>
      <c r="N608" s="514">
        <f>F608+170</f>
        <v>39247.5</v>
      </c>
      <c r="O608" s="300">
        <f t="shared" ref="O608:O609" si="1183">+N608*$X$1</f>
        <v>39247.5</v>
      </c>
      <c r="P608" s="514">
        <f>F608+130</f>
        <v>39207.5</v>
      </c>
      <c r="Q608" s="300">
        <f t="shared" ref="Q608:Q609" si="1184">+P608*$X$1</f>
        <v>39207.5</v>
      </c>
      <c r="R608" s="514">
        <f>F608+90</f>
        <v>39167.5</v>
      </c>
      <c r="S608" s="300">
        <f t="shared" ref="S608:S609" si="1185">+R608*$X$1</f>
        <v>39167.5</v>
      </c>
      <c r="T608" s="514">
        <f>F608+75</f>
        <v>39152.5</v>
      </c>
      <c r="U608" s="300">
        <f t="shared" ref="U608:U609" si="1186">+T608*$X$1</f>
        <v>39152.5</v>
      </c>
      <c r="V608" s="514">
        <f>F608+64</f>
        <v>39141.5</v>
      </c>
      <c r="W608" s="300">
        <f t="shared" ref="W608:W609" si="1187">+V608*$X$1</f>
        <v>39141.5</v>
      </c>
      <c r="X608" s="493"/>
      <c r="Y608" s="141"/>
      <c r="Z608" s="139"/>
      <c r="AA608" s="142"/>
      <c r="AB608" s="455" t="s">
        <v>755</v>
      </c>
    </row>
    <row r="609" spans="1:38" ht="12.6" customHeight="1" x14ac:dyDescent="0.2">
      <c r="B609" s="668" t="s">
        <v>904</v>
      </c>
      <c r="C609" s="668"/>
      <c r="D609" s="668"/>
      <c r="E609" s="668"/>
      <c r="F609" s="501">
        <f>30.6*X2</f>
        <v>31059</v>
      </c>
      <c r="G609" s="299">
        <f>+F609*$X$1</f>
        <v>31059</v>
      </c>
      <c r="H609" s="104">
        <f t="shared" ref="H609" si="1188">F609+3000</f>
        <v>34059</v>
      </c>
      <c r="I609" s="322">
        <f t="shared" si="1180"/>
        <v>34059</v>
      </c>
      <c r="J609" s="104">
        <f t="shared" ref="J609" si="1189">F609+600</f>
        <v>31659</v>
      </c>
      <c r="K609" s="322">
        <f t="shared" si="1181"/>
        <v>31659</v>
      </c>
      <c r="L609" s="104">
        <f t="shared" ref="L609" si="1190">F609+450</f>
        <v>31509</v>
      </c>
      <c r="M609" s="322">
        <f t="shared" si="1182"/>
        <v>31509</v>
      </c>
      <c r="N609" s="104">
        <f t="shared" ref="N609" si="1191">F609+400</f>
        <v>31459</v>
      </c>
      <c r="O609" s="322">
        <f t="shared" si="1183"/>
        <v>31459</v>
      </c>
      <c r="P609" s="104">
        <f t="shared" ref="P609" si="1192">F609+370</f>
        <v>31429</v>
      </c>
      <c r="Q609" s="322">
        <f t="shared" si="1184"/>
        <v>31429</v>
      </c>
      <c r="R609" s="104">
        <f t="shared" ref="R609" si="1193">F609+340</f>
        <v>31399</v>
      </c>
      <c r="S609" s="322">
        <f t="shared" si="1185"/>
        <v>31399</v>
      </c>
      <c r="T609" s="104">
        <f t="shared" ref="T609" si="1194">F609+300</f>
        <v>31359</v>
      </c>
      <c r="U609" s="322">
        <f t="shared" si="1186"/>
        <v>31359</v>
      </c>
      <c r="V609" s="104">
        <f t="shared" ref="V609" si="1195">F609+260</f>
        <v>31319</v>
      </c>
      <c r="W609" s="322">
        <f t="shared" si="1187"/>
        <v>31319</v>
      </c>
      <c r="X609" s="594"/>
      <c r="Y609" s="141"/>
      <c r="Z609" s="139"/>
      <c r="AA609" s="142"/>
      <c r="AB609" s="455"/>
    </row>
    <row r="610" spans="1:38" ht="12.6" customHeight="1" x14ac:dyDescent="0.2">
      <c r="B610" s="764" t="s">
        <v>318</v>
      </c>
      <c r="C610" s="764"/>
      <c r="D610" s="764"/>
      <c r="E610" s="764"/>
      <c r="F610" s="500"/>
      <c r="G610" s="496"/>
      <c r="H610" s="108"/>
      <c r="I610" s="108"/>
      <c r="J610" s="496"/>
      <c r="K610" s="496"/>
      <c r="L610" s="496"/>
      <c r="M610" s="496"/>
      <c r="N610" s="496"/>
      <c r="O610" s="496"/>
      <c r="P610" s="119"/>
      <c r="Q610" s="496"/>
      <c r="R610" s="119"/>
      <c r="S610" s="496"/>
      <c r="T610" s="119"/>
      <c r="U610" s="496"/>
      <c r="V610" s="269"/>
      <c r="W610" s="506"/>
      <c r="X610" s="170"/>
      <c r="Y610" s="170"/>
      <c r="Z610" s="170"/>
      <c r="AA610" s="171"/>
      <c r="AB610" s="455" t="s">
        <v>319</v>
      </c>
    </row>
    <row r="611" spans="1:38" ht="12.6" customHeight="1" x14ac:dyDescent="0.2">
      <c r="B611" s="669" t="s">
        <v>320</v>
      </c>
      <c r="C611" s="669"/>
      <c r="D611" s="669"/>
      <c r="E611" s="669"/>
      <c r="F611" s="120"/>
      <c r="G611" s="333"/>
      <c r="H611" s="102"/>
      <c r="I611" s="102"/>
      <c r="J611" s="333"/>
      <c r="K611" s="333"/>
      <c r="L611" s="333"/>
      <c r="M611" s="333"/>
      <c r="N611" s="333"/>
      <c r="O611" s="333"/>
      <c r="P611" s="118"/>
      <c r="Q611" s="333"/>
      <c r="R611" s="118"/>
      <c r="S611" s="333"/>
      <c r="T611" s="118"/>
      <c r="U611" s="333"/>
      <c r="V611" s="503"/>
      <c r="W611" s="505"/>
      <c r="X611" s="170"/>
      <c r="Y611" s="170"/>
      <c r="Z611" s="170"/>
      <c r="AA611" s="171"/>
      <c r="AB611" s="455" t="s">
        <v>321</v>
      </c>
    </row>
    <row r="612" spans="1:38" ht="12.6" customHeight="1" x14ac:dyDescent="0.2">
      <c r="B612" s="764" t="s">
        <v>322</v>
      </c>
      <c r="C612" s="764"/>
      <c r="D612" s="764"/>
      <c r="E612" s="764"/>
      <c r="F612" s="500"/>
      <c r="G612" s="496"/>
      <c r="H612" s="108"/>
      <c r="I612" s="108"/>
      <c r="J612" s="496"/>
      <c r="K612" s="496"/>
      <c r="L612" s="496"/>
      <c r="M612" s="496"/>
      <c r="N612" s="496"/>
      <c r="O612" s="496"/>
      <c r="P612" s="119"/>
      <c r="Q612" s="496"/>
      <c r="R612" s="119"/>
      <c r="S612" s="496"/>
      <c r="T612" s="119"/>
      <c r="U612" s="496"/>
      <c r="V612" s="269"/>
      <c r="W612" s="506"/>
      <c r="X612" s="141"/>
      <c r="Y612" s="141"/>
      <c r="Z612" s="141"/>
      <c r="AA612" s="141"/>
      <c r="AB612" s="455" t="s">
        <v>448</v>
      </c>
    </row>
    <row r="613" spans="1:38" ht="12.6" customHeight="1" x14ac:dyDescent="0.2">
      <c r="B613" s="669" t="s">
        <v>760</v>
      </c>
      <c r="C613" s="669"/>
      <c r="D613" s="669"/>
      <c r="E613" s="669"/>
      <c r="F613" s="501">
        <f>36*X2</f>
        <v>36540</v>
      </c>
      <c r="G613" s="299">
        <f t="shared" ref="G613:G632" si="1196">+F613*$X$1</f>
        <v>36540</v>
      </c>
      <c r="H613" s="333">
        <f>F613+2200</f>
        <v>38740</v>
      </c>
      <c r="I613" s="299">
        <f t="shared" ref="I613" si="1197">+H613*$X$1</f>
        <v>38740</v>
      </c>
      <c r="J613" s="333">
        <f>F613+500</f>
        <v>37040</v>
      </c>
      <c r="K613" s="299">
        <f t="shared" ref="K613" si="1198">+J613*$X$1</f>
        <v>37040</v>
      </c>
      <c r="L613" s="104">
        <f>F613+410</f>
        <v>36950</v>
      </c>
      <c r="M613" s="322">
        <f>+L613*$X$1</f>
        <v>36950</v>
      </c>
      <c r="N613" s="104">
        <f>F613+370</f>
        <v>36910</v>
      </c>
      <c r="O613" s="322">
        <f>+N613*$X$1</f>
        <v>36910</v>
      </c>
      <c r="P613" s="104">
        <f>F613+330</f>
        <v>36870</v>
      </c>
      <c r="Q613" s="322">
        <f>+P613*$X$1</f>
        <v>36870</v>
      </c>
      <c r="R613" s="104">
        <f>F613+290</f>
        <v>36830</v>
      </c>
      <c r="S613" s="322">
        <f>+R613*$X$1</f>
        <v>36830</v>
      </c>
      <c r="T613" s="333">
        <f>F613+240</f>
        <v>36780</v>
      </c>
      <c r="U613" s="299">
        <f t="shared" ref="U613" si="1199">+T613*$X$1</f>
        <v>36780</v>
      </c>
      <c r="V613" s="333">
        <f>F613+220</f>
        <v>36760</v>
      </c>
      <c r="W613" s="299">
        <f t="shared" ref="W613" si="1200">+V613*$X$1</f>
        <v>36760</v>
      </c>
      <c r="X613" s="495"/>
      <c r="Y613" s="141"/>
      <c r="Z613" s="139"/>
      <c r="AA613" s="142"/>
      <c r="AB613" s="455" t="s">
        <v>761</v>
      </c>
    </row>
    <row r="614" spans="1:38" s="1" customFormat="1" ht="12.6" customHeight="1" x14ac:dyDescent="0.2">
      <c r="A614" s="19"/>
      <c r="B614" s="685" t="s">
        <v>208</v>
      </c>
      <c r="C614" s="686"/>
      <c r="D614" s="686"/>
      <c r="E614" s="686"/>
      <c r="F614" s="300"/>
      <c r="G614" s="300"/>
      <c r="H614" s="514"/>
      <c r="I614" s="300"/>
      <c r="J614" s="90"/>
      <c r="K614" s="300"/>
      <c r="L614" s="514"/>
      <c r="M614" s="300"/>
      <c r="N614" s="514"/>
      <c r="O614" s="300"/>
      <c r="P614" s="514"/>
      <c r="Q614" s="300"/>
      <c r="R614" s="514"/>
      <c r="S614" s="300"/>
      <c r="T614" s="514"/>
      <c r="U614" s="300"/>
      <c r="V614" s="514"/>
      <c r="W614" s="300"/>
      <c r="X614" s="665"/>
      <c r="Y614" s="666"/>
      <c r="Z614" s="666"/>
      <c r="AA614" s="667"/>
      <c r="AB614" s="200">
        <v>965</v>
      </c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s="1" customFormat="1" ht="12.6" customHeight="1" x14ac:dyDescent="0.2">
      <c r="A615" s="19"/>
      <c r="B615" s="673" t="s">
        <v>209</v>
      </c>
      <c r="C615" s="676"/>
      <c r="D615" s="676"/>
      <c r="E615" s="677"/>
      <c r="F615" s="299"/>
      <c r="G615" s="299"/>
      <c r="H615" s="296"/>
      <c r="I615" s="364"/>
      <c r="J615" s="72"/>
      <c r="K615" s="299"/>
      <c r="L615" s="333"/>
      <c r="M615" s="299"/>
      <c r="N615" s="333"/>
      <c r="O615" s="299"/>
      <c r="P615" s="333"/>
      <c r="Q615" s="299"/>
      <c r="R615" s="333"/>
      <c r="S615" s="299"/>
      <c r="T615" s="333"/>
      <c r="U615" s="299"/>
      <c r="V615" s="333"/>
      <c r="W615" s="299"/>
      <c r="X615" s="161"/>
      <c r="Y615" s="162"/>
      <c r="Z615" s="162"/>
      <c r="AA615" s="163"/>
      <c r="AB615" s="448">
        <v>967</v>
      </c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:38" s="1" customFormat="1" ht="12.6" customHeight="1" x14ac:dyDescent="0.2">
      <c r="A616" s="19"/>
      <c r="B616" s="670" t="s">
        <v>370</v>
      </c>
      <c r="C616" s="679"/>
      <c r="D616" s="679"/>
      <c r="E616" s="680"/>
      <c r="F616" s="300"/>
      <c r="G616" s="300"/>
      <c r="H616" s="479"/>
      <c r="I616" s="300"/>
      <c r="J616" s="90"/>
      <c r="K616" s="300"/>
      <c r="L616" s="479"/>
      <c r="M616" s="300"/>
      <c r="N616" s="479"/>
      <c r="O616" s="300"/>
      <c r="P616" s="479"/>
      <c r="Q616" s="300"/>
      <c r="R616" s="479"/>
      <c r="S616" s="300"/>
      <c r="T616" s="479"/>
      <c r="U616" s="300"/>
      <c r="V616" s="479"/>
      <c r="W616" s="300"/>
      <c r="X616" s="665"/>
      <c r="Y616" s="666"/>
      <c r="Z616" s="666"/>
      <c r="AA616" s="667"/>
      <c r="AB616" s="448">
        <v>968</v>
      </c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spans="1:38" s="1" customFormat="1" ht="12.6" customHeight="1" x14ac:dyDescent="0.2">
      <c r="A617" s="19"/>
      <c r="B617" s="663" t="s">
        <v>210</v>
      </c>
      <c r="C617" s="693"/>
      <c r="D617" s="693"/>
      <c r="E617" s="693"/>
      <c r="F617" s="299"/>
      <c r="G617" s="299"/>
      <c r="H617" s="333"/>
      <c r="I617" s="299"/>
      <c r="J617" s="72"/>
      <c r="K617" s="299"/>
      <c r="L617" s="333"/>
      <c r="M617" s="299"/>
      <c r="N617" s="333"/>
      <c r="O617" s="299"/>
      <c r="P617" s="333"/>
      <c r="Q617" s="299"/>
      <c r="R617" s="333"/>
      <c r="S617" s="299"/>
      <c r="T617" s="333"/>
      <c r="U617" s="299"/>
      <c r="V617" s="333"/>
      <c r="W617" s="299"/>
      <c r="X617" s="665"/>
      <c r="Y617" s="666"/>
      <c r="Z617" s="666"/>
      <c r="AA617" s="667"/>
      <c r="AB617" s="448">
        <v>969</v>
      </c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spans="1:38" s="1" customFormat="1" ht="12.6" customHeight="1" x14ac:dyDescent="0.2">
      <c r="A618" s="19"/>
      <c r="B618" s="670" t="s">
        <v>388</v>
      </c>
      <c r="C618" s="679"/>
      <c r="D618" s="679"/>
      <c r="E618" s="680"/>
      <c r="F618" s="300"/>
      <c r="G618" s="300"/>
      <c r="H618" s="101"/>
      <c r="I618" s="300"/>
      <c r="J618" s="90"/>
      <c r="K618" s="300"/>
      <c r="L618" s="479"/>
      <c r="M618" s="300"/>
      <c r="N618" s="479"/>
      <c r="O618" s="300"/>
      <c r="P618" s="479"/>
      <c r="Q618" s="300"/>
      <c r="R618" s="479"/>
      <c r="S618" s="300"/>
      <c r="T618" s="479"/>
      <c r="U618" s="300"/>
      <c r="V618" s="479"/>
      <c r="W618" s="300"/>
      <c r="X618" s="224"/>
      <c r="Y618" s="226"/>
      <c r="Z618" s="226"/>
      <c r="AA618" s="225"/>
      <c r="AB618" s="448" t="s">
        <v>475</v>
      </c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spans="1:38" s="1" customFormat="1" ht="12.6" customHeight="1" x14ac:dyDescent="0.2">
      <c r="A619" s="19"/>
      <c r="B619" s="663" t="s">
        <v>211</v>
      </c>
      <c r="C619" s="693"/>
      <c r="D619" s="693"/>
      <c r="E619" s="693"/>
      <c r="F619" s="299"/>
      <c r="G619" s="299"/>
      <c r="H619" s="423"/>
      <c r="I619" s="299"/>
      <c r="J619" s="72"/>
      <c r="K619" s="299"/>
      <c r="L619" s="333"/>
      <c r="M619" s="299"/>
      <c r="N619" s="333"/>
      <c r="O619" s="299"/>
      <c r="P619" s="333"/>
      <c r="Q619" s="299"/>
      <c r="R619" s="333"/>
      <c r="S619" s="299"/>
      <c r="T619" s="333"/>
      <c r="U619" s="299"/>
      <c r="V619" s="333"/>
      <c r="W619" s="299"/>
      <c r="X619" s="665"/>
      <c r="Y619" s="666"/>
      <c r="Z619" s="666"/>
      <c r="AA619" s="667"/>
      <c r="AB619" s="448">
        <v>970</v>
      </c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spans="1:38" s="1" customFormat="1" ht="12.6" customHeight="1" x14ac:dyDescent="0.2">
      <c r="A620" s="19"/>
      <c r="B620" s="685" t="s">
        <v>212</v>
      </c>
      <c r="C620" s="686"/>
      <c r="D620" s="686"/>
      <c r="E620" s="686"/>
      <c r="F620" s="300"/>
      <c r="G620" s="300"/>
      <c r="H620" s="101"/>
      <c r="I620" s="300"/>
      <c r="J620" s="90"/>
      <c r="K620" s="300"/>
      <c r="L620" s="479"/>
      <c r="M620" s="300"/>
      <c r="N620" s="479"/>
      <c r="O620" s="300"/>
      <c r="P620" s="479"/>
      <c r="Q620" s="300"/>
      <c r="R620" s="479"/>
      <c r="S620" s="300"/>
      <c r="T620" s="479"/>
      <c r="U620" s="300"/>
      <c r="V620" s="479"/>
      <c r="W620" s="300"/>
      <c r="X620" s="665"/>
      <c r="Y620" s="666"/>
      <c r="Z620" s="666"/>
      <c r="AA620" s="667"/>
      <c r="AB620" s="448">
        <v>971</v>
      </c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spans="1:38" s="1" customFormat="1" ht="12.6" customHeight="1" x14ac:dyDescent="0.2">
      <c r="A621" s="19"/>
      <c r="B621" s="673" t="s">
        <v>389</v>
      </c>
      <c r="C621" s="676"/>
      <c r="D621" s="676"/>
      <c r="E621" s="677"/>
      <c r="F621" s="299"/>
      <c r="G621" s="299"/>
      <c r="H621" s="423"/>
      <c r="I621" s="299"/>
      <c r="J621" s="72"/>
      <c r="K621" s="299"/>
      <c r="L621" s="333"/>
      <c r="M621" s="299"/>
      <c r="N621" s="333"/>
      <c r="O621" s="299"/>
      <c r="P621" s="333"/>
      <c r="Q621" s="299"/>
      <c r="R621" s="333"/>
      <c r="S621" s="299"/>
      <c r="T621" s="333"/>
      <c r="U621" s="299"/>
      <c r="V621" s="333"/>
      <c r="W621" s="299"/>
      <c r="X621" s="161"/>
      <c r="Y621" s="162"/>
      <c r="Z621" s="162"/>
      <c r="AA621" s="163"/>
      <c r="AB621" s="448">
        <v>972</v>
      </c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:38" s="1" customFormat="1" ht="12.6" customHeight="1" x14ac:dyDescent="0.2">
      <c r="A622" s="19"/>
      <c r="B622" s="685" t="s">
        <v>213</v>
      </c>
      <c r="C622" s="686"/>
      <c r="D622" s="686"/>
      <c r="E622" s="686"/>
      <c r="F622" s="94"/>
      <c r="G622" s="468"/>
      <c r="H622" s="290"/>
      <c r="I622" s="290"/>
      <c r="J622" s="90"/>
      <c r="K622" s="94"/>
      <c r="L622" s="94"/>
      <c r="M622" s="94"/>
      <c r="N622" s="94"/>
      <c r="O622" s="479"/>
      <c r="P622" s="479"/>
      <c r="Q622" s="479"/>
      <c r="R622" s="479"/>
      <c r="S622" s="479"/>
      <c r="T622" s="479"/>
      <c r="U622" s="479"/>
      <c r="V622" s="479"/>
      <c r="W622" s="479"/>
      <c r="X622" s="660"/>
      <c r="Y622" s="661"/>
      <c r="Z622" s="661"/>
      <c r="AA622" s="662"/>
      <c r="AB622" s="200">
        <v>980</v>
      </c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:38" s="1" customFormat="1" ht="12.6" customHeight="1" x14ac:dyDescent="0.2">
      <c r="A623" s="19"/>
      <c r="B623" s="663" t="s">
        <v>214</v>
      </c>
      <c r="C623" s="664"/>
      <c r="D623" s="664"/>
      <c r="E623" s="664"/>
      <c r="F623" s="104"/>
      <c r="G623" s="333"/>
      <c r="H623" s="291"/>
      <c r="I623" s="291"/>
      <c r="J623" s="72"/>
      <c r="K623" s="294"/>
      <c r="L623" s="294"/>
      <c r="M623" s="294"/>
      <c r="N623" s="294"/>
      <c r="O623" s="333"/>
      <c r="P623" s="333"/>
      <c r="Q623" s="333"/>
      <c r="R623" s="333"/>
      <c r="S623" s="333"/>
      <c r="T623" s="333"/>
      <c r="U623" s="333"/>
      <c r="V623" s="333"/>
      <c r="W623" s="333"/>
      <c r="X623" s="660"/>
      <c r="Y623" s="661"/>
      <c r="Z623" s="661"/>
      <c r="AA623" s="662"/>
      <c r="AB623" s="200">
        <v>981</v>
      </c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:38" s="1" customFormat="1" ht="12.6" customHeight="1" x14ac:dyDescent="0.2">
      <c r="A624" s="19"/>
      <c r="B624" s="670" t="s">
        <v>491</v>
      </c>
      <c r="C624" s="671"/>
      <c r="D624" s="671"/>
      <c r="E624" s="672"/>
      <c r="F624" s="103"/>
      <c r="G624" s="468"/>
      <c r="H624" s="290"/>
      <c r="I624" s="290"/>
      <c r="J624" s="90"/>
      <c r="K624" s="94"/>
      <c r="L624" s="94"/>
      <c r="M624" s="94"/>
      <c r="N624" s="94"/>
      <c r="O624" s="479"/>
      <c r="P624" s="479"/>
      <c r="Q624" s="479"/>
      <c r="R624" s="479"/>
      <c r="S624" s="479"/>
      <c r="T624" s="479"/>
      <c r="U624" s="479"/>
      <c r="V624" s="479"/>
      <c r="W624" s="479"/>
      <c r="X624" s="660"/>
      <c r="Y624" s="661"/>
      <c r="Z624" s="661"/>
      <c r="AA624" s="662"/>
      <c r="AB624" s="200">
        <v>982</v>
      </c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:38" s="1" customFormat="1" ht="12.6" customHeight="1" x14ac:dyDescent="0.2">
      <c r="A625" s="19"/>
      <c r="B625" s="673" t="s">
        <v>524</v>
      </c>
      <c r="C625" s="674"/>
      <c r="D625" s="674"/>
      <c r="E625" s="675"/>
      <c r="F625" s="104"/>
      <c r="G625" s="333"/>
      <c r="H625" s="296"/>
      <c r="I625" s="291"/>
      <c r="J625" s="72"/>
      <c r="K625" s="294"/>
      <c r="L625" s="294"/>
      <c r="M625" s="294"/>
      <c r="N625" s="294"/>
      <c r="O625" s="333"/>
      <c r="P625" s="333"/>
      <c r="Q625" s="333"/>
      <c r="R625" s="333"/>
      <c r="S625" s="333"/>
      <c r="T625" s="333"/>
      <c r="U625" s="333"/>
      <c r="V625" s="333"/>
      <c r="W625" s="333"/>
      <c r="X625" s="660"/>
      <c r="Y625" s="661"/>
      <c r="Z625" s="661"/>
      <c r="AA625" s="662"/>
      <c r="AB625" s="200">
        <v>983</v>
      </c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:38" s="1" customFormat="1" ht="12.6" customHeight="1" x14ac:dyDescent="0.2">
      <c r="A626" s="19"/>
      <c r="B626" s="670" t="s">
        <v>215</v>
      </c>
      <c r="C626" s="671"/>
      <c r="D626" s="671"/>
      <c r="E626" s="672"/>
      <c r="F626" s="94"/>
      <c r="G626" s="468"/>
      <c r="H626" s="290"/>
      <c r="I626" s="290"/>
      <c r="J626" s="90"/>
      <c r="K626" s="94"/>
      <c r="L626" s="94"/>
      <c r="M626" s="94"/>
      <c r="N626" s="94"/>
      <c r="O626" s="479"/>
      <c r="P626" s="479"/>
      <c r="Q626" s="479"/>
      <c r="R626" s="479"/>
      <c r="S626" s="479"/>
      <c r="T626" s="479"/>
      <c r="U626" s="479"/>
      <c r="V626" s="479"/>
      <c r="W626" s="479"/>
      <c r="X626" s="660"/>
      <c r="Y626" s="661"/>
      <c r="Z626" s="661"/>
      <c r="AA626" s="662"/>
      <c r="AB626" s="200">
        <v>984</v>
      </c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:38" s="1" customFormat="1" ht="12.6" customHeight="1" x14ac:dyDescent="0.2">
      <c r="A627" s="19"/>
      <c r="B627" s="673" t="s">
        <v>216</v>
      </c>
      <c r="C627" s="674"/>
      <c r="D627" s="674"/>
      <c r="E627" s="675"/>
      <c r="F627" s="325"/>
      <c r="G627" s="333"/>
      <c r="H627" s="296"/>
      <c r="I627" s="291"/>
      <c r="J627" s="72"/>
      <c r="K627" s="294"/>
      <c r="L627" s="294"/>
      <c r="M627" s="294"/>
      <c r="N627" s="294"/>
      <c r="O627" s="333"/>
      <c r="P627" s="333"/>
      <c r="Q627" s="333"/>
      <c r="R627" s="333"/>
      <c r="S627" s="333"/>
      <c r="T627" s="333"/>
      <c r="U627" s="333"/>
      <c r="V627" s="333"/>
      <c r="W627" s="333"/>
      <c r="X627" s="660"/>
      <c r="Y627" s="661"/>
      <c r="Z627" s="661"/>
      <c r="AA627" s="662"/>
      <c r="AB627" s="200">
        <v>985</v>
      </c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:38" ht="12.6" customHeight="1" x14ac:dyDescent="0.2">
      <c r="B628" s="764" t="s">
        <v>757</v>
      </c>
      <c r="C628" s="764"/>
      <c r="D628" s="764"/>
      <c r="E628" s="764"/>
      <c r="F628" s="502">
        <f>23*X2</f>
        <v>23345</v>
      </c>
      <c r="G628" s="300">
        <f t="shared" si="1196"/>
        <v>23345</v>
      </c>
      <c r="H628" s="269"/>
      <c r="I628" s="269"/>
      <c r="J628" s="496">
        <f>F628+600</f>
        <v>23945</v>
      </c>
      <c r="K628" s="300">
        <f t="shared" ref="K628:K629" si="1201">+J628*$X$1</f>
        <v>23945</v>
      </c>
      <c r="L628" s="496">
        <f>F628+350</f>
        <v>23695</v>
      </c>
      <c r="M628" s="300">
        <f t="shared" ref="M628:M629" si="1202">+L628*$X$1</f>
        <v>23695</v>
      </c>
      <c r="N628" s="496">
        <f>F628+170</f>
        <v>23515</v>
      </c>
      <c r="O628" s="300">
        <f t="shared" ref="O628:O629" si="1203">+N628*$X$1</f>
        <v>23515</v>
      </c>
      <c r="P628" s="496">
        <f>F628+130</f>
        <v>23475</v>
      </c>
      <c r="Q628" s="300">
        <f t="shared" ref="Q628:Q629" si="1204">+P628*$X$1</f>
        <v>23475</v>
      </c>
      <c r="R628" s="496">
        <f>F628+90</f>
        <v>23435</v>
      </c>
      <c r="S628" s="300">
        <f t="shared" ref="S628:S629" si="1205">+R628*$X$1</f>
        <v>23435</v>
      </c>
      <c r="T628" s="496">
        <f>F628+75</f>
        <v>23420</v>
      </c>
      <c r="U628" s="300">
        <f t="shared" ref="U628:U629" si="1206">+T628*$X$1</f>
        <v>23420</v>
      </c>
      <c r="V628" s="496">
        <f>F628+64</f>
        <v>23409</v>
      </c>
      <c r="W628" s="300">
        <f t="shared" ref="W628:W629" si="1207">+V628*$X$1</f>
        <v>23409</v>
      </c>
      <c r="X628" s="495"/>
      <c r="Y628" s="141"/>
      <c r="Z628" s="139"/>
      <c r="AA628" s="142"/>
      <c r="AB628" s="455" t="s">
        <v>756</v>
      </c>
    </row>
    <row r="629" spans="1:38" ht="12.6" customHeight="1" x14ac:dyDescent="0.2">
      <c r="B629" s="669" t="s">
        <v>912</v>
      </c>
      <c r="C629" s="669"/>
      <c r="D629" s="669"/>
      <c r="E629" s="669"/>
      <c r="F629" s="501">
        <f>23.6*X2</f>
        <v>23954</v>
      </c>
      <c r="G629" s="299">
        <f t="shared" ref="G629" si="1208">+F629*$X$1</f>
        <v>23954</v>
      </c>
      <c r="H629" s="272"/>
      <c r="I629" s="272"/>
      <c r="J629" s="598">
        <f>F629+600</f>
        <v>24554</v>
      </c>
      <c r="K629" s="299">
        <f t="shared" si="1201"/>
        <v>24554</v>
      </c>
      <c r="L629" s="598">
        <f>F629+350</f>
        <v>24304</v>
      </c>
      <c r="M629" s="299">
        <f t="shared" si="1202"/>
        <v>24304</v>
      </c>
      <c r="N629" s="598">
        <f>F629+170</f>
        <v>24124</v>
      </c>
      <c r="O629" s="299">
        <f t="shared" si="1203"/>
        <v>24124</v>
      </c>
      <c r="P629" s="598">
        <f>F629+130</f>
        <v>24084</v>
      </c>
      <c r="Q629" s="299">
        <f t="shared" si="1204"/>
        <v>24084</v>
      </c>
      <c r="R629" s="598">
        <f>F629+90</f>
        <v>24044</v>
      </c>
      <c r="S629" s="299">
        <f t="shared" si="1205"/>
        <v>24044</v>
      </c>
      <c r="T629" s="598">
        <f>F629+75</f>
        <v>24029</v>
      </c>
      <c r="U629" s="299">
        <f t="shared" si="1206"/>
        <v>24029</v>
      </c>
      <c r="V629" s="598">
        <f>F629+64</f>
        <v>24018</v>
      </c>
      <c r="W629" s="299">
        <f t="shared" si="1207"/>
        <v>24018</v>
      </c>
      <c r="X629" s="595"/>
      <c r="Y629" s="141"/>
      <c r="Z629" s="139"/>
      <c r="AA629" s="142"/>
      <c r="AB629" s="455" t="s">
        <v>913</v>
      </c>
    </row>
    <row r="630" spans="1:38" ht="12.6" customHeight="1" x14ac:dyDescent="0.2">
      <c r="B630" s="764" t="s">
        <v>758</v>
      </c>
      <c r="C630" s="764"/>
      <c r="D630" s="764"/>
      <c r="E630" s="764"/>
      <c r="F630" s="502">
        <f>36.297*X2</f>
        <v>36841.454999999994</v>
      </c>
      <c r="G630" s="300">
        <f t="shared" si="1196"/>
        <v>36841.454999999994</v>
      </c>
      <c r="H630" s="269"/>
      <c r="I630" s="269"/>
      <c r="J630" s="514">
        <f>F630+600</f>
        <v>37441.454999999994</v>
      </c>
      <c r="K630" s="300">
        <f t="shared" ref="K630" si="1209">+J630*$X$1</f>
        <v>37441.454999999994</v>
      </c>
      <c r="L630" s="514">
        <f>F630+350</f>
        <v>37191.454999999994</v>
      </c>
      <c r="M630" s="300">
        <f t="shared" ref="M630:M631" si="1210">+L630*$X$1</f>
        <v>37191.454999999994</v>
      </c>
      <c r="N630" s="514">
        <f>F630+170</f>
        <v>37011.454999999994</v>
      </c>
      <c r="O630" s="300">
        <f t="shared" ref="O630:O631" si="1211">+N630*$X$1</f>
        <v>37011.454999999994</v>
      </c>
      <c r="P630" s="514">
        <f>F630+130</f>
        <v>36971.454999999994</v>
      </c>
      <c r="Q630" s="300">
        <f t="shared" ref="Q630:Q631" si="1212">+P630*$X$1</f>
        <v>36971.454999999994</v>
      </c>
      <c r="R630" s="514">
        <f>F630+90</f>
        <v>36931.454999999994</v>
      </c>
      <c r="S630" s="300">
        <f t="shared" ref="S630:S631" si="1213">+R630*$X$1</f>
        <v>36931.454999999994</v>
      </c>
      <c r="T630" s="514">
        <f>F630+75</f>
        <v>36916.454999999994</v>
      </c>
      <c r="U630" s="300">
        <f t="shared" ref="U630:U631" si="1214">+T630*$X$1</f>
        <v>36916.454999999994</v>
      </c>
      <c r="V630" s="514">
        <f>F630+64</f>
        <v>36905.454999999994</v>
      </c>
      <c r="W630" s="300">
        <f t="shared" ref="W630:W631" si="1215">+V630*$X$1</f>
        <v>36905.454999999994</v>
      </c>
      <c r="X630" s="495"/>
      <c r="Y630" s="141"/>
      <c r="Z630" s="139"/>
      <c r="AA630" s="142"/>
      <c r="AB630" s="455" t="s">
        <v>759</v>
      </c>
    </row>
    <row r="631" spans="1:38" s="1" customFormat="1" ht="12.6" customHeight="1" x14ac:dyDescent="0.2">
      <c r="A631" s="19"/>
      <c r="B631" s="673" t="s">
        <v>578</v>
      </c>
      <c r="C631" s="676"/>
      <c r="D631" s="676"/>
      <c r="E631" s="677"/>
      <c r="F631" s="508">
        <v>8330</v>
      </c>
      <c r="G631" s="301">
        <f t="shared" si="1196"/>
        <v>8330</v>
      </c>
      <c r="H631" s="598">
        <f>F631+2200</f>
        <v>10530</v>
      </c>
      <c r="I631" s="299">
        <f t="shared" ref="I631" si="1216">+H631*$X$1</f>
        <v>10530</v>
      </c>
      <c r="J631" s="72">
        <f>F631+500</f>
        <v>8830</v>
      </c>
      <c r="K631" s="299">
        <f>+J631*$X$1</f>
        <v>8830</v>
      </c>
      <c r="L631" s="598">
        <f>F631+250</f>
        <v>8580</v>
      </c>
      <c r="M631" s="299">
        <f t="shared" si="1210"/>
        <v>8580</v>
      </c>
      <c r="N631" s="598">
        <f t="shared" ref="N631:N636" si="1217">F631+100</f>
        <v>8430</v>
      </c>
      <c r="O631" s="299">
        <f t="shared" si="1211"/>
        <v>8430</v>
      </c>
      <c r="P631" s="598">
        <f t="shared" ref="P631:P636" si="1218">F631+80</f>
        <v>8410</v>
      </c>
      <c r="Q631" s="299">
        <f t="shared" si="1212"/>
        <v>8410</v>
      </c>
      <c r="R631" s="598">
        <f t="shared" ref="R631:R636" si="1219">F631+60</f>
        <v>8390</v>
      </c>
      <c r="S631" s="299">
        <f t="shared" si="1213"/>
        <v>8390</v>
      </c>
      <c r="T631" s="598">
        <f t="shared" ref="T631:T636" si="1220">F631+50</f>
        <v>8380</v>
      </c>
      <c r="U631" s="299">
        <f t="shared" si="1214"/>
        <v>8380</v>
      </c>
      <c r="V631" s="598">
        <f>F631+44</f>
        <v>8374</v>
      </c>
      <c r="W631" s="299">
        <f t="shared" si="1215"/>
        <v>8374</v>
      </c>
      <c r="X631" s="665"/>
      <c r="Y631" s="681"/>
      <c r="Z631" s="681"/>
      <c r="AA631" s="667"/>
      <c r="AB631" s="200">
        <v>1010</v>
      </c>
      <c r="AC631" s="4"/>
      <c r="AD631" s="4"/>
      <c r="AE631" s="4"/>
      <c r="AF631" s="4"/>
      <c r="AG631" s="4"/>
      <c r="AH631" s="132"/>
      <c r="AI631" s="4"/>
      <c r="AJ631" s="4"/>
      <c r="AK631" s="4"/>
      <c r="AL631" s="4"/>
    </row>
    <row r="632" spans="1:38" s="1" customFormat="1" ht="12.6" customHeight="1" x14ac:dyDescent="0.2">
      <c r="A632" s="19"/>
      <c r="B632" s="670" t="s">
        <v>579</v>
      </c>
      <c r="C632" s="679"/>
      <c r="D632" s="679"/>
      <c r="E632" s="680"/>
      <c r="F632" s="347">
        <v>20824</v>
      </c>
      <c r="G632" s="300">
        <f t="shared" si="1196"/>
        <v>20824</v>
      </c>
      <c r="H632" s="514">
        <f>F632+2200</f>
        <v>23024</v>
      </c>
      <c r="I632" s="300">
        <f t="shared" ref="I632" si="1221">+H632*$X$1</f>
        <v>23024</v>
      </c>
      <c r="J632" s="90">
        <f>F632+500</f>
        <v>21324</v>
      </c>
      <c r="K632" s="300">
        <f>+J632*$X$1</f>
        <v>21324</v>
      </c>
      <c r="L632" s="514">
        <f>F632+250</f>
        <v>21074</v>
      </c>
      <c r="M632" s="300">
        <f t="shared" ref="M632" si="1222">+L632*$X$1</f>
        <v>21074</v>
      </c>
      <c r="N632" s="514">
        <f t="shared" si="1217"/>
        <v>20924</v>
      </c>
      <c r="O632" s="300">
        <f t="shared" ref="O632" si="1223">+N632*$X$1</f>
        <v>20924</v>
      </c>
      <c r="P632" s="514">
        <f t="shared" si="1218"/>
        <v>20904</v>
      </c>
      <c r="Q632" s="300">
        <f t="shared" ref="Q632" si="1224">+P632*$X$1</f>
        <v>20904</v>
      </c>
      <c r="R632" s="514">
        <f t="shared" si="1219"/>
        <v>20884</v>
      </c>
      <c r="S632" s="300">
        <f t="shared" ref="S632" si="1225">+R632*$X$1</f>
        <v>20884</v>
      </c>
      <c r="T632" s="514">
        <f t="shared" si="1220"/>
        <v>20874</v>
      </c>
      <c r="U632" s="300">
        <f t="shared" ref="U632" si="1226">+T632*$X$1</f>
        <v>20874</v>
      </c>
      <c r="V632" s="514">
        <f>F632+44</f>
        <v>20868</v>
      </c>
      <c r="W632" s="300">
        <f t="shared" ref="W632" si="1227">+V632*$X$1</f>
        <v>20868</v>
      </c>
      <c r="X632" s="665"/>
      <c r="Y632" s="681"/>
      <c r="Z632" s="681"/>
      <c r="AA632" s="667"/>
      <c r="AB632" s="200">
        <v>1011</v>
      </c>
      <c r="AC632" s="4"/>
      <c r="AD632" s="4"/>
      <c r="AE632" s="4"/>
      <c r="AF632" s="4"/>
      <c r="AG632" s="4"/>
      <c r="AH632" s="132"/>
      <c r="AI632" s="4"/>
      <c r="AJ632" s="4"/>
      <c r="AK632" s="4"/>
      <c r="AL632" s="4"/>
    </row>
    <row r="633" spans="1:38" ht="12.6" customHeight="1" x14ac:dyDescent="0.2">
      <c r="B633" s="669" t="s">
        <v>685</v>
      </c>
      <c r="C633" s="669"/>
      <c r="D633" s="669"/>
      <c r="E633" s="669"/>
      <c r="F633" s="407">
        <f>3.04*X2</f>
        <v>3085.6</v>
      </c>
      <c r="G633" s="299">
        <f>+F633*$X$1</f>
        <v>3085.6</v>
      </c>
      <c r="H633" s="102"/>
      <c r="I633" s="102"/>
      <c r="J633" s="272"/>
      <c r="K633" s="272"/>
      <c r="L633" s="598">
        <f>F633+250</f>
        <v>3335.6</v>
      </c>
      <c r="M633" s="299">
        <f t="shared" ref="M633" si="1228">+L633*$X$1</f>
        <v>3335.6</v>
      </c>
      <c r="N633" s="598">
        <f t="shared" si="1217"/>
        <v>3185.6</v>
      </c>
      <c r="O633" s="299">
        <f t="shared" ref="O633" si="1229">+N633*$X$1</f>
        <v>3185.6</v>
      </c>
      <c r="P633" s="598">
        <f t="shared" si="1218"/>
        <v>3165.6</v>
      </c>
      <c r="Q633" s="299">
        <f t="shared" ref="Q633" si="1230">+P633*$X$1</f>
        <v>3165.6</v>
      </c>
      <c r="R633" s="598">
        <f t="shared" si="1219"/>
        <v>3145.6</v>
      </c>
      <c r="S633" s="299">
        <f t="shared" ref="S633" si="1231">+R633*$X$1</f>
        <v>3145.6</v>
      </c>
      <c r="T633" s="598">
        <f t="shared" si="1220"/>
        <v>3135.6</v>
      </c>
      <c r="U633" s="299">
        <f t="shared" ref="U633" si="1232">+T633*$X$1</f>
        <v>3135.6</v>
      </c>
      <c r="V633" s="598">
        <f>F633+44</f>
        <v>3129.6</v>
      </c>
      <c r="W633" s="299">
        <f t="shared" ref="W633" si="1233">+V633*$X$1</f>
        <v>3129.6</v>
      </c>
      <c r="X633" s="457"/>
      <c r="Y633" s="141"/>
      <c r="Z633" s="139"/>
      <c r="AA633" s="142"/>
      <c r="AB633" s="455" t="s">
        <v>686</v>
      </c>
    </row>
    <row r="634" spans="1:38" ht="12.6" customHeight="1" x14ac:dyDescent="0.2">
      <c r="B634" s="764" t="s">
        <v>691</v>
      </c>
      <c r="C634" s="764"/>
      <c r="D634" s="764"/>
      <c r="E634" s="764"/>
      <c r="F634" s="408">
        <f>11.3*X2</f>
        <v>11469.5</v>
      </c>
      <c r="G634" s="300">
        <f>+F634*$X$1</f>
        <v>11469.5</v>
      </c>
      <c r="H634" s="108"/>
      <c r="I634" s="108"/>
      <c r="J634" s="269"/>
      <c r="K634" s="269"/>
      <c r="L634" s="514">
        <f>F634+250</f>
        <v>11719.5</v>
      </c>
      <c r="M634" s="300">
        <f t="shared" ref="M634" si="1234">+L634*$X$1</f>
        <v>11719.5</v>
      </c>
      <c r="N634" s="514">
        <f t="shared" si="1217"/>
        <v>11569.5</v>
      </c>
      <c r="O634" s="300">
        <f t="shared" ref="O634" si="1235">+N634*$X$1</f>
        <v>11569.5</v>
      </c>
      <c r="P634" s="514">
        <f t="shared" si="1218"/>
        <v>11549.5</v>
      </c>
      <c r="Q634" s="300">
        <f t="shared" ref="Q634" si="1236">+P634*$X$1</f>
        <v>11549.5</v>
      </c>
      <c r="R634" s="514">
        <f t="shared" si="1219"/>
        <v>11529.5</v>
      </c>
      <c r="S634" s="300">
        <f t="shared" ref="S634" si="1237">+R634*$X$1</f>
        <v>11529.5</v>
      </c>
      <c r="T634" s="514">
        <f t="shared" si="1220"/>
        <v>11519.5</v>
      </c>
      <c r="U634" s="300">
        <f t="shared" ref="U634" si="1238">+T634*$X$1</f>
        <v>11519.5</v>
      </c>
      <c r="V634" s="514">
        <f>F634+44</f>
        <v>11513.5</v>
      </c>
      <c r="W634" s="300">
        <f t="shared" ref="W634" si="1239">+V634*$X$1</f>
        <v>11513.5</v>
      </c>
      <c r="X634" s="458"/>
      <c r="Y634" s="141"/>
      <c r="Z634" s="139"/>
      <c r="AA634" s="142"/>
      <c r="AB634" s="455" t="s">
        <v>692</v>
      </c>
    </row>
    <row r="635" spans="1:38" ht="12.6" customHeight="1" x14ac:dyDescent="0.2">
      <c r="B635" s="669" t="s">
        <v>512</v>
      </c>
      <c r="C635" s="669"/>
      <c r="D635" s="669"/>
      <c r="E635" s="669"/>
      <c r="F635" s="407">
        <f>4.7*X2</f>
        <v>4770.5</v>
      </c>
      <c r="G635" s="299">
        <f>+F635*$X$1</f>
        <v>4770.5</v>
      </c>
      <c r="H635" s="102"/>
      <c r="I635" s="102"/>
      <c r="J635" s="272"/>
      <c r="K635" s="272"/>
      <c r="L635" s="598">
        <f>F635+250</f>
        <v>5020.5</v>
      </c>
      <c r="M635" s="299">
        <f t="shared" ref="M635" si="1240">+L635*$X$1</f>
        <v>5020.5</v>
      </c>
      <c r="N635" s="598">
        <f t="shared" si="1217"/>
        <v>4870.5</v>
      </c>
      <c r="O635" s="299">
        <f t="shared" ref="O635" si="1241">+N635*$X$1</f>
        <v>4870.5</v>
      </c>
      <c r="P635" s="598">
        <f t="shared" si="1218"/>
        <v>4850.5</v>
      </c>
      <c r="Q635" s="299">
        <f t="shared" ref="Q635" si="1242">+P635*$X$1</f>
        <v>4850.5</v>
      </c>
      <c r="R635" s="598">
        <f t="shared" si="1219"/>
        <v>4830.5</v>
      </c>
      <c r="S635" s="299">
        <f t="shared" ref="S635" si="1243">+R635*$X$1</f>
        <v>4830.5</v>
      </c>
      <c r="T635" s="598">
        <f t="shared" si="1220"/>
        <v>4820.5</v>
      </c>
      <c r="U635" s="299">
        <f t="shared" ref="U635" si="1244">+T635*$X$1</f>
        <v>4820.5</v>
      </c>
      <c r="V635" s="598">
        <f>F635+44</f>
        <v>4814.5</v>
      </c>
      <c r="W635" s="299">
        <f t="shared" ref="W635" si="1245">+V635*$X$1</f>
        <v>4814.5</v>
      </c>
      <c r="X635" s="240"/>
      <c r="Y635" s="141"/>
      <c r="Z635" s="139"/>
      <c r="AA635" s="142"/>
      <c r="AB635" s="455" t="s">
        <v>442</v>
      </c>
    </row>
    <row r="636" spans="1:38" ht="12.6" customHeight="1" x14ac:dyDescent="0.2">
      <c r="A636" s="10"/>
      <c r="B636" s="678" t="s">
        <v>323</v>
      </c>
      <c r="C636" s="678"/>
      <c r="D636" s="678"/>
      <c r="E636" s="678"/>
      <c r="F636" s="408">
        <f>35.2*X2</f>
        <v>35728</v>
      </c>
      <c r="G636" s="300">
        <f t="shared" ref="G636" si="1246">+F636*$X$1</f>
        <v>35728</v>
      </c>
      <c r="H636" s="108"/>
      <c r="I636" s="108"/>
      <c r="J636" s="269"/>
      <c r="K636" s="269"/>
      <c r="L636" s="514">
        <f>F636+220</f>
        <v>35948</v>
      </c>
      <c r="M636" s="300">
        <f t="shared" ref="M636" si="1247">+L636*$X$1</f>
        <v>35948</v>
      </c>
      <c r="N636" s="514">
        <f t="shared" si="1217"/>
        <v>35828</v>
      </c>
      <c r="O636" s="300">
        <f t="shared" ref="O636" si="1248">+N636*$X$1</f>
        <v>35828</v>
      </c>
      <c r="P636" s="514">
        <f t="shared" si="1218"/>
        <v>35808</v>
      </c>
      <c r="Q636" s="300">
        <f t="shared" ref="Q636" si="1249">+P636*$X$1</f>
        <v>35808</v>
      </c>
      <c r="R636" s="514">
        <f t="shared" si="1219"/>
        <v>35788</v>
      </c>
      <c r="S636" s="300">
        <f t="shared" ref="S636" si="1250">+R636*$X$1</f>
        <v>35788</v>
      </c>
      <c r="T636" s="514">
        <f t="shared" si="1220"/>
        <v>35778</v>
      </c>
      <c r="U636" s="300">
        <f t="shared" ref="U636" si="1251">+T636*$X$1</f>
        <v>35778</v>
      </c>
      <c r="V636" s="514"/>
      <c r="W636" s="300"/>
      <c r="X636" s="139"/>
      <c r="Y636" s="143"/>
      <c r="Z636" s="139"/>
      <c r="AA636" s="142"/>
      <c r="AB636" s="455" t="s">
        <v>458</v>
      </c>
    </row>
    <row r="637" spans="1:38" ht="12.6" customHeight="1" x14ac:dyDescent="0.2">
      <c r="A637" s="10"/>
      <c r="B637" s="991" t="s">
        <v>457</v>
      </c>
      <c r="C637" s="991"/>
      <c r="D637" s="991"/>
      <c r="E637" s="991"/>
      <c r="F637" s="299"/>
      <c r="G637" s="299"/>
      <c r="H637" s="102"/>
      <c r="I637" s="102"/>
      <c r="J637" s="598"/>
      <c r="K637" s="299"/>
      <c r="L637" s="598"/>
      <c r="M637" s="299"/>
      <c r="N637" s="598"/>
      <c r="O637" s="299"/>
      <c r="P637" s="598"/>
      <c r="Q637" s="299"/>
      <c r="R637" s="598"/>
      <c r="S637" s="299"/>
      <c r="T637" s="598"/>
      <c r="U637" s="299"/>
      <c r="V637" s="589"/>
      <c r="W637" s="590"/>
      <c r="X637" s="139"/>
      <c r="Y637" s="143"/>
      <c r="Z637" s="139"/>
      <c r="AA637" s="142"/>
      <c r="AB637" s="455" t="s">
        <v>324</v>
      </c>
    </row>
    <row r="638" spans="1:38" ht="12.6" customHeight="1" x14ac:dyDescent="0.2">
      <c r="A638" s="211"/>
      <c r="B638" s="111"/>
      <c r="C638" s="459"/>
      <c r="D638" s="459"/>
      <c r="E638" s="459"/>
      <c r="F638" s="463"/>
      <c r="G638" s="353"/>
      <c r="H638" s="121"/>
      <c r="I638" s="353"/>
      <c r="J638" s="121"/>
      <c r="K638" s="353"/>
      <c r="L638" s="121"/>
      <c r="M638" s="353"/>
      <c r="N638" s="121"/>
      <c r="O638" s="353"/>
      <c r="P638" s="121"/>
      <c r="Q638" s="353"/>
      <c r="R638" s="121"/>
      <c r="S638" s="353"/>
      <c r="T638" s="121"/>
      <c r="U638" s="353"/>
      <c r="V638" s="76"/>
      <c r="W638" s="462"/>
      <c r="X638" s="460"/>
      <c r="Y638" s="460"/>
      <c r="Z638" s="460"/>
      <c r="AA638" s="460"/>
      <c r="AB638" s="464"/>
    </row>
    <row r="639" spans="1:38" ht="12.6" customHeight="1" x14ac:dyDescent="0.2">
      <c r="A639" s="211"/>
      <c r="B639" s="111"/>
      <c r="C639" s="617"/>
      <c r="D639" s="617"/>
      <c r="E639" s="617"/>
      <c r="F639" s="463"/>
      <c r="G639" s="353"/>
      <c r="H639" s="121"/>
      <c r="I639" s="353"/>
      <c r="J639" s="121"/>
      <c r="K639" s="353"/>
      <c r="L639" s="121"/>
      <c r="M639" s="353"/>
      <c r="N639" s="121"/>
      <c r="O639" s="353"/>
      <c r="P639" s="121"/>
      <c r="Q639" s="353"/>
      <c r="R639" s="121"/>
      <c r="S639" s="353"/>
      <c r="T639" s="121"/>
      <c r="U639" s="353"/>
      <c r="V639" s="76"/>
      <c r="W639" s="525"/>
      <c r="X639" s="621"/>
      <c r="Y639" s="621"/>
      <c r="Z639" s="621"/>
      <c r="AA639" s="621"/>
      <c r="AB639" s="464"/>
    </row>
    <row r="640" spans="1:38" ht="12.6" customHeight="1" x14ac:dyDescent="0.2">
      <c r="A640" s="211"/>
      <c r="B640" s="111"/>
      <c r="C640" s="617"/>
      <c r="D640" s="617"/>
      <c r="E640" s="617"/>
      <c r="F640" s="463"/>
      <c r="G640" s="353"/>
      <c r="H640" s="121"/>
      <c r="I640" s="353"/>
      <c r="J640" s="121"/>
      <c r="K640" s="353"/>
      <c r="L640" s="121"/>
      <c r="M640" s="353"/>
      <c r="N640" s="121"/>
      <c r="O640" s="353"/>
      <c r="P640" s="121"/>
      <c r="Q640" s="353"/>
      <c r="R640" s="121"/>
      <c r="S640" s="353"/>
      <c r="T640" s="121"/>
      <c r="U640" s="353"/>
      <c r="V640" s="76"/>
      <c r="W640" s="525"/>
      <c r="X640" s="621"/>
      <c r="Y640" s="621"/>
      <c r="Z640" s="621"/>
      <c r="AA640" s="621"/>
      <c r="AB640" s="464"/>
    </row>
    <row r="641" spans="1:38" ht="13.5" customHeight="1" x14ac:dyDescent="0.2">
      <c r="B641" s="645" t="s">
        <v>313</v>
      </c>
      <c r="C641" s="646"/>
      <c r="D641" s="646"/>
      <c r="E641" s="646"/>
      <c r="F641" s="646"/>
      <c r="G641" s="646"/>
      <c r="H641" s="646"/>
      <c r="I641" s="646"/>
      <c r="J641" s="646"/>
      <c r="K641" s="646"/>
      <c r="L641" s="646"/>
      <c r="M641" s="646"/>
      <c r="N641" s="646"/>
      <c r="O641" s="646"/>
      <c r="P641" s="646"/>
      <c r="Q641" s="646"/>
      <c r="R641" s="646"/>
      <c r="S641" s="646"/>
      <c r="T641" s="647"/>
      <c r="U641" s="647"/>
      <c r="V641" s="648"/>
      <c r="W641" s="648"/>
      <c r="AB641" s="4"/>
    </row>
    <row r="642" spans="1:38" ht="12" customHeight="1" x14ac:dyDescent="0.2">
      <c r="B642" s="649" t="s">
        <v>11</v>
      </c>
      <c r="C642" s="649" t="s">
        <v>12</v>
      </c>
      <c r="D642" s="650"/>
      <c r="E642" s="650"/>
      <c r="F642" s="651" t="s">
        <v>295</v>
      </c>
      <c r="G642" s="651" t="s">
        <v>13</v>
      </c>
      <c r="H642" s="653" t="s">
        <v>844</v>
      </c>
      <c r="I642" s="653"/>
      <c r="J642" s="654"/>
      <c r="K642" s="654"/>
      <c r="L642" s="654"/>
      <c r="M642" s="654"/>
      <c r="N642" s="654"/>
      <c r="O642" s="654"/>
      <c r="P642" s="654"/>
      <c r="Q642" s="654"/>
      <c r="R642" s="654"/>
      <c r="S642" s="654"/>
      <c r="T642" s="654"/>
      <c r="U642" s="654"/>
      <c r="V642" s="654"/>
      <c r="W642" s="654"/>
      <c r="X642" s="637" t="s">
        <v>14</v>
      </c>
      <c r="Y642" s="655"/>
      <c r="Z642" s="655"/>
      <c r="AA642" s="656"/>
      <c r="AB642" s="643" t="s">
        <v>15</v>
      </c>
      <c r="AF642" s="625" t="s">
        <v>3</v>
      </c>
      <c r="AG642" s="626"/>
      <c r="AH642" s="626"/>
    </row>
    <row r="643" spans="1:38" ht="12" customHeight="1" x14ac:dyDescent="0.2">
      <c r="B643" s="650"/>
      <c r="C643" s="650"/>
      <c r="D643" s="650"/>
      <c r="E643" s="650"/>
      <c r="F643" s="652"/>
      <c r="G643" s="652"/>
      <c r="H643" s="530"/>
      <c r="I643" s="531" t="s">
        <v>585</v>
      </c>
      <c r="J643" s="530"/>
      <c r="K643" s="531" t="s">
        <v>296</v>
      </c>
      <c r="L643" s="531"/>
      <c r="M643" s="531" t="s">
        <v>297</v>
      </c>
      <c r="N643" s="531"/>
      <c r="O643" s="531" t="s">
        <v>298</v>
      </c>
      <c r="P643" s="531"/>
      <c r="Q643" s="531" t="s">
        <v>18</v>
      </c>
      <c r="R643" s="531"/>
      <c r="S643" s="531" t="s">
        <v>19</v>
      </c>
      <c r="T643" s="531"/>
      <c r="U643" s="531" t="s">
        <v>299</v>
      </c>
      <c r="V643" s="531"/>
      <c r="W643" s="531" t="s">
        <v>20</v>
      </c>
      <c r="X643" s="657"/>
      <c r="Y643" s="658"/>
      <c r="Z643" s="658"/>
      <c r="AA643" s="659"/>
      <c r="AB643" s="644"/>
    </row>
    <row r="644" spans="1:38" s="1" customFormat="1" ht="12.6" customHeight="1" x14ac:dyDescent="0.2">
      <c r="A644" s="19"/>
      <c r="B644" s="689" t="s">
        <v>896</v>
      </c>
      <c r="C644" s="690"/>
      <c r="D644" s="690"/>
      <c r="E644" s="690"/>
      <c r="F644" s="347">
        <v>20176</v>
      </c>
      <c r="G644" s="300">
        <f t="shared" ref="G644" si="1252">+F644*$X$1</f>
        <v>20176</v>
      </c>
      <c r="H644" s="514"/>
      <c r="I644" s="300"/>
      <c r="J644" s="90">
        <f>F644+500</f>
        <v>20676</v>
      </c>
      <c r="K644" s="300">
        <f>+J644*$X$1</f>
        <v>20676</v>
      </c>
      <c r="L644" s="514">
        <f>F644+250</f>
        <v>20426</v>
      </c>
      <c r="M644" s="300">
        <f t="shared" ref="M644" si="1253">+L644*$X$1</f>
        <v>20426</v>
      </c>
      <c r="N644" s="514">
        <f>F644+100</f>
        <v>20276</v>
      </c>
      <c r="O644" s="300">
        <f t="shared" ref="O644" si="1254">+N644*$X$1</f>
        <v>20276</v>
      </c>
      <c r="P644" s="514">
        <f>F644+80</f>
        <v>20256</v>
      </c>
      <c r="Q644" s="300">
        <f t="shared" ref="Q644" si="1255">+P644*$X$1</f>
        <v>20256</v>
      </c>
      <c r="R644" s="514">
        <f>F644+60</f>
        <v>20236</v>
      </c>
      <c r="S644" s="300">
        <f t="shared" ref="S644" si="1256">+R644*$X$1</f>
        <v>20236</v>
      </c>
      <c r="T644" s="514">
        <f>F644+50</f>
        <v>20226</v>
      </c>
      <c r="U644" s="300">
        <f t="shared" ref="U644" si="1257">+T644*$X$1</f>
        <v>20226</v>
      </c>
      <c r="V644" s="514"/>
      <c r="W644" s="300"/>
      <c r="X644" s="665"/>
      <c r="Y644" s="681"/>
      <c r="Z644" s="681"/>
      <c r="AA644" s="667"/>
      <c r="AB644" s="200" t="s">
        <v>894</v>
      </c>
      <c r="AC644" s="4"/>
      <c r="AD644" s="4"/>
      <c r="AE644" s="4"/>
      <c r="AF644" s="4"/>
      <c r="AG644" s="4"/>
      <c r="AH644" s="132"/>
      <c r="AI644" s="4"/>
      <c r="AJ644" s="4"/>
      <c r="AK644" s="4"/>
      <c r="AL644" s="4"/>
    </row>
    <row r="645" spans="1:38" s="1" customFormat="1" ht="12.6" customHeight="1" x14ac:dyDescent="0.2">
      <c r="A645" s="19"/>
      <c r="B645" s="689" t="s">
        <v>897</v>
      </c>
      <c r="C645" s="690"/>
      <c r="D645" s="690"/>
      <c r="E645" s="690"/>
      <c r="F645" s="348">
        <v>11058</v>
      </c>
      <c r="G645" s="299">
        <f t="shared" ref="G645" si="1258">+F645*$X$1</f>
        <v>11058</v>
      </c>
      <c r="H645" s="598"/>
      <c r="I645" s="299"/>
      <c r="J645" s="72">
        <f>F645+500</f>
        <v>11558</v>
      </c>
      <c r="K645" s="299">
        <f>+J645*$X$1</f>
        <v>11558</v>
      </c>
      <c r="L645" s="598">
        <f>F645+250</f>
        <v>11308</v>
      </c>
      <c r="M645" s="299">
        <f t="shared" ref="M645" si="1259">+L645*$X$1</f>
        <v>11308</v>
      </c>
      <c r="N645" s="598">
        <f>F645+100</f>
        <v>11158</v>
      </c>
      <c r="O645" s="299">
        <f t="shared" ref="O645" si="1260">+N645*$X$1</f>
        <v>11158</v>
      </c>
      <c r="P645" s="598">
        <f>F645+80</f>
        <v>11138</v>
      </c>
      <c r="Q645" s="299">
        <f t="shared" ref="Q645" si="1261">+P645*$X$1</f>
        <v>11138</v>
      </c>
      <c r="R645" s="598">
        <f>F645+60</f>
        <v>11118</v>
      </c>
      <c r="S645" s="299">
        <f t="shared" ref="S645" si="1262">+R645*$X$1</f>
        <v>11118</v>
      </c>
      <c r="T645" s="598">
        <f>F645+50</f>
        <v>11108</v>
      </c>
      <c r="U645" s="299">
        <f t="shared" ref="U645" si="1263">+T645*$X$1</f>
        <v>11108</v>
      </c>
      <c r="V645" s="598"/>
      <c r="W645" s="299"/>
      <c r="X645" s="665"/>
      <c r="Y645" s="681"/>
      <c r="Z645" s="681"/>
      <c r="AA645" s="667"/>
      <c r="AB645" s="200" t="s">
        <v>895</v>
      </c>
      <c r="AC645" s="4"/>
      <c r="AD645" s="4"/>
      <c r="AE645" s="4"/>
      <c r="AF645" s="4"/>
      <c r="AG645" s="4"/>
      <c r="AH645" s="132"/>
      <c r="AI645" s="4"/>
      <c r="AJ645" s="4"/>
      <c r="AK645" s="4"/>
      <c r="AL645" s="4"/>
    </row>
    <row r="646" spans="1:38" ht="12.6" customHeight="1" x14ac:dyDescent="0.2">
      <c r="A646" s="211"/>
      <c r="B646" s="764" t="s">
        <v>558</v>
      </c>
      <c r="C646" s="686"/>
      <c r="D646" s="686"/>
      <c r="E646" s="686"/>
      <c r="F646" s="347">
        <v>14100</v>
      </c>
      <c r="G646" s="300">
        <f t="shared" ref="G646" si="1264">+F646*$X$1</f>
        <v>14100</v>
      </c>
      <c r="H646" s="269"/>
      <c r="I646" s="269"/>
      <c r="J646" s="514">
        <f t="shared" ref="J646:J654" si="1265">F646+500</f>
        <v>14600</v>
      </c>
      <c r="K646" s="300">
        <f t="shared" ref="K646:K648" si="1266">+J646*$X$1</f>
        <v>14600</v>
      </c>
      <c r="L646" s="514">
        <f>F646+410</f>
        <v>14510</v>
      </c>
      <c r="M646" s="300">
        <f>+L646*$X$1</f>
        <v>14510</v>
      </c>
      <c r="N646" s="514">
        <f>F646+370</f>
        <v>14470</v>
      </c>
      <c r="O646" s="300">
        <f>+N646*$X$1</f>
        <v>14470</v>
      </c>
      <c r="P646" s="514">
        <f>F646+330</f>
        <v>14430</v>
      </c>
      <c r="Q646" s="300">
        <f>+P646*$X$1</f>
        <v>14430</v>
      </c>
      <c r="R646" s="514">
        <f>F646+290</f>
        <v>14390</v>
      </c>
      <c r="S646" s="300">
        <f>+R646*$X$1</f>
        <v>14390</v>
      </c>
      <c r="T646" s="514">
        <f>F646+240</f>
        <v>14340</v>
      </c>
      <c r="U646" s="300">
        <f t="shared" ref="U646" si="1267">+T646*$X$1</f>
        <v>14340</v>
      </c>
      <c r="V646" s="591"/>
      <c r="W646" s="300"/>
      <c r="X646" s="324"/>
      <c r="Y646" s="324"/>
      <c r="Z646" s="324"/>
      <c r="AA646" s="324"/>
      <c r="AB646" s="455" t="s">
        <v>693</v>
      </c>
    </row>
    <row r="647" spans="1:38" ht="12.6" customHeight="1" x14ac:dyDescent="0.2">
      <c r="A647" s="211"/>
      <c r="B647" s="890" t="s">
        <v>438</v>
      </c>
      <c r="C647" s="891"/>
      <c r="D647" s="891"/>
      <c r="E647" s="891"/>
      <c r="F647" s="348">
        <v>15920</v>
      </c>
      <c r="G647" s="299">
        <f t="shared" ref="G647:G652" si="1268">+F647*$X$1</f>
        <v>15920</v>
      </c>
      <c r="H647" s="272"/>
      <c r="I647" s="272"/>
      <c r="J647" s="598"/>
      <c r="K647" s="299"/>
      <c r="L647" s="598">
        <f>F647+250</f>
        <v>16170</v>
      </c>
      <c r="M647" s="299">
        <f t="shared" ref="M647" si="1269">+L647*$X$1</f>
        <v>16170</v>
      </c>
      <c r="N647" s="598">
        <f>F647+100</f>
        <v>16020</v>
      </c>
      <c r="O647" s="299">
        <f t="shared" ref="O647" si="1270">+N647*$X$1</f>
        <v>16020</v>
      </c>
      <c r="P647" s="598">
        <f>F647+80</f>
        <v>16000</v>
      </c>
      <c r="Q647" s="299">
        <f t="shared" ref="Q647" si="1271">+P647*$X$1</f>
        <v>16000</v>
      </c>
      <c r="R647" s="598">
        <f>F647+60</f>
        <v>15980</v>
      </c>
      <c r="S647" s="299">
        <f t="shared" ref="S647" si="1272">+R647*$X$1</f>
        <v>15980</v>
      </c>
      <c r="T647" s="598">
        <f>F647+50</f>
        <v>15970</v>
      </c>
      <c r="U647" s="299">
        <f t="shared" ref="U647" si="1273">+T647*$X$1</f>
        <v>15970</v>
      </c>
      <c r="V647" s="598"/>
      <c r="W647" s="299"/>
      <c r="X647" s="159"/>
      <c r="Y647" s="159"/>
      <c r="Z647" s="159"/>
      <c r="AA647" s="159"/>
      <c r="AB647" s="455" t="s">
        <v>441</v>
      </c>
    </row>
    <row r="648" spans="1:38" ht="12.6" customHeight="1" x14ac:dyDescent="0.2">
      <c r="A648" s="211"/>
      <c r="B648" s="879" t="s">
        <v>557</v>
      </c>
      <c r="C648" s="694"/>
      <c r="D648" s="694"/>
      <c r="E648" s="694"/>
      <c r="F648" s="347">
        <v>21780</v>
      </c>
      <c r="G648" s="300">
        <f t="shared" ref="G648:G649" si="1274">+F648*$X$1</f>
        <v>21780</v>
      </c>
      <c r="H648" s="514">
        <f>F648+2400</f>
        <v>24180</v>
      </c>
      <c r="I648" s="300">
        <f t="shared" ref="I648" si="1275">+H648*$X$1</f>
        <v>24180</v>
      </c>
      <c r="J648" s="514">
        <f t="shared" si="1265"/>
        <v>22280</v>
      </c>
      <c r="K648" s="300">
        <f t="shared" si="1266"/>
        <v>22280</v>
      </c>
      <c r="L648" s="514">
        <f>F648+250</f>
        <v>22030</v>
      </c>
      <c r="M648" s="300">
        <f t="shared" ref="M648:M649" si="1276">+L648*$X$1</f>
        <v>22030</v>
      </c>
      <c r="N648" s="514">
        <f>F648+100</f>
        <v>21880</v>
      </c>
      <c r="O648" s="300">
        <f t="shared" ref="O648:O649" si="1277">+N648*$X$1</f>
        <v>21880</v>
      </c>
      <c r="P648" s="514">
        <f>F648+80</f>
        <v>21860</v>
      </c>
      <c r="Q648" s="300">
        <f t="shared" ref="Q648:Q649" si="1278">+P648*$X$1</f>
        <v>21860</v>
      </c>
      <c r="R648" s="514">
        <f>F648+60</f>
        <v>21840</v>
      </c>
      <c r="S648" s="300">
        <f t="shared" ref="S648:S649" si="1279">+R648*$X$1</f>
        <v>21840</v>
      </c>
      <c r="T648" s="514">
        <f>F648+50</f>
        <v>21830</v>
      </c>
      <c r="U648" s="300">
        <f t="shared" ref="U648:U654" si="1280">+T648*$X$1</f>
        <v>21830</v>
      </c>
      <c r="V648" s="514"/>
      <c r="W648" s="300"/>
      <c r="X648" s="324"/>
      <c r="Y648" s="324"/>
      <c r="Z648" s="324"/>
      <c r="AA648" s="324"/>
      <c r="AB648" s="455" t="s">
        <v>559</v>
      </c>
    </row>
    <row r="649" spans="1:38" ht="12.6" customHeight="1" x14ac:dyDescent="0.2">
      <c r="A649" s="211"/>
      <c r="B649" s="890" t="s">
        <v>791</v>
      </c>
      <c r="C649" s="891"/>
      <c r="D649" s="891"/>
      <c r="E649" s="891"/>
      <c r="F649" s="348">
        <v>16570</v>
      </c>
      <c r="G649" s="299">
        <f t="shared" si="1274"/>
        <v>16570</v>
      </c>
      <c r="H649" s="598">
        <f>F649+2400</f>
        <v>18970</v>
      </c>
      <c r="I649" s="299">
        <f t="shared" ref="I649" si="1281">+H649*$X$1</f>
        <v>18970</v>
      </c>
      <c r="J649" s="598">
        <f t="shared" ref="J649" si="1282">F649+500</f>
        <v>17070</v>
      </c>
      <c r="K649" s="299">
        <f t="shared" ref="K649" si="1283">+J649*$X$1</f>
        <v>17070</v>
      </c>
      <c r="L649" s="598">
        <f>F649+250</f>
        <v>16820</v>
      </c>
      <c r="M649" s="299">
        <f t="shared" si="1276"/>
        <v>16820</v>
      </c>
      <c r="N649" s="598">
        <f>F649+100</f>
        <v>16670</v>
      </c>
      <c r="O649" s="299">
        <f t="shared" si="1277"/>
        <v>16670</v>
      </c>
      <c r="P649" s="598">
        <f>F649+80</f>
        <v>16650</v>
      </c>
      <c r="Q649" s="299">
        <f t="shared" si="1278"/>
        <v>16650</v>
      </c>
      <c r="R649" s="598">
        <f>F649+60</f>
        <v>16630</v>
      </c>
      <c r="S649" s="299">
        <f t="shared" si="1279"/>
        <v>16630</v>
      </c>
      <c r="T649" s="598">
        <f>F649+50</f>
        <v>16620</v>
      </c>
      <c r="U649" s="299">
        <f t="shared" si="1280"/>
        <v>16620</v>
      </c>
      <c r="V649" s="598"/>
      <c r="W649" s="299"/>
      <c r="X649" s="511"/>
      <c r="Y649" s="511"/>
      <c r="Z649" s="511"/>
      <c r="AA649" s="511"/>
      <c r="AB649" s="455" t="s">
        <v>792</v>
      </c>
    </row>
    <row r="650" spans="1:38" ht="12.6" customHeight="1" x14ac:dyDescent="0.2">
      <c r="A650" s="211"/>
      <c r="B650" s="879" t="s">
        <v>437</v>
      </c>
      <c r="C650" s="694"/>
      <c r="D650" s="694"/>
      <c r="E650" s="694"/>
      <c r="F650" s="347">
        <v>16540</v>
      </c>
      <c r="G650" s="300">
        <f t="shared" si="1268"/>
        <v>16540</v>
      </c>
      <c r="H650" s="269"/>
      <c r="I650" s="269"/>
      <c r="J650" s="514">
        <f t="shared" si="1265"/>
        <v>17040</v>
      </c>
      <c r="K650" s="300">
        <f t="shared" ref="K650:K654" si="1284">+J650*$X$1</f>
        <v>17040</v>
      </c>
      <c r="L650" s="103">
        <f>F650+410</f>
        <v>16950</v>
      </c>
      <c r="M650" s="336">
        <f>+L650*$X$1</f>
        <v>16950</v>
      </c>
      <c r="N650" s="103">
        <f>F650+370</f>
        <v>16910</v>
      </c>
      <c r="O650" s="336">
        <f>+N650*$X$1</f>
        <v>16910</v>
      </c>
      <c r="P650" s="103">
        <f>F650+330</f>
        <v>16870</v>
      </c>
      <c r="Q650" s="336">
        <f>+P650*$X$1</f>
        <v>16870</v>
      </c>
      <c r="R650" s="103">
        <f>F650+290</f>
        <v>16830</v>
      </c>
      <c r="S650" s="336">
        <f>+R650*$X$1</f>
        <v>16830</v>
      </c>
      <c r="T650" s="514">
        <f>F650+240</f>
        <v>16780</v>
      </c>
      <c r="U650" s="300">
        <f t="shared" si="1280"/>
        <v>16780</v>
      </c>
      <c r="V650" s="565"/>
      <c r="W650" s="300"/>
      <c r="X650" s="159"/>
      <c r="Y650" s="159"/>
      <c r="Z650" s="159"/>
      <c r="AA650" s="159"/>
      <c r="AB650" s="455" t="s">
        <v>440</v>
      </c>
    </row>
    <row r="651" spans="1:38" ht="12.6" customHeight="1" x14ac:dyDescent="0.2">
      <c r="A651" s="211"/>
      <c r="B651" s="890" t="s">
        <v>560</v>
      </c>
      <c r="C651" s="891"/>
      <c r="D651" s="891"/>
      <c r="E651" s="891"/>
      <c r="F651" s="407">
        <f>15.3*X2</f>
        <v>15529.5</v>
      </c>
      <c r="G651" s="299">
        <f t="shared" ref="G651" si="1285">+F651*$X$1</f>
        <v>15529.5</v>
      </c>
      <c r="H651" s="272"/>
      <c r="I651" s="272"/>
      <c r="J651" s="598">
        <f t="shared" si="1265"/>
        <v>16029.5</v>
      </c>
      <c r="K651" s="299">
        <f t="shared" si="1284"/>
        <v>16029.5</v>
      </c>
      <c r="L651" s="104">
        <f>F651+410</f>
        <v>15939.5</v>
      </c>
      <c r="M651" s="322">
        <f>+L651*$X$1</f>
        <v>15939.5</v>
      </c>
      <c r="N651" s="104">
        <f>F651+370</f>
        <v>15899.5</v>
      </c>
      <c r="O651" s="322">
        <f>+N651*$X$1</f>
        <v>15899.5</v>
      </c>
      <c r="P651" s="104">
        <f>F651+330</f>
        <v>15859.5</v>
      </c>
      <c r="Q651" s="322">
        <f>+P651*$X$1</f>
        <v>15859.5</v>
      </c>
      <c r="R651" s="104">
        <f>F651+290</f>
        <v>15819.5</v>
      </c>
      <c r="S651" s="322">
        <f>+R651*$X$1</f>
        <v>15819.5</v>
      </c>
      <c r="T651" s="598">
        <f>F651+240</f>
        <v>15769.5</v>
      </c>
      <c r="U651" s="299">
        <f t="shared" si="1280"/>
        <v>15769.5</v>
      </c>
      <c r="V651" s="326"/>
      <c r="W651" s="299"/>
      <c r="X651" s="327"/>
      <c r="Y651" s="327"/>
      <c r="Z651" s="327"/>
      <c r="AA651" s="327"/>
      <c r="AB651" s="455" t="s">
        <v>694</v>
      </c>
    </row>
    <row r="652" spans="1:38" ht="12.6" customHeight="1" x14ac:dyDescent="0.2">
      <c r="A652" s="211"/>
      <c r="B652" s="879" t="s">
        <v>488</v>
      </c>
      <c r="C652" s="694"/>
      <c r="D652" s="694"/>
      <c r="E652" s="694"/>
      <c r="F652" s="408">
        <f>9.65*X2</f>
        <v>9794.75</v>
      </c>
      <c r="G652" s="300">
        <f t="shared" si="1268"/>
        <v>9794.75</v>
      </c>
      <c r="H652" s="269"/>
      <c r="I652" s="269"/>
      <c r="J652" s="514">
        <f t="shared" si="1265"/>
        <v>10294.75</v>
      </c>
      <c r="K652" s="300">
        <f t="shared" si="1284"/>
        <v>10294.75</v>
      </c>
      <c r="L652" s="103">
        <f>F652+410</f>
        <v>10204.75</v>
      </c>
      <c r="M652" s="336">
        <f>+L652*$X$1</f>
        <v>10204.75</v>
      </c>
      <c r="N652" s="103">
        <f>F652+370</f>
        <v>10164.75</v>
      </c>
      <c r="O652" s="336">
        <f>+N652*$X$1</f>
        <v>10164.75</v>
      </c>
      <c r="P652" s="103">
        <f>F652+330</f>
        <v>10124.75</v>
      </c>
      <c r="Q652" s="336">
        <f>+P652*$X$1</f>
        <v>10124.75</v>
      </c>
      <c r="R652" s="103">
        <f>F652+290</f>
        <v>10084.75</v>
      </c>
      <c r="S652" s="336">
        <f>+R652*$X$1</f>
        <v>10084.75</v>
      </c>
      <c r="T652" s="514">
        <f>F652+240</f>
        <v>10034.75</v>
      </c>
      <c r="U652" s="300">
        <f t="shared" si="1280"/>
        <v>10034.75</v>
      </c>
      <c r="V652" s="514"/>
      <c r="W652" s="300"/>
      <c r="X652" s="159"/>
      <c r="Y652" s="159"/>
      <c r="Z652" s="159"/>
      <c r="AA652" s="159"/>
      <c r="AB652" s="455" t="s">
        <v>673</v>
      </c>
    </row>
    <row r="653" spans="1:38" ht="12.6" customHeight="1" x14ac:dyDescent="0.2">
      <c r="A653" s="211"/>
      <c r="B653" s="890" t="s">
        <v>697</v>
      </c>
      <c r="C653" s="891"/>
      <c r="D653" s="891"/>
      <c r="E653" s="891"/>
      <c r="F653" s="407">
        <f>16.76*X2</f>
        <v>17011.400000000001</v>
      </c>
      <c r="G653" s="299">
        <f t="shared" ref="G653" si="1286">+F653*$X$1</f>
        <v>17011.400000000001</v>
      </c>
      <c r="H653" s="272"/>
      <c r="I653" s="272"/>
      <c r="J653" s="598">
        <f t="shared" si="1265"/>
        <v>17511.400000000001</v>
      </c>
      <c r="K653" s="299">
        <f t="shared" si="1284"/>
        <v>17511.400000000001</v>
      </c>
      <c r="L653" s="104">
        <f>F653+410</f>
        <v>17421.400000000001</v>
      </c>
      <c r="M653" s="322">
        <f>+L653*$X$1</f>
        <v>17421.400000000001</v>
      </c>
      <c r="N653" s="104">
        <f>F653+370</f>
        <v>17381.400000000001</v>
      </c>
      <c r="O653" s="322">
        <f>+N653*$X$1</f>
        <v>17381.400000000001</v>
      </c>
      <c r="P653" s="104">
        <f>F653+330</f>
        <v>17341.400000000001</v>
      </c>
      <c r="Q653" s="322">
        <f>+P653*$X$1</f>
        <v>17341.400000000001</v>
      </c>
      <c r="R653" s="104">
        <f>F653+290</f>
        <v>17301.400000000001</v>
      </c>
      <c r="S653" s="322">
        <f>+R653*$X$1</f>
        <v>17301.400000000001</v>
      </c>
      <c r="T653" s="598">
        <f>F653+240</f>
        <v>17251.400000000001</v>
      </c>
      <c r="U653" s="299">
        <f t="shared" si="1280"/>
        <v>17251.400000000001</v>
      </c>
      <c r="V653" s="598"/>
      <c r="W653" s="299"/>
      <c r="X653" s="424"/>
      <c r="Y653" s="424"/>
      <c r="Z653" s="424"/>
      <c r="AA653" s="424"/>
      <c r="AB653" s="455" t="s">
        <v>674</v>
      </c>
    </row>
    <row r="654" spans="1:38" ht="12.6" customHeight="1" x14ac:dyDescent="0.2">
      <c r="A654" s="211"/>
      <c r="B654" s="879" t="s">
        <v>487</v>
      </c>
      <c r="C654" s="694"/>
      <c r="D654" s="694"/>
      <c r="E654" s="694"/>
      <c r="F654" s="408">
        <f>12.57*X2</f>
        <v>12758.550000000001</v>
      </c>
      <c r="G654" s="300">
        <f t="shared" ref="G654" si="1287">+F654*$X$1</f>
        <v>12758.550000000001</v>
      </c>
      <c r="H654" s="269"/>
      <c r="I654" s="269"/>
      <c r="J654" s="514">
        <f t="shared" si="1265"/>
        <v>13258.550000000001</v>
      </c>
      <c r="K654" s="300">
        <f t="shared" si="1284"/>
        <v>13258.550000000001</v>
      </c>
      <c r="L654" s="103">
        <f>F654+410</f>
        <v>13168.550000000001</v>
      </c>
      <c r="M654" s="336">
        <f>+L654*$X$1</f>
        <v>13168.550000000001</v>
      </c>
      <c r="N654" s="103">
        <f>F654+370</f>
        <v>13128.550000000001</v>
      </c>
      <c r="O654" s="336">
        <f>+N654*$X$1</f>
        <v>13128.550000000001</v>
      </c>
      <c r="P654" s="103">
        <f>F654+330</f>
        <v>13088.550000000001</v>
      </c>
      <c r="Q654" s="336">
        <f>+P654*$X$1</f>
        <v>13088.550000000001</v>
      </c>
      <c r="R654" s="103">
        <f>F654+290</f>
        <v>13048.550000000001</v>
      </c>
      <c r="S654" s="336">
        <f>+R654*$X$1</f>
        <v>13048.550000000001</v>
      </c>
      <c r="T654" s="514">
        <f>F654+240</f>
        <v>12998.550000000001</v>
      </c>
      <c r="U654" s="300">
        <f t="shared" si="1280"/>
        <v>12998.550000000001</v>
      </c>
      <c r="V654" s="514"/>
      <c r="W654" s="300"/>
      <c r="X654" s="159"/>
      <c r="Y654" s="159"/>
      <c r="Z654" s="159"/>
      <c r="AA654" s="159"/>
      <c r="AB654" s="455" t="s">
        <v>675</v>
      </c>
    </row>
    <row r="655" spans="1:38" ht="14.25" customHeight="1" x14ac:dyDescent="0.2">
      <c r="A655" s="211"/>
      <c r="B655" s="111"/>
      <c r="C655" s="583"/>
      <c r="D655" s="583"/>
      <c r="E655" s="583"/>
      <c r="F655" s="463"/>
      <c r="G655" s="353"/>
      <c r="H655" s="121"/>
      <c r="I655" s="353"/>
      <c r="J655" s="121"/>
      <c r="K655" s="353"/>
      <c r="L655" s="121"/>
      <c r="M655" s="353"/>
      <c r="N655" s="121"/>
      <c r="O655" s="353"/>
      <c r="P655" s="121"/>
      <c r="Q655" s="353"/>
      <c r="R655" s="121"/>
      <c r="S655" s="353"/>
      <c r="T655" s="121"/>
      <c r="U655" s="353"/>
      <c r="V655" s="76"/>
      <c r="W655" s="525"/>
      <c r="X655" s="582"/>
      <c r="Y655" s="582"/>
      <c r="Z655" s="582"/>
      <c r="AA655" s="582"/>
      <c r="AB655" s="464"/>
    </row>
    <row r="656" spans="1:38" ht="20.25" customHeight="1" x14ac:dyDescent="0.2">
      <c r="A656" s="28"/>
      <c r="B656" s="1065" t="s">
        <v>325</v>
      </c>
      <c r="C656" s="1066"/>
      <c r="D656" s="1066"/>
      <c r="E656" s="1066"/>
      <c r="F656" s="1066"/>
      <c r="G656" s="1066"/>
      <c r="H656" s="1066"/>
      <c r="I656" s="1066"/>
      <c r="J656" s="1066"/>
      <c r="K656" s="1066"/>
      <c r="L656" s="1066"/>
      <c r="M656" s="1066"/>
      <c r="N656" s="1066"/>
      <c r="O656" s="1066"/>
      <c r="P656" s="1066"/>
      <c r="Q656" s="1066"/>
      <c r="R656" s="1066"/>
      <c r="S656" s="1066"/>
      <c r="T656" s="1066"/>
      <c r="U656" s="1066"/>
      <c r="V656" s="1066"/>
      <c r="W656" s="1067"/>
      <c r="AF656" s="625"/>
      <c r="AG656" s="626"/>
      <c r="AH656" s="626"/>
    </row>
    <row r="657" spans="1:35" ht="12.6" customHeight="1" x14ac:dyDescent="0.2">
      <c r="A657" s="18"/>
      <c r="B657" s="984"/>
      <c r="C657" s="985"/>
      <c r="D657" s="985"/>
      <c r="E657" s="985"/>
      <c r="F657" s="985"/>
      <c r="G657" s="986"/>
      <c r="H657" s="546"/>
      <c r="I657" s="547" t="s">
        <v>297</v>
      </c>
      <c r="J657" s="547"/>
      <c r="K657" s="547" t="s">
        <v>17</v>
      </c>
      <c r="L657" s="547"/>
      <c r="M657" s="547" t="s">
        <v>18</v>
      </c>
      <c r="N657" s="547"/>
      <c r="O657" s="547" t="s">
        <v>19</v>
      </c>
      <c r="P657" s="547"/>
      <c r="Q657" s="547" t="s">
        <v>299</v>
      </c>
      <c r="R657" s="547"/>
      <c r="S657" s="547" t="s">
        <v>20</v>
      </c>
      <c r="T657" s="547"/>
      <c r="U657" s="547" t="s">
        <v>21</v>
      </c>
      <c r="V657" s="547"/>
      <c r="W657" s="547" t="s">
        <v>22</v>
      </c>
    </row>
    <row r="658" spans="1:35" ht="12.6" customHeight="1" x14ac:dyDescent="0.2">
      <c r="A658" s="977"/>
      <c r="B658" s="992" t="s">
        <v>529</v>
      </c>
      <c r="C658" s="993"/>
      <c r="D658" s="993"/>
      <c r="E658" s="993"/>
      <c r="F658" s="993"/>
      <c r="G658" s="994"/>
      <c r="H658" s="308"/>
      <c r="I658" s="425"/>
      <c r="J658" s="426"/>
      <c r="K658" s="389"/>
      <c r="L658" s="307">
        <v>90</v>
      </c>
      <c r="M658" s="389">
        <f>+L658*$X$1</f>
        <v>90</v>
      </c>
      <c r="N658" s="514">
        <v>50</v>
      </c>
      <c r="O658" s="389">
        <f>+N658*$X$1</f>
        <v>50</v>
      </c>
      <c r="P658" s="514">
        <v>40</v>
      </c>
      <c r="Q658" s="389">
        <f>+P658*$X$1</f>
        <v>40</v>
      </c>
      <c r="R658" s="514">
        <v>35</v>
      </c>
      <c r="S658" s="389">
        <f>+R658*$X$1</f>
        <v>35</v>
      </c>
      <c r="T658" s="514">
        <v>31</v>
      </c>
      <c r="U658" s="390">
        <f>+T658*$X$1</f>
        <v>31</v>
      </c>
      <c r="V658" s="514">
        <v>28</v>
      </c>
      <c r="W658" s="389">
        <f>+V658*$X$1</f>
        <v>28</v>
      </c>
    </row>
    <row r="659" spans="1:35" ht="12.6" customHeight="1" x14ac:dyDescent="0.2">
      <c r="A659" s="977"/>
      <c r="B659" s="974" t="s">
        <v>326</v>
      </c>
      <c r="C659" s="975"/>
      <c r="D659" s="975"/>
      <c r="E659" s="975"/>
      <c r="F659" s="975"/>
      <c r="G659" s="976"/>
      <c r="H659" s="76"/>
      <c r="I659" s="427"/>
      <c r="J659" s="428">
        <v>120</v>
      </c>
      <c r="K659" s="391">
        <f>+J659*$X$1</f>
        <v>120</v>
      </c>
      <c r="L659" s="429">
        <v>90</v>
      </c>
      <c r="M659" s="430">
        <f>+L659*$X$1</f>
        <v>90</v>
      </c>
      <c r="N659" s="115">
        <v>70</v>
      </c>
      <c r="O659" s="430">
        <f>+N659*$X$1</f>
        <v>70</v>
      </c>
      <c r="P659" s="115">
        <v>60</v>
      </c>
      <c r="Q659" s="430">
        <f>+P659*$X$1</f>
        <v>60</v>
      </c>
      <c r="R659" s="115">
        <v>50</v>
      </c>
      <c r="S659" s="430">
        <f>+R659*$X$1</f>
        <v>50</v>
      </c>
      <c r="T659" s="115">
        <v>45</v>
      </c>
      <c r="U659" s="430">
        <f>+T659*$X$1</f>
        <v>45</v>
      </c>
      <c r="V659" s="115">
        <v>40</v>
      </c>
      <c r="W659" s="430">
        <f>+V659*$X$1</f>
        <v>40</v>
      </c>
    </row>
    <row r="660" spans="1:35" ht="12.6" customHeight="1" x14ac:dyDescent="0.2">
      <c r="A660" s="977"/>
      <c r="B660" s="992" t="s">
        <v>530</v>
      </c>
      <c r="C660" s="993"/>
      <c r="D660" s="993"/>
      <c r="E660" s="993"/>
      <c r="F660" s="993"/>
      <c r="G660" s="994"/>
      <c r="H660" s="307"/>
      <c r="I660" s="389"/>
      <c r="J660" s="307"/>
      <c r="K660" s="389"/>
      <c r="L660" s="307">
        <v>80</v>
      </c>
      <c r="M660" s="389">
        <f>+L660*$X$1</f>
        <v>80</v>
      </c>
      <c r="N660" s="514">
        <v>60</v>
      </c>
      <c r="O660" s="389">
        <f>+N660*$X$1</f>
        <v>60</v>
      </c>
      <c r="P660" s="514">
        <v>55</v>
      </c>
      <c r="Q660" s="389">
        <f>+P660*$X$1</f>
        <v>55</v>
      </c>
      <c r="R660" s="514">
        <v>50</v>
      </c>
      <c r="S660" s="389">
        <f>+R660*$X$1</f>
        <v>50</v>
      </c>
      <c r="T660" s="514">
        <v>46</v>
      </c>
      <c r="U660" s="390">
        <f>+T660*$X$1</f>
        <v>46</v>
      </c>
      <c r="V660" s="514">
        <v>42</v>
      </c>
      <c r="W660" s="389">
        <f>+V660*$X$1</f>
        <v>42</v>
      </c>
    </row>
    <row r="661" spans="1:35" ht="12.6" customHeight="1" x14ac:dyDescent="0.2">
      <c r="A661" s="977"/>
      <c r="B661" s="962" t="s">
        <v>528</v>
      </c>
      <c r="C661" s="963"/>
      <c r="D661" s="963"/>
      <c r="E661" s="963"/>
      <c r="F661" s="963"/>
      <c r="G661" s="964"/>
      <c r="H661" s="431">
        <v>290</v>
      </c>
      <c r="I661" s="391">
        <f>+H661*$X$1</f>
        <v>290</v>
      </c>
      <c r="J661" s="431">
        <v>150</v>
      </c>
      <c r="K661" s="391">
        <f>+J661*$X$1</f>
        <v>150</v>
      </c>
      <c r="L661" s="431">
        <v>120</v>
      </c>
      <c r="M661" s="391">
        <f>+L661*$X$1</f>
        <v>120</v>
      </c>
      <c r="N661" s="529">
        <v>100</v>
      </c>
      <c r="O661" s="391">
        <f>+N661*$X$1</f>
        <v>100</v>
      </c>
      <c r="P661" s="529">
        <v>85</v>
      </c>
      <c r="Q661" s="391">
        <f>+P661*$X$1</f>
        <v>85</v>
      </c>
      <c r="R661" s="529">
        <v>78</v>
      </c>
      <c r="S661" s="391">
        <f>+R661*$X$1</f>
        <v>78</v>
      </c>
      <c r="T661" s="529">
        <v>73</v>
      </c>
      <c r="U661" s="430">
        <f>+T661*$X$1</f>
        <v>73</v>
      </c>
      <c r="V661" s="529">
        <v>68</v>
      </c>
      <c r="W661" s="391">
        <f>+V661*$X$1</f>
        <v>68</v>
      </c>
    </row>
    <row r="662" spans="1:35" ht="12.75" customHeight="1" x14ac:dyDescent="0.2">
      <c r="A662" s="977"/>
      <c r="B662" s="1091" t="s">
        <v>886</v>
      </c>
      <c r="C662" s="1092"/>
      <c r="D662" s="1092"/>
      <c r="E662" s="1092"/>
      <c r="F662" s="1092"/>
      <c r="G662" s="1092"/>
      <c r="H662" s="1092"/>
      <c r="I662" s="1092"/>
      <c r="J662" s="1092"/>
      <c r="K662" s="1092"/>
      <c r="L662" s="1092"/>
      <c r="M662" s="1092"/>
      <c r="N662" s="1092"/>
      <c r="O662" s="1092"/>
      <c r="P662" s="1092"/>
      <c r="Q662" s="1092"/>
      <c r="R662" s="1092"/>
      <c r="S662" s="1092"/>
      <c r="T662" s="1092"/>
      <c r="U662" s="1092"/>
      <c r="V662" s="1092"/>
      <c r="W662" s="1093"/>
    </row>
    <row r="663" spans="1:35" ht="13.5" customHeight="1" x14ac:dyDescent="0.2">
      <c r="A663" s="977"/>
      <c r="B663" s="1118" t="s">
        <v>601</v>
      </c>
      <c r="C663" s="1095"/>
      <c r="D663" s="1095"/>
      <c r="E663" s="1095"/>
      <c r="F663" s="1095"/>
      <c r="G663" s="1119"/>
      <c r="H663" s="1063"/>
      <c r="I663" s="965" t="s">
        <v>297</v>
      </c>
      <c r="J663" s="1063"/>
      <c r="K663" s="965" t="s">
        <v>17</v>
      </c>
      <c r="L663" s="965"/>
      <c r="M663" s="965" t="s">
        <v>18</v>
      </c>
      <c r="N663" s="965"/>
      <c r="O663" s="965" t="s">
        <v>19</v>
      </c>
      <c r="P663" s="965"/>
      <c r="Q663" s="965" t="s">
        <v>299</v>
      </c>
      <c r="R663" s="965"/>
      <c r="S663" s="965" t="s">
        <v>20</v>
      </c>
      <c r="T663" s="965"/>
      <c r="U663" s="965" t="s">
        <v>21</v>
      </c>
      <c r="V663" s="965"/>
      <c r="W663" s="965" t="s">
        <v>22</v>
      </c>
    </row>
    <row r="664" spans="1:35" ht="11.25" customHeight="1" x14ac:dyDescent="0.2">
      <c r="A664" s="977"/>
      <c r="B664" s="1098"/>
      <c r="C664" s="1099"/>
      <c r="D664" s="1099"/>
      <c r="E664" s="1099"/>
      <c r="F664" s="1099"/>
      <c r="G664" s="1120"/>
      <c r="H664" s="1064"/>
      <c r="I664" s="966"/>
      <c r="J664" s="1064"/>
      <c r="K664" s="966"/>
      <c r="L664" s="973"/>
      <c r="M664" s="973"/>
      <c r="N664" s="973"/>
      <c r="O664" s="973"/>
      <c r="P664" s="973"/>
      <c r="Q664" s="973"/>
      <c r="R664" s="973"/>
      <c r="S664" s="973"/>
      <c r="T664" s="973"/>
      <c r="U664" s="973"/>
      <c r="V664" s="973"/>
      <c r="W664" s="973"/>
      <c r="AB664" s="60"/>
      <c r="AC664" s="60"/>
      <c r="AD664" s="60"/>
      <c r="AE664" s="60"/>
      <c r="AF664" s="60"/>
      <c r="AG664" s="60"/>
      <c r="AH664" s="60"/>
      <c r="AI664" s="60"/>
    </row>
    <row r="665" spans="1:35" ht="12.6" customHeight="1" x14ac:dyDescent="0.2">
      <c r="A665" s="977"/>
      <c r="B665" s="981" t="s">
        <v>599</v>
      </c>
      <c r="C665" s="982"/>
      <c r="D665" s="982"/>
      <c r="E665" s="982"/>
      <c r="F665" s="982"/>
      <c r="G665" s="983"/>
      <c r="H665" s="309">
        <v>510</v>
      </c>
      <c r="I665" s="392">
        <f>+H665*$X$1</f>
        <v>510</v>
      </c>
      <c r="J665" s="90">
        <v>410</v>
      </c>
      <c r="K665" s="392">
        <f>+J665*$X$1</f>
        <v>410</v>
      </c>
      <c r="L665" s="514">
        <v>360</v>
      </c>
      <c r="M665" s="389">
        <f>+L665*$X$1</f>
        <v>360</v>
      </c>
      <c r="N665" s="514">
        <v>320</v>
      </c>
      <c r="O665" s="389">
        <f>+N665*$X$1</f>
        <v>320</v>
      </c>
      <c r="P665" s="514">
        <v>270</v>
      </c>
      <c r="Q665" s="389">
        <f>+P665*$X$1</f>
        <v>270</v>
      </c>
      <c r="R665" s="514">
        <v>250</v>
      </c>
      <c r="S665" s="389">
        <f>+R665*$X$1</f>
        <v>250</v>
      </c>
      <c r="T665" s="514">
        <v>230</v>
      </c>
      <c r="U665" s="389">
        <f>+T665*$X$1</f>
        <v>230</v>
      </c>
      <c r="V665" s="514">
        <v>220</v>
      </c>
      <c r="W665" s="389">
        <f>+V665*$X$1</f>
        <v>220</v>
      </c>
    </row>
    <row r="666" spans="1:35" ht="12.6" customHeight="1" x14ac:dyDescent="0.2">
      <c r="A666" s="977"/>
      <c r="B666" s="978" t="s">
        <v>596</v>
      </c>
      <c r="C666" s="979"/>
      <c r="D666" s="979"/>
      <c r="E666" s="979"/>
      <c r="F666" s="979"/>
      <c r="G666" s="980"/>
      <c r="H666" s="93">
        <v>570</v>
      </c>
      <c r="I666" s="432">
        <f>+H666*$X$1</f>
        <v>570</v>
      </c>
      <c r="J666" s="72">
        <v>480</v>
      </c>
      <c r="K666" s="432">
        <f>+J666*$X$1</f>
        <v>480</v>
      </c>
      <c r="L666" s="529">
        <v>450</v>
      </c>
      <c r="M666" s="391">
        <f>+L666*$X$1</f>
        <v>450</v>
      </c>
      <c r="N666" s="529">
        <v>410</v>
      </c>
      <c r="O666" s="391">
        <f>+N666*$X$1</f>
        <v>410</v>
      </c>
      <c r="P666" s="529">
        <v>380</v>
      </c>
      <c r="Q666" s="391">
        <f>+P666*$X$1</f>
        <v>380</v>
      </c>
      <c r="R666" s="529">
        <v>350</v>
      </c>
      <c r="S666" s="391">
        <f>+R666*$X$1</f>
        <v>350</v>
      </c>
      <c r="T666" s="529">
        <v>330</v>
      </c>
      <c r="U666" s="391">
        <f>+T666*$X$1</f>
        <v>330</v>
      </c>
      <c r="V666" s="529">
        <v>310</v>
      </c>
      <c r="W666" s="391">
        <f>+V666*$X$1</f>
        <v>310</v>
      </c>
    </row>
    <row r="667" spans="1:35" ht="12.6" customHeight="1" x14ac:dyDescent="0.2">
      <c r="A667" s="977"/>
      <c r="B667" s="981" t="s">
        <v>598</v>
      </c>
      <c r="C667" s="982"/>
      <c r="D667" s="982"/>
      <c r="E667" s="982"/>
      <c r="F667" s="982"/>
      <c r="G667" s="983"/>
      <c r="H667" s="309">
        <v>780</v>
      </c>
      <c r="I667" s="392">
        <f>+H667*$X$1</f>
        <v>780</v>
      </c>
      <c r="J667" s="90">
        <v>700</v>
      </c>
      <c r="K667" s="392">
        <f>+J667*$X$1</f>
        <v>700</v>
      </c>
      <c r="L667" s="514">
        <v>600</v>
      </c>
      <c r="M667" s="389">
        <f>+L667*$X$1</f>
        <v>600</v>
      </c>
      <c r="N667" s="514">
        <v>550</v>
      </c>
      <c r="O667" s="389">
        <f>+N667*$X$1</f>
        <v>550</v>
      </c>
      <c r="P667" s="514">
        <v>510</v>
      </c>
      <c r="Q667" s="389">
        <f>+P667*$X$1</f>
        <v>510</v>
      </c>
      <c r="R667" s="514">
        <v>490</v>
      </c>
      <c r="S667" s="389">
        <f>+R667*$X$1</f>
        <v>490</v>
      </c>
      <c r="T667" s="514">
        <v>480</v>
      </c>
      <c r="U667" s="389">
        <f>+T667*$X$1</f>
        <v>480</v>
      </c>
      <c r="V667" s="514">
        <v>460</v>
      </c>
      <c r="W667" s="389">
        <f>+V667*$X$1</f>
        <v>460</v>
      </c>
    </row>
    <row r="668" spans="1:35" ht="12.6" customHeight="1" x14ac:dyDescent="0.2">
      <c r="A668" s="977"/>
      <c r="B668" s="978" t="s">
        <v>597</v>
      </c>
      <c r="C668" s="979"/>
      <c r="D668" s="979"/>
      <c r="E668" s="979"/>
      <c r="F668" s="979"/>
      <c r="G668" s="980"/>
      <c r="H668" s="93">
        <v>1060</v>
      </c>
      <c r="I668" s="544">
        <f>+H668*$X$1</f>
        <v>1060</v>
      </c>
      <c r="J668" s="72">
        <v>920</v>
      </c>
      <c r="K668" s="545">
        <f>+J668*$X$1</f>
        <v>920</v>
      </c>
      <c r="L668" s="529">
        <v>800</v>
      </c>
      <c r="M668" s="391">
        <f>+L668*$X$1</f>
        <v>800</v>
      </c>
      <c r="N668" s="529">
        <v>740</v>
      </c>
      <c r="O668" s="391">
        <f>+N668*$X$1</f>
        <v>740</v>
      </c>
      <c r="P668" s="529">
        <v>710</v>
      </c>
      <c r="Q668" s="391">
        <f>+P668*$X$1</f>
        <v>710</v>
      </c>
      <c r="R668" s="529">
        <v>690</v>
      </c>
      <c r="S668" s="391">
        <f>+R668*$X$1</f>
        <v>690</v>
      </c>
      <c r="T668" s="529">
        <v>670</v>
      </c>
      <c r="U668" s="391">
        <f>+T668*$X$1</f>
        <v>670</v>
      </c>
      <c r="V668" s="529">
        <v>650</v>
      </c>
      <c r="W668" s="391">
        <f>+V668*$X$1</f>
        <v>650</v>
      </c>
    </row>
    <row r="669" spans="1:35" ht="8.25" customHeight="1" x14ac:dyDescent="0.2">
      <c r="A669" s="211"/>
      <c r="B669" s="212"/>
      <c r="C669" s="212"/>
      <c r="D669" s="212"/>
      <c r="E669" s="212"/>
      <c r="F669" s="213"/>
      <c r="G669" s="213"/>
      <c r="H669" s="76"/>
      <c r="I669" s="214"/>
      <c r="J669" s="214"/>
      <c r="K669" s="214"/>
      <c r="L669" s="214"/>
      <c r="M669" s="214"/>
      <c r="N669" s="214"/>
      <c r="O669" s="214"/>
      <c r="P669" s="214"/>
      <c r="Q669" s="214"/>
      <c r="R669" s="214"/>
      <c r="S669" s="214"/>
      <c r="T669" s="214"/>
      <c r="U669" s="214"/>
      <c r="V669" s="76"/>
      <c r="W669" s="206"/>
      <c r="X669" s="205"/>
      <c r="Y669" s="205"/>
      <c r="Z669" s="205"/>
      <c r="AA669" s="205"/>
      <c r="AB669" s="215"/>
    </row>
    <row r="670" spans="1:35" ht="13.5" customHeight="1" x14ac:dyDescent="0.2">
      <c r="B670" s="1116" t="s">
        <v>536</v>
      </c>
      <c r="C670" s="1117"/>
      <c r="D670" s="1117"/>
      <c r="E670" s="1117"/>
      <c r="F670" s="1117"/>
      <c r="G670" s="1117"/>
      <c r="H670" s="1117"/>
      <c r="I670" s="1117"/>
      <c r="J670" s="1117"/>
      <c r="K670" s="70" t="s">
        <v>531</v>
      </c>
      <c r="L670" s="71">
        <v>22</v>
      </c>
      <c r="M670" s="388">
        <f>+L670*$X$1</f>
        <v>22</v>
      </c>
      <c r="N670" s="69"/>
      <c r="O670" s="70" t="s">
        <v>532</v>
      </c>
      <c r="P670" s="71">
        <v>20</v>
      </c>
      <c r="Q670" s="388">
        <f>+P670*$X$1</f>
        <v>20</v>
      </c>
      <c r="R670" s="47"/>
      <c r="S670" s="47"/>
      <c r="T670" s="47"/>
      <c r="U670" s="47"/>
      <c r="V670" s="47"/>
      <c r="W670" s="47"/>
    </row>
    <row r="671" spans="1:35" ht="13.5" customHeight="1" x14ac:dyDescent="0.2">
      <c r="B671" s="50"/>
      <c r="C671" s="179"/>
      <c r="D671" s="179"/>
      <c r="E671" s="179"/>
      <c r="F671" s="179"/>
      <c r="G671" s="179"/>
      <c r="H671" s="179"/>
      <c r="I671" s="179"/>
      <c r="J671" s="179"/>
      <c r="K671" s="51"/>
      <c r="L671" s="52"/>
      <c r="M671" s="53"/>
      <c r="N671" s="47"/>
      <c r="O671" s="51"/>
      <c r="P671" s="52"/>
      <c r="Q671" s="53"/>
      <c r="R671" s="47"/>
      <c r="S671" s="47"/>
      <c r="T671" s="47"/>
      <c r="U671" s="47"/>
      <c r="V671" s="47"/>
      <c r="W671" s="47"/>
    </row>
    <row r="672" spans="1:35" x14ac:dyDescent="0.2">
      <c r="B672" s="3"/>
      <c r="C672" s="1114" t="s">
        <v>327</v>
      </c>
      <c r="D672" s="1115"/>
      <c r="E672" s="1115"/>
      <c r="F672" s="1115"/>
      <c r="G672" s="1115"/>
      <c r="H672" s="1115"/>
      <c r="I672" s="1115"/>
      <c r="J672" s="4"/>
      <c r="K672" s="4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7"/>
      <c r="W672" s="7"/>
    </row>
    <row r="673" spans="2:34" ht="12.6" customHeight="1" x14ac:dyDescent="0.2">
      <c r="B673" s="3"/>
      <c r="C673" s="1060" t="s">
        <v>328</v>
      </c>
      <c r="D673" s="1061"/>
      <c r="E673" s="1061"/>
      <c r="F673" s="1061"/>
      <c r="G673" s="1062"/>
      <c r="H673" s="465"/>
      <c r="I673" s="461"/>
      <c r="J673" s="4"/>
      <c r="K673" s="4"/>
      <c r="L673" s="37"/>
      <c r="M673" s="3"/>
      <c r="N673" s="3"/>
      <c r="O673" s="3"/>
      <c r="P673" s="3"/>
      <c r="Q673" s="3"/>
      <c r="R673" s="3"/>
      <c r="S673" s="3"/>
      <c r="T673" s="3"/>
      <c r="U673" s="3"/>
      <c r="V673" s="7"/>
      <c r="W673" s="7"/>
    </row>
    <row r="674" spans="2:34" ht="12.6" customHeight="1" x14ac:dyDescent="0.2">
      <c r="B674" s="3"/>
      <c r="C674" s="1111" t="s">
        <v>329</v>
      </c>
      <c r="D674" s="1112"/>
      <c r="E674" s="1112"/>
      <c r="F674" s="1112"/>
      <c r="G674" s="1113"/>
      <c r="H674" s="42"/>
      <c r="I674" s="466"/>
      <c r="J674" s="4"/>
      <c r="K674" s="4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7"/>
      <c r="W674" s="7"/>
    </row>
    <row r="675" spans="2:34" ht="12.6" customHeight="1" x14ac:dyDescent="0.2">
      <c r="B675" s="3"/>
      <c r="C675" s="1111" t="s">
        <v>330</v>
      </c>
      <c r="D675" s="1112"/>
      <c r="E675" s="1112"/>
      <c r="F675" s="1112"/>
      <c r="G675" s="1113"/>
      <c r="H675" s="44"/>
      <c r="I675" s="387"/>
      <c r="J675" s="4"/>
      <c r="K675" s="4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7"/>
      <c r="W675" s="7"/>
    </row>
    <row r="676" spans="2:34" ht="15.95" customHeight="1" x14ac:dyDescent="0.2">
      <c r="B676" s="3"/>
      <c r="C676" s="1094" t="s">
        <v>594</v>
      </c>
      <c r="D676" s="1095"/>
      <c r="E676" s="1095"/>
      <c r="F676" s="1095"/>
      <c r="G676" s="1095"/>
      <c r="H676" s="1096"/>
      <c r="I676" s="1097"/>
      <c r="J676" s="4"/>
      <c r="K676" s="4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7"/>
      <c r="W676" s="7"/>
    </row>
    <row r="677" spans="2:34" ht="15.75" customHeight="1" x14ac:dyDescent="0.2">
      <c r="B677" s="3"/>
      <c r="C677" s="1098"/>
      <c r="D677" s="1099"/>
      <c r="E677" s="1099"/>
      <c r="F677" s="1099"/>
      <c r="G677" s="1099"/>
      <c r="H677" s="1100"/>
      <c r="I677" s="1101"/>
      <c r="J677" s="4"/>
      <c r="K677" s="4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7"/>
      <c r="W677" s="7"/>
    </row>
    <row r="678" spans="2:34" ht="14.25" customHeight="1" thickBot="1" x14ac:dyDescent="0.25">
      <c r="B678" s="4"/>
      <c r="C678" s="49"/>
      <c r="D678" s="49"/>
      <c r="E678" s="49"/>
      <c r="F678" s="49"/>
      <c r="G678" s="49"/>
      <c r="H678" s="43"/>
      <c r="I678" s="361"/>
      <c r="J678" s="4"/>
      <c r="K678" s="4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7"/>
      <c r="W678" s="7"/>
    </row>
    <row r="679" spans="2:34" ht="13.5" customHeight="1" x14ac:dyDescent="0.2">
      <c r="B679" s="1121" t="s">
        <v>869</v>
      </c>
      <c r="C679" s="1122"/>
      <c r="D679" s="1122"/>
      <c r="E679" s="1122"/>
      <c r="F679" s="1122"/>
      <c r="G679" s="1122"/>
      <c r="H679" s="1122"/>
      <c r="I679" s="1122"/>
      <c r="J679" s="1122"/>
      <c r="K679" s="1122"/>
      <c r="L679" s="1122"/>
      <c r="M679" s="1122"/>
      <c r="N679" s="1122"/>
      <c r="O679" s="1122"/>
      <c r="P679" s="1122"/>
      <c r="Q679" s="1122"/>
      <c r="R679" s="1122"/>
      <c r="S679" s="1122"/>
      <c r="T679" s="1122"/>
      <c r="U679" s="1122"/>
      <c r="V679" s="1122"/>
      <c r="W679" s="1123"/>
    </row>
    <row r="680" spans="2:34" ht="13.5" customHeight="1" x14ac:dyDescent="0.2">
      <c r="B680" s="1124"/>
      <c r="C680" s="1125"/>
      <c r="D680" s="1125"/>
      <c r="E680" s="1125"/>
      <c r="F680" s="1125"/>
      <c r="G680" s="1125"/>
      <c r="H680" s="1125"/>
      <c r="I680" s="1125"/>
      <c r="J680" s="1125"/>
      <c r="K680" s="1125"/>
      <c r="L680" s="1125"/>
      <c r="M680" s="1125"/>
      <c r="N680" s="1125"/>
      <c r="O680" s="1125"/>
      <c r="P680" s="1125"/>
      <c r="Q680" s="1125"/>
      <c r="R680" s="1125"/>
      <c r="S680" s="1125"/>
      <c r="T680" s="1125"/>
      <c r="U680" s="1125"/>
      <c r="V680" s="1125"/>
      <c r="W680" s="1126"/>
    </row>
    <row r="681" spans="2:34" ht="13.5" customHeight="1" thickBot="1" x14ac:dyDescent="0.25">
      <c r="B681" s="1127"/>
      <c r="C681" s="1128"/>
      <c r="D681" s="1128"/>
      <c r="E681" s="1128"/>
      <c r="F681" s="1128"/>
      <c r="G681" s="1128"/>
      <c r="H681" s="1128"/>
      <c r="I681" s="1128"/>
      <c r="J681" s="1128"/>
      <c r="K681" s="1128"/>
      <c r="L681" s="1128"/>
      <c r="M681" s="1128"/>
      <c r="N681" s="1128"/>
      <c r="O681" s="1128"/>
      <c r="P681" s="1128"/>
      <c r="Q681" s="1128"/>
      <c r="R681" s="1128"/>
      <c r="S681" s="1128"/>
      <c r="T681" s="1128"/>
      <c r="U681" s="1128"/>
      <c r="V681" s="1128"/>
      <c r="W681" s="1129"/>
    </row>
    <row r="682" spans="2:34" ht="12.6" customHeight="1" x14ac:dyDescent="0.2">
      <c r="B682" s="4"/>
      <c r="C682" s="41"/>
      <c r="D682" s="41"/>
      <c r="E682" s="41"/>
      <c r="F682" s="41"/>
      <c r="G682" s="41"/>
      <c r="H682" s="43"/>
      <c r="I682" s="43"/>
      <c r="J682" s="4"/>
      <c r="K682" s="4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7"/>
      <c r="W682" s="7"/>
    </row>
    <row r="683" spans="2:34" ht="23.25" customHeight="1" x14ac:dyDescent="0.2">
      <c r="B683" s="3"/>
      <c r="C683" s="1035" t="s">
        <v>695</v>
      </c>
      <c r="D683" s="1036"/>
      <c r="E683" s="1036"/>
      <c r="F683" s="1036"/>
      <c r="G683" s="1036"/>
      <c r="H683" s="1036"/>
      <c r="I683" s="1087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AF683" s="625" t="s">
        <v>3</v>
      </c>
      <c r="AG683" s="626"/>
      <c r="AH683" s="626"/>
    </row>
    <row r="684" spans="2:34" ht="12.95" customHeight="1" x14ac:dyDescent="0.2">
      <c r="B684" s="3"/>
      <c r="C684" s="1102"/>
      <c r="D684" s="1103"/>
      <c r="E684" s="1103"/>
      <c r="F684" s="1103"/>
      <c r="G684" s="1103"/>
      <c r="H684" s="1103"/>
      <c r="I684" s="1104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7"/>
      <c r="W684" s="7"/>
    </row>
    <row r="685" spans="2:34" ht="12.95" customHeight="1" x14ac:dyDescent="0.2">
      <c r="B685" s="3"/>
      <c r="C685" s="1105"/>
      <c r="D685" s="1106"/>
      <c r="E685" s="1106"/>
      <c r="F685" s="1106"/>
      <c r="G685" s="1106"/>
      <c r="H685" s="1106"/>
      <c r="I685" s="1107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7"/>
      <c r="W685" s="7"/>
    </row>
    <row r="686" spans="2:34" ht="12.95" customHeight="1" x14ac:dyDescent="0.2">
      <c r="B686" s="3"/>
      <c r="C686" s="1105"/>
      <c r="D686" s="1106"/>
      <c r="E686" s="1106"/>
      <c r="F686" s="1106"/>
      <c r="G686" s="1106"/>
      <c r="H686" s="1106"/>
      <c r="I686" s="1107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7"/>
      <c r="W686" s="7"/>
    </row>
    <row r="687" spans="2:34" ht="12.95" customHeight="1" x14ac:dyDescent="0.2">
      <c r="B687" s="3"/>
      <c r="C687" s="1105"/>
      <c r="D687" s="1106"/>
      <c r="E687" s="1106"/>
      <c r="F687" s="1106"/>
      <c r="G687" s="1106"/>
      <c r="H687" s="1106"/>
      <c r="I687" s="1107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7"/>
      <c r="W687" s="7"/>
    </row>
    <row r="688" spans="2:34" ht="12.95" customHeight="1" x14ac:dyDescent="0.2">
      <c r="B688" s="3"/>
      <c r="C688" s="1105"/>
      <c r="D688" s="1106"/>
      <c r="E688" s="1106"/>
      <c r="F688" s="1106"/>
      <c r="G688" s="1106"/>
      <c r="H688" s="1106"/>
      <c r="I688" s="1107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7"/>
      <c r="W688" s="7"/>
    </row>
    <row r="689" spans="2:34" ht="12.95" customHeight="1" x14ac:dyDescent="0.2">
      <c r="B689" s="3"/>
      <c r="C689" s="1105"/>
      <c r="D689" s="1106"/>
      <c r="E689" s="1106"/>
      <c r="F689" s="1106"/>
      <c r="G689" s="1106"/>
      <c r="H689" s="1106"/>
      <c r="I689" s="1107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7"/>
      <c r="W689" s="7"/>
    </row>
    <row r="690" spans="2:34" ht="10.5" customHeight="1" x14ac:dyDescent="0.2">
      <c r="B690" s="3"/>
      <c r="C690" s="1108"/>
      <c r="D690" s="1109"/>
      <c r="E690" s="1109"/>
      <c r="F690" s="1109"/>
      <c r="G690" s="1109"/>
      <c r="H690" s="1109"/>
      <c r="I690" s="1110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7"/>
      <c r="W690" s="7"/>
    </row>
    <row r="691" spans="2:34" ht="12.6" customHeight="1" x14ac:dyDescent="0.2">
      <c r="B691" s="3"/>
      <c r="C691" s="1088" t="s">
        <v>432</v>
      </c>
      <c r="D691" s="1088"/>
      <c r="E691" s="1089"/>
      <c r="F691" s="1089"/>
      <c r="G691" s="1090"/>
      <c r="H691" s="44">
        <v>1200</v>
      </c>
      <c r="I691" s="391">
        <f>+H691*$X$1</f>
        <v>1200</v>
      </c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7"/>
      <c r="W691" s="7"/>
    </row>
    <row r="692" spans="2:34" ht="12.6" customHeight="1" x14ac:dyDescent="0.2">
      <c r="B692" s="3"/>
      <c r="C692" s="1088" t="s">
        <v>696</v>
      </c>
      <c r="D692" s="1088"/>
      <c r="E692" s="1089"/>
      <c r="F692" s="1089"/>
      <c r="G692" s="1090"/>
      <c r="H692" s="44">
        <v>1100</v>
      </c>
      <c r="I692" s="391">
        <f>+H692*$X$1</f>
        <v>1100</v>
      </c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7"/>
      <c r="W692" s="7"/>
    </row>
    <row r="693" spans="2:34" ht="12.6" customHeight="1" x14ac:dyDescent="0.2">
      <c r="B693" s="3"/>
      <c r="C693" s="48"/>
      <c r="D693" s="46"/>
      <c r="E693" s="46"/>
      <c r="F693" s="46"/>
      <c r="G693" s="41"/>
      <c r="H693" s="43"/>
      <c r="I693" s="4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7"/>
      <c r="W693" s="7"/>
    </row>
    <row r="694" spans="2:34" ht="18" customHeight="1" x14ac:dyDescent="0.2">
      <c r="B694" s="1016" t="s">
        <v>595</v>
      </c>
      <c r="C694" s="1017"/>
      <c r="D694" s="1017"/>
      <c r="E694" s="1017"/>
      <c r="F694" s="1017"/>
      <c r="G694" s="1017"/>
      <c r="H694" s="1017"/>
      <c r="I694" s="1017"/>
      <c r="J694" s="1017"/>
      <c r="K694" s="1017"/>
      <c r="L694" s="1017"/>
      <c r="M694" s="1017"/>
      <c r="N694" s="1017"/>
      <c r="O694" s="1017"/>
      <c r="P694" s="1017"/>
      <c r="Q694" s="1017"/>
      <c r="R694" s="1017"/>
      <c r="S694" s="1017"/>
      <c r="T694" s="1017"/>
      <c r="U694" s="1017"/>
      <c r="V694" s="1017"/>
      <c r="W694" s="1018"/>
    </row>
    <row r="695" spans="2:34" ht="12.6" customHeight="1" x14ac:dyDescent="0.2">
      <c r="B695" s="26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</row>
    <row r="696" spans="2:34" ht="15.75" customHeight="1" x14ac:dyDescent="0.2">
      <c r="B696" s="1014" t="s">
        <v>331</v>
      </c>
      <c r="C696" s="1015"/>
      <c r="D696" s="1015"/>
      <c r="E696" s="1015"/>
      <c r="F696" s="1015"/>
      <c r="G696" s="1015"/>
      <c r="H696" s="1015"/>
      <c r="I696" s="1015"/>
      <c r="J696" s="1015"/>
      <c r="K696" s="1015"/>
      <c r="L696" s="1015"/>
      <c r="M696" s="1015"/>
      <c r="N696" s="1015"/>
      <c r="O696" s="1015"/>
      <c r="P696" s="1015"/>
      <c r="Q696" s="1015"/>
      <c r="R696" s="1015"/>
      <c r="S696" s="1015"/>
      <c r="T696" s="1015"/>
      <c r="U696" s="1015"/>
      <c r="V696" s="1015"/>
      <c r="W696" s="1015"/>
    </row>
    <row r="697" spans="2:34" ht="15.75" customHeight="1" x14ac:dyDescent="0.2">
      <c r="B697" s="1014" t="s">
        <v>332</v>
      </c>
      <c r="C697" s="1015"/>
      <c r="D697" s="1015"/>
      <c r="E697" s="1015"/>
      <c r="F697" s="1015"/>
      <c r="G697" s="1015"/>
      <c r="H697" s="1015"/>
      <c r="I697" s="1015"/>
      <c r="J697" s="1015"/>
      <c r="K697" s="1015"/>
      <c r="L697" s="1015"/>
      <c r="M697" s="1015"/>
      <c r="N697" s="1015"/>
      <c r="O697" s="1015"/>
      <c r="P697" s="1015"/>
      <c r="Q697" s="1015"/>
      <c r="R697" s="1015"/>
      <c r="S697" s="1015"/>
      <c r="T697" s="1015"/>
      <c r="U697" s="1015"/>
      <c r="V697" s="1015"/>
      <c r="W697" s="1015"/>
      <c r="AF697" s="625"/>
      <c r="AG697" s="626"/>
      <c r="AH697" s="626"/>
    </row>
    <row r="698" spans="2:34" ht="15.75" customHeight="1" x14ac:dyDescent="0.2">
      <c r="B698" s="1014" t="s">
        <v>333</v>
      </c>
      <c r="C698" s="1015"/>
      <c r="D698" s="1015"/>
      <c r="E698" s="1015"/>
      <c r="F698" s="1015"/>
      <c r="G698" s="1015"/>
      <c r="H698" s="1015"/>
      <c r="I698" s="1015"/>
      <c r="J698" s="1015"/>
      <c r="K698" s="1015"/>
      <c r="L698" s="1015"/>
      <c r="M698" s="1015"/>
      <c r="N698" s="1015"/>
      <c r="O698" s="1015"/>
      <c r="P698" s="1015"/>
      <c r="Q698" s="1015"/>
      <c r="R698" s="1015"/>
      <c r="S698" s="1015"/>
      <c r="T698" s="1015"/>
      <c r="U698" s="1015"/>
      <c r="V698" s="1015"/>
      <c r="W698" s="1015"/>
    </row>
    <row r="699" spans="2:34" ht="12.6" customHeight="1" x14ac:dyDescent="0.2">
      <c r="B699" s="11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 spans="2:34" ht="18" customHeight="1" thickBot="1" x14ac:dyDescent="0.25">
      <c r="B700" s="1057" t="s">
        <v>334</v>
      </c>
      <c r="C700" s="1058"/>
      <c r="D700" s="1058"/>
      <c r="E700" s="1058"/>
      <c r="F700" s="1058"/>
      <c r="G700" s="1058"/>
      <c r="H700" s="1058"/>
      <c r="I700" s="1058"/>
      <c r="J700" s="1058"/>
      <c r="K700" s="1058"/>
      <c r="L700" s="1058"/>
      <c r="M700" s="1058"/>
      <c r="N700" s="1058"/>
      <c r="O700" s="1058"/>
      <c r="P700" s="1058"/>
      <c r="Q700" s="1058"/>
      <c r="R700" s="1058"/>
      <c r="S700" s="1058"/>
      <c r="T700" s="1058"/>
      <c r="U700" s="1058"/>
      <c r="V700" s="1058"/>
      <c r="W700" s="1059"/>
    </row>
    <row r="701" spans="2:34" x14ac:dyDescent="0.2">
      <c r="B701" s="1042" t="s">
        <v>335</v>
      </c>
      <c r="C701" s="1043"/>
      <c r="D701" s="1043"/>
      <c r="E701" s="1043"/>
      <c r="F701" s="1043"/>
      <c r="G701" s="1043"/>
      <c r="H701" s="1043"/>
      <c r="I701" s="1043"/>
      <c r="J701" s="1043"/>
      <c r="K701" s="1043"/>
      <c r="L701" s="1043"/>
      <c r="M701" s="1043"/>
      <c r="N701" s="1044"/>
      <c r="O701" s="1044"/>
      <c r="P701" s="1044"/>
      <c r="Q701" s="1044"/>
      <c r="R701" s="1044"/>
      <c r="S701" s="1044"/>
      <c r="T701" s="1044"/>
      <c r="U701" s="1044"/>
      <c r="V701" s="1044"/>
      <c r="W701" s="1045"/>
    </row>
    <row r="702" spans="2:34" ht="12.75" customHeight="1" x14ac:dyDescent="0.2">
      <c r="B702" s="1046"/>
      <c r="C702" s="1043"/>
      <c r="D702" s="1043"/>
      <c r="E702" s="1043"/>
      <c r="F702" s="1043"/>
      <c r="G702" s="1043"/>
      <c r="H702" s="1043"/>
      <c r="I702" s="1043"/>
      <c r="J702" s="1043"/>
      <c r="K702" s="1043"/>
      <c r="L702" s="1043"/>
      <c r="M702" s="1043"/>
      <c r="N702" s="1044"/>
      <c r="O702" s="1044"/>
      <c r="P702" s="1044"/>
      <c r="Q702" s="1044"/>
      <c r="R702" s="1044"/>
      <c r="S702" s="1044"/>
      <c r="T702" s="1044"/>
      <c r="U702" s="1044"/>
      <c r="V702" s="1044"/>
      <c r="W702" s="1045"/>
    </row>
    <row r="703" spans="2:34" x14ac:dyDescent="0.2">
      <c r="B703" s="1046"/>
      <c r="C703" s="1043"/>
      <c r="D703" s="1043"/>
      <c r="E703" s="1043"/>
      <c r="F703" s="1043"/>
      <c r="G703" s="1043"/>
      <c r="H703" s="1043"/>
      <c r="I703" s="1043"/>
      <c r="J703" s="1043"/>
      <c r="K703" s="1043"/>
      <c r="L703" s="1043"/>
      <c r="M703" s="1043"/>
      <c r="N703" s="1044"/>
      <c r="O703" s="1044"/>
      <c r="P703" s="1044"/>
      <c r="Q703" s="1044"/>
      <c r="R703" s="1044"/>
      <c r="S703" s="1044"/>
      <c r="T703" s="1044"/>
      <c r="U703" s="1044"/>
      <c r="V703" s="1044"/>
      <c r="W703" s="1045"/>
    </row>
    <row r="704" spans="2:34" x14ac:dyDescent="0.2">
      <c r="B704" s="1047"/>
      <c r="C704" s="1048"/>
      <c r="D704" s="1048"/>
      <c r="E704" s="1048"/>
      <c r="F704" s="1048"/>
      <c r="G704" s="1048"/>
      <c r="H704" s="1048"/>
      <c r="I704" s="1048"/>
      <c r="J704" s="1048"/>
      <c r="K704" s="1048"/>
      <c r="L704" s="1048"/>
      <c r="M704" s="1048"/>
      <c r="N704" s="1049"/>
      <c r="O704" s="1049"/>
      <c r="P704" s="1049"/>
      <c r="Q704" s="1049"/>
      <c r="R704" s="1049"/>
      <c r="S704" s="1049"/>
      <c r="T704" s="1049"/>
      <c r="U704" s="1049"/>
      <c r="V704" s="1049"/>
      <c r="W704" s="1050"/>
    </row>
    <row r="705" spans="2:26" ht="12.6" customHeight="1" x14ac:dyDescent="0.2">
      <c r="B705" s="217"/>
      <c r="C705" s="217"/>
      <c r="D705" s="217"/>
      <c r="E705" s="217"/>
      <c r="F705" s="217"/>
      <c r="G705" s="217"/>
      <c r="H705" s="217"/>
      <c r="I705" s="217"/>
      <c r="J705" s="217"/>
      <c r="K705" s="217"/>
      <c r="L705" s="217"/>
      <c r="M705" s="218"/>
      <c r="N705" s="63"/>
      <c r="O705" s="63"/>
      <c r="P705" s="63"/>
      <c r="Q705" s="63"/>
      <c r="R705" s="63"/>
      <c r="S705" s="63"/>
      <c r="T705" s="63"/>
      <c r="U705" s="63"/>
      <c r="V705" s="63"/>
      <c r="W705" s="63"/>
    </row>
    <row r="706" spans="2:26" x14ac:dyDescent="0.2">
      <c r="B706" s="1051" t="s">
        <v>336</v>
      </c>
      <c r="C706" s="1052"/>
      <c r="D706" s="1052"/>
      <c r="E706" s="1052"/>
      <c r="F706" s="1052"/>
      <c r="G706" s="1052"/>
      <c r="H706" s="1052"/>
      <c r="I706" s="1052"/>
      <c r="J706" s="1052"/>
      <c r="K706" s="1052"/>
      <c r="L706" s="1052"/>
      <c r="M706" s="1052"/>
      <c r="N706" s="1052"/>
      <c r="O706" s="1052"/>
      <c r="P706" s="1052"/>
      <c r="Q706" s="1052"/>
      <c r="R706" s="1052"/>
      <c r="S706" s="1052"/>
      <c r="T706" s="1052"/>
      <c r="U706" s="1052"/>
      <c r="V706" s="1052"/>
      <c r="W706" s="1053"/>
    </row>
    <row r="707" spans="2:26" x14ac:dyDescent="0.2">
      <c r="B707" s="1054"/>
      <c r="C707" s="1055"/>
      <c r="D707" s="1055"/>
      <c r="E707" s="1055"/>
      <c r="F707" s="1055"/>
      <c r="G707" s="1055"/>
      <c r="H707" s="1055"/>
      <c r="I707" s="1055"/>
      <c r="J707" s="1055"/>
      <c r="K707" s="1055"/>
      <c r="L707" s="1055"/>
      <c r="M707" s="1055"/>
      <c r="N707" s="1055"/>
      <c r="O707" s="1055"/>
      <c r="P707" s="1055"/>
      <c r="Q707" s="1055"/>
      <c r="R707" s="1055"/>
      <c r="S707" s="1055"/>
      <c r="T707" s="1055"/>
      <c r="U707" s="1055"/>
      <c r="V707" s="1055"/>
      <c r="W707" s="1056"/>
    </row>
    <row r="708" spans="2:26" x14ac:dyDescent="0.2">
      <c r="B708" s="1037" t="s">
        <v>337</v>
      </c>
      <c r="C708" s="872"/>
      <c r="D708" s="872"/>
      <c r="E708" s="872"/>
      <c r="F708" s="872"/>
      <c r="G708" s="872"/>
      <c r="H708" s="872"/>
      <c r="I708" s="872"/>
      <c r="J708" s="872"/>
      <c r="K708" s="872"/>
      <c r="L708" s="872"/>
      <c r="M708" s="872"/>
      <c r="N708" s="872"/>
      <c r="O708" s="872"/>
      <c r="P708" s="872"/>
      <c r="Q708" s="872"/>
      <c r="R708" s="872"/>
      <c r="S708" s="872"/>
      <c r="T708" s="872"/>
      <c r="U708" s="872"/>
      <c r="V708" s="872"/>
      <c r="W708" s="873"/>
    </row>
    <row r="709" spans="2:26" ht="12.6" customHeight="1" x14ac:dyDescent="0.2">
      <c r="B709" s="241"/>
      <c r="C709" s="241"/>
      <c r="D709" s="241"/>
      <c r="E709" s="241"/>
      <c r="F709" s="241"/>
      <c r="G709" s="241"/>
      <c r="H709" s="241"/>
      <c r="I709" s="241"/>
      <c r="J709" s="241"/>
      <c r="K709" s="241"/>
      <c r="L709" s="241"/>
      <c r="M709" s="241"/>
      <c r="N709" s="241"/>
      <c r="O709" s="241"/>
      <c r="P709" s="241"/>
      <c r="Q709" s="241"/>
      <c r="R709" s="241"/>
      <c r="S709" s="241"/>
      <c r="T709" s="241"/>
      <c r="U709" s="241"/>
      <c r="V709" s="241"/>
      <c r="W709" s="241"/>
      <c r="X709" s="66"/>
    </row>
    <row r="710" spans="2:26" ht="12.75" customHeight="1" thickBot="1" x14ac:dyDescent="0.25">
      <c r="B710" s="1035" t="s">
        <v>338</v>
      </c>
      <c r="C710" s="1036"/>
      <c r="D710" s="1036"/>
      <c r="E710" s="1036"/>
      <c r="F710" s="1036"/>
      <c r="G710" s="1036"/>
      <c r="H710" s="1036"/>
      <c r="I710" s="1036"/>
      <c r="J710" s="1036"/>
      <c r="K710" s="1036"/>
      <c r="L710" s="1036"/>
      <c r="M710" s="1036"/>
      <c r="N710" s="1036"/>
      <c r="O710" s="1036"/>
      <c r="P710" s="1036"/>
      <c r="Q710" s="1036"/>
      <c r="R710" s="1036"/>
      <c r="S710" s="1036"/>
      <c r="T710" s="1036"/>
      <c r="U710" s="1036"/>
      <c r="V710" s="1036"/>
      <c r="W710" s="636"/>
    </row>
    <row r="711" spans="2:26" ht="15" customHeight="1" x14ac:dyDescent="0.2">
      <c r="B711" s="1011" t="s">
        <v>394</v>
      </c>
      <c r="C711" s="1012"/>
      <c r="D711" s="1012"/>
      <c r="E711" s="1012"/>
      <c r="F711" s="1012"/>
      <c r="G711" s="1012"/>
      <c r="H711" s="1012"/>
      <c r="I711" s="1012"/>
      <c r="J711" s="1012"/>
      <c r="K711" s="1012"/>
      <c r="L711" s="1012"/>
      <c r="M711" s="1012"/>
      <c r="N711" s="1012"/>
      <c r="O711" s="1012"/>
      <c r="P711" s="1012"/>
      <c r="Q711" s="1012"/>
      <c r="R711" s="1012"/>
      <c r="S711" s="1012"/>
      <c r="T711" s="1012"/>
      <c r="U711" s="1012"/>
      <c r="V711" s="1012"/>
      <c r="W711" s="1013"/>
    </row>
    <row r="712" spans="2:26" ht="12.6" customHeight="1" x14ac:dyDescent="0.2">
      <c r="B712" s="241"/>
      <c r="C712" s="241"/>
      <c r="D712" s="241"/>
      <c r="E712" s="241"/>
      <c r="F712" s="241"/>
      <c r="G712" s="241"/>
      <c r="H712" s="241"/>
      <c r="I712" s="241"/>
      <c r="J712" s="241"/>
      <c r="K712" s="241"/>
      <c r="L712" s="241"/>
      <c r="M712" s="241"/>
      <c r="N712" s="241"/>
      <c r="O712" s="241"/>
      <c r="P712" s="241"/>
      <c r="Q712" s="241"/>
      <c r="R712" s="241"/>
      <c r="S712" s="241"/>
      <c r="T712" s="241"/>
      <c r="U712" s="241"/>
      <c r="V712" s="241"/>
      <c r="W712" s="241"/>
      <c r="X712" s="66"/>
    </row>
    <row r="713" spans="2:26" ht="12.6" customHeight="1" x14ac:dyDescent="0.2">
      <c r="B713" s="241"/>
      <c r="C713" s="241"/>
      <c r="D713" s="241"/>
      <c r="E713" s="241"/>
      <c r="F713" s="241"/>
      <c r="G713" s="241"/>
      <c r="H713" s="241"/>
      <c r="I713" s="241"/>
      <c r="J713" s="241"/>
      <c r="K713" s="241"/>
      <c r="L713" s="241"/>
      <c r="M713" s="241"/>
      <c r="N713" s="241"/>
      <c r="O713" s="241"/>
      <c r="P713" s="241"/>
      <c r="Q713" s="241"/>
      <c r="R713" s="241"/>
      <c r="S713" s="241"/>
      <c r="T713" s="241"/>
      <c r="U713" s="241"/>
      <c r="V713" s="241"/>
      <c r="W713" s="241"/>
      <c r="X713" s="66"/>
    </row>
    <row r="714" spans="2:26" ht="12.6" customHeight="1" x14ac:dyDescent="0.2">
      <c r="B714" s="241"/>
      <c r="C714" s="241"/>
      <c r="D714" s="241"/>
      <c r="E714" s="241"/>
      <c r="F714" s="241"/>
      <c r="G714" s="241"/>
      <c r="H714" s="241"/>
      <c r="I714" s="241"/>
      <c r="J714" s="241"/>
      <c r="K714" s="241"/>
      <c r="L714" s="241"/>
      <c r="M714" s="241"/>
      <c r="N714" s="241"/>
      <c r="O714" s="241"/>
      <c r="P714" s="241"/>
      <c r="Q714" s="241"/>
      <c r="R714" s="241"/>
      <c r="S714" s="241"/>
      <c r="T714" s="241"/>
      <c r="U714" s="241"/>
      <c r="V714" s="241"/>
      <c r="W714" s="241"/>
      <c r="X714" s="66"/>
    </row>
    <row r="715" spans="2:26" ht="12.6" customHeight="1" x14ac:dyDescent="0.2">
      <c r="B715" s="241"/>
      <c r="C715" s="241"/>
      <c r="D715" s="241"/>
      <c r="E715" s="241"/>
      <c r="F715" s="241"/>
      <c r="G715" s="241"/>
      <c r="H715" s="241"/>
      <c r="I715" s="241"/>
      <c r="J715" s="241"/>
      <c r="K715" s="241"/>
      <c r="L715" s="241"/>
      <c r="M715" s="241"/>
      <c r="N715" s="241"/>
      <c r="O715" s="241"/>
      <c r="P715" s="241"/>
      <c r="Q715" s="241"/>
      <c r="R715" s="241"/>
      <c r="S715" s="241"/>
      <c r="T715" s="241"/>
      <c r="U715" s="241"/>
      <c r="V715" s="241"/>
      <c r="W715" s="241"/>
      <c r="X715" s="66"/>
    </row>
    <row r="716" spans="2:26" ht="12.6" customHeight="1" thickBot="1" x14ac:dyDescent="0.25">
      <c r="B716" s="241"/>
      <c r="C716" s="241"/>
      <c r="D716" s="241"/>
      <c r="E716" s="241"/>
      <c r="F716" s="241"/>
      <c r="G716" s="241"/>
      <c r="H716" s="241"/>
      <c r="I716" s="241"/>
      <c r="J716" s="241"/>
      <c r="K716" s="241"/>
      <c r="L716" s="241"/>
      <c r="M716" s="241"/>
      <c r="N716" s="241"/>
      <c r="O716" s="241"/>
      <c r="P716" s="241"/>
      <c r="Q716" s="241"/>
      <c r="R716" s="241"/>
      <c r="S716" s="241"/>
      <c r="T716" s="241"/>
      <c r="U716" s="241"/>
      <c r="V716" s="241"/>
      <c r="W716" s="241"/>
      <c r="X716" s="66"/>
    </row>
    <row r="717" spans="2:26" ht="90" customHeight="1" x14ac:dyDescent="0.2">
      <c r="B717" s="1038"/>
      <c r="C717" s="1039"/>
      <c r="D717" s="1039"/>
      <c r="E717" s="1039"/>
      <c r="F717" s="1039"/>
      <c r="G717" s="1039"/>
      <c r="H717" s="1039"/>
      <c r="I717" s="1039"/>
      <c r="J717" s="1039"/>
      <c r="K717" s="1040"/>
      <c r="L717" s="1040"/>
      <c r="M717" s="1040"/>
      <c r="N717" s="1040"/>
      <c r="O717" s="1040"/>
      <c r="P717" s="1040"/>
      <c r="Q717" s="1040"/>
      <c r="R717" s="1040"/>
      <c r="S717" s="1040"/>
      <c r="T717" s="1040"/>
      <c r="U717" s="1040"/>
      <c r="V717" s="1040"/>
      <c r="W717" s="1041"/>
    </row>
    <row r="718" spans="2:26" ht="12.6" customHeight="1" x14ac:dyDescent="0.25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Z718" s="34"/>
    </row>
    <row r="719" spans="2:26" ht="8.25" customHeight="1" x14ac:dyDescent="0.2">
      <c r="B719" s="1019" t="s">
        <v>339</v>
      </c>
      <c r="C719" s="1020"/>
      <c r="D719" s="1020"/>
      <c r="E719" s="1020"/>
      <c r="F719" s="1020"/>
      <c r="G719" s="1020"/>
      <c r="H719" s="1020"/>
      <c r="I719" s="1020"/>
      <c r="J719" s="1020"/>
      <c r="K719" s="1021"/>
      <c r="L719" s="1021"/>
      <c r="M719" s="1021"/>
      <c r="N719" s="1021"/>
      <c r="O719" s="1021"/>
      <c r="P719" s="1021"/>
      <c r="Q719" s="1021"/>
      <c r="R719" s="1021"/>
      <c r="S719" s="1021"/>
      <c r="T719" s="1021"/>
      <c r="U719" s="1021"/>
      <c r="V719" s="1021"/>
      <c r="W719" s="1022"/>
    </row>
    <row r="720" spans="2:26" ht="12.75" customHeight="1" x14ac:dyDescent="0.2">
      <c r="B720" s="1023"/>
      <c r="C720" s="1024"/>
      <c r="D720" s="1024"/>
      <c r="E720" s="1024"/>
      <c r="F720" s="1024"/>
      <c r="G720" s="1024"/>
      <c r="H720" s="1024"/>
      <c r="I720" s="1024"/>
      <c r="J720" s="1024"/>
      <c r="K720" s="1025"/>
      <c r="L720" s="1025"/>
      <c r="M720" s="1025"/>
      <c r="N720" s="1025"/>
      <c r="O720" s="1025"/>
      <c r="P720" s="1025"/>
      <c r="Q720" s="1025"/>
      <c r="R720" s="1025"/>
      <c r="S720" s="1025"/>
      <c r="T720" s="1025"/>
      <c r="U720" s="1025"/>
      <c r="V720" s="1025"/>
      <c r="W720" s="1026"/>
    </row>
    <row r="721" spans="2:23" x14ac:dyDescent="0.2">
      <c r="B721" s="1027"/>
      <c r="C721" s="1028"/>
      <c r="D721" s="1028"/>
      <c r="E721" s="1028"/>
      <c r="F721" s="1028"/>
      <c r="G721" s="1028"/>
      <c r="H721" s="1028"/>
      <c r="I721" s="1028"/>
      <c r="J721" s="1028"/>
      <c r="K721" s="1025"/>
      <c r="L721" s="1025"/>
      <c r="M721" s="1025"/>
      <c r="N721" s="1025"/>
      <c r="O721" s="1025"/>
      <c r="P721" s="1025"/>
      <c r="Q721" s="1025"/>
      <c r="R721" s="1025"/>
      <c r="S721" s="1025"/>
      <c r="T721" s="1025"/>
      <c r="U721" s="1025"/>
      <c r="V721" s="1025"/>
      <c r="W721" s="1026"/>
    </row>
    <row r="722" spans="2:23" x14ac:dyDescent="0.2">
      <c r="B722" s="1027"/>
      <c r="C722" s="1028"/>
      <c r="D722" s="1028"/>
      <c r="E722" s="1028"/>
      <c r="F722" s="1028"/>
      <c r="G722" s="1028"/>
      <c r="H722" s="1028"/>
      <c r="I722" s="1028"/>
      <c r="J722" s="1028"/>
      <c r="K722" s="1025"/>
      <c r="L722" s="1025"/>
      <c r="M722" s="1025"/>
      <c r="N722" s="1025"/>
      <c r="O722" s="1025"/>
      <c r="P722" s="1025"/>
      <c r="Q722" s="1025"/>
      <c r="R722" s="1025"/>
      <c r="S722" s="1025"/>
      <c r="T722" s="1025"/>
      <c r="U722" s="1025"/>
      <c r="V722" s="1025"/>
      <c r="W722" s="1026"/>
    </row>
    <row r="723" spans="2:23" x14ac:dyDescent="0.2">
      <c r="B723" s="1027"/>
      <c r="C723" s="1028"/>
      <c r="D723" s="1028"/>
      <c r="E723" s="1028"/>
      <c r="F723" s="1028"/>
      <c r="G723" s="1028"/>
      <c r="H723" s="1028"/>
      <c r="I723" s="1028"/>
      <c r="J723" s="1028"/>
      <c r="K723" s="1025"/>
      <c r="L723" s="1025"/>
      <c r="M723" s="1025"/>
      <c r="N723" s="1025"/>
      <c r="O723" s="1025"/>
      <c r="P723" s="1025"/>
      <c r="Q723" s="1025"/>
      <c r="R723" s="1025"/>
      <c r="S723" s="1025"/>
      <c r="T723" s="1025"/>
      <c r="U723" s="1025"/>
      <c r="V723" s="1025"/>
      <c r="W723" s="1026"/>
    </row>
    <row r="724" spans="2:23" x14ac:dyDescent="0.2">
      <c r="B724" s="1027"/>
      <c r="C724" s="1028"/>
      <c r="D724" s="1028"/>
      <c r="E724" s="1028"/>
      <c r="F724" s="1028"/>
      <c r="G724" s="1028"/>
      <c r="H724" s="1028"/>
      <c r="I724" s="1028"/>
      <c r="J724" s="1028"/>
      <c r="K724" s="1025"/>
      <c r="L724" s="1025"/>
      <c r="M724" s="1025"/>
      <c r="N724" s="1025"/>
      <c r="O724" s="1025"/>
      <c r="P724" s="1025"/>
      <c r="Q724" s="1025"/>
      <c r="R724" s="1025"/>
      <c r="S724" s="1025"/>
      <c r="T724" s="1025"/>
      <c r="U724" s="1025"/>
      <c r="V724" s="1025"/>
      <c r="W724" s="1026"/>
    </row>
    <row r="725" spans="2:23" x14ac:dyDescent="0.2">
      <c r="B725" s="1029"/>
      <c r="C725" s="1030"/>
      <c r="D725" s="1030"/>
      <c r="E725" s="1030"/>
      <c r="F725" s="1030"/>
      <c r="G725" s="1030"/>
      <c r="H725" s="1030"/>
      <c r="I725" s="1030"/>
      <c r="J725" s="1030"/>
      <c r="K725" s="1030"/>
      <c r="L725" s="1030"/>
      <c r="M725" s="1030"/>
      <c r="N725" s="1030"/>
      <c r="O725" s="1030"/>
      <c r="P725" s="1030"/>
      <c r="Q725" s="1030"/>
      <c r="R725" s="1030"/>
      <c r="S725" s="1030"/>
      <c r="T725" s="1030"/>
      <c r="U725" s="1030"/>
      <c r="V725" s="1030"/>
      <c r="W725" s="1031"/>
    </row>
    <row r="726" spans="2:23" x14ac:dyDescent="0.2">
      <c r="B726" s="1032"/>
      <c r="C726" s="1033"/>
      <c r="D726" s="1033"/>
      <c r="E726" s="1033"/>
      <c r="F726" s="1033"/>
      <c r="G726" s="1033"/>
      <c r="H726" s="1033"/>
      <c r="I726" s="1033"/>
      <c r="J726" s="1033"/>
      <c r="K726" s="1033"/>
      <c r="L726" s="1033"/>
      <c r="M726" s="1033"/>
      <c r="N726" s="1033"/>
      <c r="O726" s="1033"/>
      <c r="P726" s="1033"/>
      <c r="Q726" s="1033"/>
      <c r="R726" s="1033"/>
      <c r="S726" s="1033"/>
      <c r="T726" s="1033"/>
      <c r="U726" s="1033"/>
      <c r="V726" s="1033"/>
      <c r="W726" s="1034"/>
    </row>
    <row r="727" spans="2:23" ht="12.6" customHeight="1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23" ht="18.75" customHeight="1" x14ac:dyDescent="0.2">
      <c r="B728" s="1008" t="s">
        <v>340</v>
      </c>
      <c r="C728" s="1009"/>
      <c r="D728" s="1009"/>
      <c r="E728" s="1009"/>
      <c r="F728" s="1009"/>
      <c r="G728" s="1009"/>
      <c r="H728" s="1009"/>
      <c r="I728" s="1009"/>
      <c r="J728" s="1009"/>
      <c r="K728" s="1009"/>
      <c r="L728" s="1009"/>
      <c r="M728" s="1009"/>
      <c r="N728" s="1009"/>
      <c r="O728" s="1009"/>
      <c r="P728" s="1009"/>
      <c r="Q728" s="1009"/>
      <c r="R728" s="1009"/>
      <c r="S728" s="1009"/>
      <c r="T728" s="1009"/>
      <c r="U728" s="1009"/>
      <c r="V728" s="1009"/>
      <c r="W728" s="1010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23" ht="12.75" customHeight="1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"/>
      <c r="W745" s="7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"/>
      <c r="W746" s="7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E1139" s="1"/>
      <c r="F1139" s="1"/>
      <c r="H1139" s="1"/>
      <c r="I1139" s="1"/>
      <c r="J1139" s="1"/>
      <c r="K1139" s="1"/>
    </row>
    <row r="1140" spans="2:23" x14ac:dyDescent="0.2">
      <c r="E1140" s="1"/>
      <c r="F1140" s="1"/>
      <c r="H1140" s="1"/>
      <c r="I1140" s="1"/>
      <c r="J1140" s="1"/>
      <c r="K1140" s="1"/>
    </row>
    <row r="1141" spans="2:23" x14ac:dyDescent="0.2">
      <c r="E1141" s="1"/>
      <c r="F1141" s="1"/>
      <c r="H1141" s="1"/>
      <c r="I1141" s="1"/>
      <c r="J1141" s="1"/>
      <c r="K1141" s="1"/>
    </row>
    <row r="1142" spans="2:23" x14ac:dyDescent="0.2">
      <c r="E1142" s="1"/>
      <c r="F1142" s="1"/>
      <c r="H1142" s="1"/>
      <c r="I1142" s="1"/>
      <c r="J1142" s="1"/>
      <c r="K1142" s="1"/>
    </row>
    <row r="1143" spans="2:23" x14ac:dyDescent="0.2">
      <c r="E1143" s="1"/>
      <c r="F1143" s="1"/>
      <c r="H1143" s="1"/>
      <c r="I1143" s="1"/>
      <c r="J1143" s="1"/>
      <c r="K1143" s="1"/>
    </row>
    <row r="1144" spans="2:23" x14ac:dyDescent="0.2">
      <c r="E1144" s="1"/>
      <c r="F1144" s="1"/>
      <c r="H1144" s="1"/>
      <c r="I1144" s="1"/>
      <c r="J1144" s="1"/>
      <c r="K1144" s="1"/>
    </row>
    <row r="1145" spans="2:23" x14ac:dyDescent="0.2">
      <c r="E1145" s="1"/>
      <c r="F1145" s="1"/>
      <c r="H1145" s="1"/>
      <c r="I1145" s="1"/>
      <c r="J1145" s="1"/>
      <c r="K1145" s="1"/>
    </row>
    <row r="1146" spans="2:23" x14ac:dyDescent="0.2">
      <c r="E1146" s="1"/>
      <c r="F1146" s="1"/>
      <c r="H1146" s="1"/>
      <c r="I1146" s="1"/>
      <c r="J1146" s="1"/>
      <c r="K1146" s="1"/>
    </row>
    <row r="1147" spans="2:23" x14ac:dyDescent="0.2">
      <c r="E1147" s="1"/>
      <c r="F1147" s="1"/>
      <c r="H1147" s="1"/>
      <c r="I1147" s="1"/>
      <c r="J1147" s="1"/>
      <c r="K1147" s="1"/>
    </row>
    <row r="1148" spans="2:23" x14ac:dyDescent="0.2">
      <c r="E1148" s="1"/>
      <c r="F1148" s="1"/>
      <c r="H1148" s="1"/>
      <c r="I1148" s="1"/>
      <c r="J1148" s="1"/>
      <c r="K1148" s="1"/>
    </row>
    <row r="1149" spans="2:23" x14ac:dyDescent="0.2">
      <c r="E1149" s="1"/>
      <c r="F1149" s="1"/>
      <c r="H1149" s="1"/>
      <c r="I1149" s="1"/>
      <c r="J1149" s="1"/>
      <c r="K1149" s="1"/>
    </row>
    <row r="1150" spans="2:23" x14ac:dyDescent="0.2">
      <c r="E1150" s="1"/>
      <c r="F1150" s="1"/>
      <c r="H1150" s="1"/>
      <c r="I1150" s="1"/>
      <c r="J1150" s="1"/>
      <c r="K1150" s="1"/>
    </row>
    <row r="1151" spans="2:23" x14ac:dyDescent="0.2">
      <c r="E1151" s="1"/>
      <c r="F1151" s="1"/>
      <c r="H1151" s="1"/>
      <c r="I1151" s="1"/>
      <c r="J1151" s="1"/>
      <c r="K1151" s="1"/>
    </row>
    <row r="1152" spans="2:23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</sheetData>
  <mergeCells count="1066">
    <mergeCell ref="X645:AA645"/>
    <mergeCell ref="B400:E400"/>
    <mergeCell ref="B381:E381"/>
    <mergeCell ref="X296:AA296"/>
    <mergeCell ref="B263:E263"/>
    <mergeCell ref="B185:E185"/>
    <mergeCell ref="AF10:AH10"/>
    <mergeCell ref="X386:AA386"/>
    <mergeCell ref="B362:E362"/>
    <mergeCell ref="B309:E309"/>
    <mergeCell ref="B359:E359"/>
    <mergeCell ref="B361:E361"/>
    <mergeCell ref="B369:E369"/>
    <mergeCell ref="X294:AA294"/>
    <mergeCell ref="B337:E337"/>
    <mergeCell ref="B338:E338"/>
    <mergeCell ref="X335:AA335"/>
    <mergeCell ref="B330:E330"/>
    <mergeCell ref="B378:E378"/>
    <mergeCell ref="B377:E377"/>
    <mergeCell ref="B383:E383"/>
    <mergeCell ref="B311:E311"/>
    <mergeCell ref="B298:E298"/>
    <mergeCell ref="B352:E352"/>
    <mergeCell ref="G318:G319"/>
    <mergeCell ref="F318:F319"/>
    <mergeCell ref="Q335:W335"/>
    <mergeCell ref="B292:E292"/>
    <mergeCell ref="B304:E304"/>
    <mergeCell ref="X359:AA359"/>
    <mergeCell ref="B340:E340"/>
    <mergeCell ref="B312:E312"/>
    <mergeCell ref="X290:AA290"/>
    <mergeCell ref="X293:AA293"/>
    <mergeCell ref="B291:E291"/>
    <mergeCell ref="B294:E294"/>
    <mergeCell ref="B325:E325"/>
    <mergeCell ref="B334:E334"/>
    <mergeCell ref="B289:E289"/>
    <mergeCell ref="X289:AA289"/>
    <mergeCell ref="B242:E242"/>
    <mergeCell ref="X242:AA242"/>
    <mergeCell ref="X644:AA644"/>
    <mergeCell ref="B375:E375"/>
    <mergeCell ref="B283:E283"/>
    <mergeCell ref="B367:E367"/>
    <mergeCell ref="B344:E344"/>
    <mergeCell ref="B354:E354"/>
    <mergeCell ref="B374:E374"/>
    <mergeCell ref="B368:E368"/>
    <mergeCell ref="B358:E358"/>
    <mergeCell ref="B343:E343"/>
    <mergeCell ref="B290:E290"/>
    <mergeCell ref="B332:E332"/>
    <mergeCell ref="B329:E329"/>
    <mergeCell ref="B355:E355"/>
    <mergeCell ref="B326:E326"/>
    <mergeCell ref="B307:E307"/>
    <mergeCell ref="B322:E322"/>
    <mergeCell ref="B301:E301"/>
    <mergeCell ref="B314:E314"/>
    <mergeCell ref="B320:E320"/>
    <mergeCell ref="X291:AA291"/>
    <mergeCell ref="B349:E349"/>
    <mergeCell ref="B385:E385"/>
    <mergeCell ref="B405:E405"/>
    <mergeCell ref="B418:E418"/>
    <mergeCell ref="F398:F399"/>
    <mergeCell ref="X414:AA414"/>
    <mergeCell ref="X408:AA408"/>
    <mergeCell ref="X412:AA412"/>
    <mergeCell ref="B412:E412"/>
    <mergeCell ref="X388:AA388"/>
    <mergeCell ref="X390:AA390"/>
    <mergeCell ref="B406:E406"/>
    <mergeCell ref="B391:E391"/>
    <mergeCell ref="B413:E413"/>
    <mergeCell ref="B390:E390"/>
    <mergeCell ref="B392:E392"/>
    <mergeCell ref="B389:E389"/>
    <mergeCell ref="B409:E409"/>
    <mergeCell ref="X417:AA417"/>
    <mergeCell ref="G398:G399"/>
    <mergeCell ref="B398:B399"/>
    <mergeCell ref="X452:AA452"/>
    <mergeCell ref="X442:AA442"/>
    <mergeCell ref="B429:E429"/>
    <mergeCell ref="X454:AA454"/>
    <mergeCell ref="X365:AA365"/>
    <mergeCell ref="X295:AA295"/>
    <mergeCell ref="B410:E410"/>
    <mergeCell ref="B335:E335"/>
    <mergeCell ref="B296:E296"/>
    <mergeCell ref="B357:E357"/>
    <mergeCell ref="B364:E364"/>
    <mergeCell ref="B323:E323"/>
    <mergeCell ref="B328:E328"/>
    <mergeCell ref="X363:AA363"/>
    <mergeCell ref="B302:E302"/>
    <mergeCell ref="C318:E319"/>
    <mergeCell ref="B297:E297"/>
    <mergeCell ref="B363:E363"/>
    <mergeCell ref="X358:AA358"/>
    <mergeCell ref="X361:AA361"/>
    <mergeCell ref="X362:AA362"/>
    <mergeCell ref="B386:E386"/>
    <mergeCell ref="B350:E350"/>
    <mergeCell ref="B345:E345"/>
    <mergeCell ref="B348:E348"/>
    <mergeCell ref="B372:E372"/>
    <mergeCell ref="B313:E313"/>
    <mergeCell ref="B366:E366"/>
    <mergeCell ref="B353:E353"/>
    <mergeCell ref="B336:E336"/>
    <mergeCell ref="B339:E339"/>
    <mergeCell ref="B321:E321"/>
    <mergeCell ref="B438:E438"/>
    <mergeCell ref="B448:E448"/>
    <mergeCell ref="B422:E422"/>
    <mergeCell ref="B419:E419"/>
    <mergeCell ref="X360:AA360"/>
    <mergeCell ref="X334:AA334"/>
    <mergeCell ref="B387:E387"/>
    <mergeCell ref="X457:AA457"/>
    <mergeCell ref="X479:AA480"/>
    <mergeCell ref="B382:E382"/>
    <mergeCell ref="B351:E351"/>
    <mergeCell ref="B331:E331"/>
    <mergeCell ref="B333:E333"/>
    <mergeCell ref="B388:E388"/>
    <mergeCell ref="B439:E439"/>
    <mergeCell ref="X413:AA413"/>
    <mergeCell ref="C398:E399"/>
    <mergeCell ref="X441:AA441"/>
    <mergeCell ref="X415:AA415"/>
    <mergeCell ref="B466:E466"/>
    <mergeCell ref="B455:E455"/>
    <mergeCell ref="H398:W398"/>
    <mergeCell ref="B401:E401"/>
    <mergeCell ref="B442:E442"/>
    <mergeCell ref="B402:E402"/>
    <mergeCell ref="B403:E403"/>
    <mergeCell ref="B373:E373"/>
    <mergeCell ref="B415:E415"/>
    <mergeCell ref="I434:M439"/>
    <mergeCell ref="B380:E380"/>
    <mergeCell ref="X387:AA387"/>
    <mergeCell ref="X385:AA385"/>
    <mergeCell ref="B426:E426"/>
    <mergeCell ref="X433:AA433"/>
    <mergeCell ref="B433:E433"/>
    <mergeCell ref="B423:E423"/>
    <mergeCell ref="B435:E435"/>
    <mergeCell ref="B437:E437"/>
    <mergeCell ref="X422:AA422"/>
    <mergeCell ref="X426:AA426"/>
    <mergeCell ref="X418:AA418"/>
    <mergeCell ref="X416:AA416"/>
    <mergeCell ref="X427:AA427"/>
    <mergeCell ref="B428:E428"/>
    <mergeCell ref="X428:AA428"/>
    <mergeCell ref="I429:M431"/>
    <mergeCell ref="B434:E434"/>
    <mergeCell ref="B417:E417"/>
    <mergeCell ref="B421:E421"/>
    <mergeCell ref="X421:AA421"/>
    <mergeCell ref="B430:E430"/>
    <mergeCell ref="B436:E436"/>
    <mergeCell ref="X432:AA432"/>
    <mergeCell ref="X423:AA423"/>
    <mergeCell ref="B499:E499"/>
    <mergeCell ref="B461:E461"/>
    <mergeCell ref="C479:E480"/>
    <mergeCell ref="B490:E490"/>
    <mergeCell ref="B495:E495"/>
    <mergeCell ref="B519:E519"/>
    <mergeCell ref="B520:E520"/>
    <mergeCell ref="B463:E463"/>
    <mergeCell ref="B462:E462"/>
    <mergeCell ref="B525:E525"/>
    <mergeCell ref="B511:E511"/>
    <mergeCell ref="B544:E544"/>
    <mergeCell ref="B440:E440"/>
    <mergeCell ref="B465:E465"/>
    <mergeCell ref="X456:AA456"/>
    <mergeCell ref="X455:AA455"/>
    <mergeCell ref="B489:E489"/>
    <mergeCell ref="B445:E445"/>
    <mergeCell ref="B491:E491"/>
    <mergeCell ref="X444:AA444"/>
    <mergeCell ref="B459:E459"/>
    <mergeCell ref="X440:AA440"/>
    <mergeCell ref="B449:E449"/>
    <mergeCell ref="B464:E464"/>
    <mergeCell ref="B451:E451"/>
    <mergeCell ref="B492:E492"/>
    <mergeCell ref="B481:E481"/>
    <mergeCell ref="X464:AA464"/>
    <mergeCell ref="X445:AA445"/>
    <mergeCell ref="X443:AA443"/>
    <mergeCell ref="B443:E443"/>
    <mergeCell ref="B444:E444"/>
    <mergeCell ref="AF478:AH478"/>
    <mergeCell ref="AB479:AB480"/>
    <mergeCell ref="AF479:AH479"/>
    <mergeCell ref="H479:W479"/>
    <mergeCell ref="AF601:AH601"/>
    <mergeCell ref="X601:AA602"/>
    <mergeCell ref="B486:E486"/>
    <mergeCell ref="B488:E488"/>
    <mergeCell ref="G479:G480"/>
    <mergeCell ref="B513:E513"/>
    <mergeCell ref="B512:E512"/>
    <mergeCell ref="B524:E524"/>
    <mergeCell ref="C516:E517"/>
    <mergeCell ref="B509:E509"/>
    <mergeCell ref="B510:E510"/>
    <mergeCell ref="B504:E504"/>
    <mergeCell ref="B487:E487"/>
    <mergeCell ref="X572:AA573"/>
    <mergeCell ref="B572:B573"/>
    <mergeCell ref="F572:F573"/>
    <mergeCell ref="G572:G573"/>
    <mergeCell ref="B577:E577"/>
    <mergeCell ref="B591:E591"/>
    <mergeCell ref="B555:E555"/>
    <mergeCell ref="AF572:AH572"/>
    <mergeCell ref="B571:W571"/>
    <mergeCell ref="B553:E553"/>
    <mergeCell ref="B515:W515"/>
    <mergeCell ref="B497:E497"/>
    <mergeCell ref="H572:W572"/>
    <mergeCell ref="B543:E543"/>
    <mergeCell ref="B478:W478"/>
    <mergeCell ref="AF656:AH656"/>
    <mergeCell ref="X631:AA631"/>
    <mergeCell ref="B567:E567"/>
    <mergeCell ref="AF571:AH571"/>
    <mergeCell ref="B542:E542"/>
    <mergeCell ref="B588:E588"/>
    <mergeCell ref="AF683:AH683"/>
    <mergeCell ref="AF515:AH515"/>
    <mergeCell ref="B516:B517"/>
    <mergeCell ref="B663:G664"/>
    <mergeCell ref="B679:W681"/>
    <mergeCell ref="T663:T664"/>
    <mergeCell ref="B583:E583"/>
    <mergeCell ref="AB516:AB517"/>
    <mergeCell ref="AF516:AH516"/>
    <mergeCell ref="B545:E545"/>
    <mergeCell ref="B522:E522"/>
    <mergeCell ref="B550:E550"/>
    <mergeCell ref="B548:E548"/>
    <mergeCell ref="B551:E551"/>
    <mergeCell ref="B569:E569"/>
    <mergeCell ref="AB601:AB602"/>
    <mergeCell ref="B628:E628"/>
    <mergeCell ref="B630:E630"/>
    <mergeCell ref="H601:W601"/>
    <mergeCell ref="B612:E612"/>
    <mergeCell ref="B586:E586"/>
    <mergeCell ref="Q663:Q664"/>
    <mergeCell ref="AB572:AB573"/>
    <mergeCell ref="V663:V664"/>
    <mergeCell ref="B582:E582"/>
    <mergeCell ref="B547:E547"/>
    <mergeCell ref="AF697:AH697"/>
    <mergeCell ref="O663:O664"/>
    <mergeCell ref="L663:L664"/>
    <mergeCell ref="P663:P664"/>
    <mergeCell ref="C683:I683"/>
    <mergeCell ref="C691:G691"/>
    <mergeCell ref="C692:G692"/>
    <mergeCell ref="M663:M664"/>
    <mergeCell ref="B654:E654"/>
    <mergeCell ref="B652:E652"/>
    <mergeCell ref="B662:W662"/>
    <mergeCell ref="B584:E584"/>
    <mergeCell ref="B635:E635"/>
    <mergeCell ref="B590:E590"/>
    <mergeCell ref="B595:E595"/>
    <mergeCell ref="B603:E603"/>
    <mergeCell ref="B600:W600"/>
    <mergeCell ref="B601:B602"/>
    <mergeCell ref="B611:E611"/>
    <mergeCell ref="B605:E605"/>
    <mergeCell ref="B587:E587"/>
    <mergeCell ref="B589:E589"/>
    <mergeCell ref="B597:E597"/>
    <mergeCell ref="B634:E634"/>
    <mergeCell ref="B665:G665"/>
    <mergeCell ref="C676:I677"/>
    <mergeCell ref="C684:I690"/>
    <mergeCell ref="C675:G675"/>
    <mergeCell ref="C674:G674"/>
    <mergeCell ref="C672:I672"/>
    <mergeCell ref="B670:J670"/>
    <mergeCell ref="B598:E598"/>
    <mergeCell ref="U663:U664"/>
    <mergeCell ref="B650:E650"/>
    <mergeCell ref="I663:I664"/>
    <mergeCell ref="B660:G660"/>
    <mergeCell ref="C601:E602"/>
    <mergeCell ref="B533:E533"/>
    <mergeCell ref="B530:E530"/>
    <mergeCell ref="B632:E632"/>
    <mergeCell ref="B556:E556"/>
    <mergeCell ref="C572:E573"/>
    <mergeCell ref="B528:E528"/>
    <mergeCell ref="B552:E552"/>
    <mergeCell ref="B581:E581"/>
    <mergeCell ref="B592:E592"/>
    <mergeCell ref="B620:E620"/>
    <mergeCell ref="B580:E580"/>
    <mergeCell ref="B644:E644"/>
    <mergeCell ref="B529:E529"/>
    <mergeCell ref="B645:E645"/>
    <mergeCell ref="B596:E596"/>
    <mergeCell ref="B593:E593"/>
    <mergeCell ref="B604:E604"/>
    <mergeCell ref="B606:E606"/>
    <mergeCell ref="B631:E631"/>
    <mergeCell ref="B566:E566"/>
    <mergeCell ref="B540:E540"/>
    <mergeCell ref="B534:E534"/>
    <mergeCell ref="B537:E537"/>
    <mergeCell ref="B568:E568"/>
    <mergeCell ref="B546:E546"/>
    <mergeCell ref="B549:E549"/>
    <mergeCell ref="B564:E564"/>
    <mergeCell ref="X632:AA632"/>
    <mergeCell ref="B300:E300"/>
    <mergeCell ref="X238:AA239"/>
    <mergeCell ref="B306:E306"/>
    <mergeCell ref="X282:AA282"/>
    <mergeCell ref="F238:F239"/>
    <mergeCell ref="X284:AA284"/>
    <mergeCell ref="X300:AA300"/>
    <mergeCell ref="X627:AA627"/>
    <mergeCell ref="X298:AA298"/>
    <mergeCell ref="B295:E295"/>
    <mergeCell ref="X269:AA269"/>
    <mergeCell ref="B275:E275"/>
    <mergeCell ref="B324:E324"/>
    <mergeCell ref="B404:E404"/>
    <mergeCell ref="B431:E431"/>
    <mergeCell ref="B394:E394"/>
    <mergeCell ref="B393:E393"/>
    <mergeCell ref="B420:E420"/>
    <mergeCell ref="B427:E427"/>
    <mergeCell ref="B379:E379"/>
    <mergeCell ref="X287:AA287"/>
    <mergeCell ref="X283:AA283"/>
    <mergeCell ref="B278:E278"/>
    <mergeCell ref="B270:E270"/>
    <mergeCell ref="B254:E254"/>
    <mergeCell ref="X254:AA254"/>
    <mergeCell ref="B575:E575"/>
    <mergeCell ref="B479:B480"/>
    <mergeCell ref="B498:E498"/>
    <mergeCell ref="B506:E506"/>
    <mergeCell ref="X626:AA626"/>
    <mergeCell ref="X625:AA625"/>
    <mergeCell ref="B277:E277"/>
    <mergeCell ref="X260:AA260"/>
    <mergeCell ref="X270:AA270"/>
    <mergeCell ref="B281:E281"/>
    <mergeCell ref="B282:E282"/>
    <mergeCell ref="B261:E261"/>
    <mergeCell ref="B276:E276"/>
    <mergeCell ref="B284:E284"/>
    <mergeCell ref="X285:AA285"/>
    <mergeCell ref="B503:E503"/>
    <mergeCell ref="F516:F517"/>
    <mergeCell ref="B541:E541"/>
    <mergeCell ref="X616:AA616"/>
    <mergeCell ref="G516:G517"/>
    <mergeCell ref="B526:E526"/>
    <mergeCell ref="B521:E521"/>
    <mergeCell ref="X516:AA517"/>
    <mergeCell ref="H516:W516"/>
    <mergeCell ref="B527:E527"/>
    <mergeCell ref="B535:E535"/>
    <mergeCell ref="B536:E536"/>
    <mergeCell ref="B538:E538"/>
    <mergeCell ref="B500:E500"/>
    <mergeCell ref="B501:E501"/>
    <mergeCell ref="B502:E502"/>
    <mergeCell ref="B460:E460"/>
    <mergeCell ref="B554:E554"/>
    <mergeCell ref="B523:E523"/>
    <mergeCell ref="B531:E531"/>
    <mergeCell ref="B485:E485"/>
    <mergeCell ref="B483:E483"/>
    <mergeCell ref="X614:AA614"/>
    <mergeCell ref="B287:E287"/>
    <mergeCell ref="B264:E264"/>
    <mergeCell ref="X278:AA278"/>
    <mergeCell ref="X268:AA268"/>
    <mergeCell ref="X267:AA267"/>
    <mergeCell ref="B286:E286"/>
    <mergeCell ref="B280:E280"/>
    <mergeCell ref="B616:E616"/>
    <mergeCell ref="B274:E274"/>
    <mergeCell ref="B269:E269"/>
    <mergeCell ref="B265:E265"/>
    <mergeCell ref="C238:E239"/>
    <mergeCell ref="X245:AA245"/>
    <mergeCell ref="X247:AA247"/>
    <mergeCell ref="X262:AA262"/>
    <mergeCell ref="X253:AA253"/>
    <mergeCell ref="B244:E244"/>
    <mergeCell ref="B539:E539"/>
    <mergeCell ref="B411:E411"/>
    <mergeCell ref="B414:E414"/>
    <mergeCell ref="B346:E346"/>
    <mergeCell ref="B450:E450"/>
    <mergeCell ref="B482:E482"/>
    <mergeCell ref="X266:AA266"/>
    <mergeCell ref="B613:E613"/>
    <mergeCell ref="B608:E608"/>
    <mergeCell ref="B610:E610"/>
    <mergeCell ref="B594:E594"/>
    <mergeCell ref="B574:E574"/>
    <mergeCell ref="F601:F602"/>
    <mergeCell ref="B585:E585"/>
    <mergeCell ref="X465:AA465"/>
    <mergeCell ref="X463:AA463"/>
    <mergeCell ref="B432:E432"/>
    <mergeCell ref="X466:AA466"/>
    <mergeCell ref="B447:E447"/>
    <mergeCell ref="B452:E452"/>
    <mergeCell ref="B247:E247"/>
    <mergeCell ref="B259:E259"/>
    <mergeCell ref="B272:E272"/>
    <mergeCell ref="B271:E271"/>
    <mergeCell ref="X246:AA246"/>
    <mergeCell ref="B266:E266"/>
    <mergeCell ref="B457:E457"/>
    <mergeCell ref="B484:E484"/>
    <mergeCell ref="B456:E456"/>
    <mergeCell ref="B246:E246"/>
    <mergeCell ref="B454:E454"/>
    <mergeCell ref="X256:AA256"/>
    <mergeCell ref="B285:E285"/>
    <mergeCell ref="B288:E288"/>
    <mergeCell ref="X280:AA280"/>
    <mergeCell ref="X261:AA261"/>
    <mergeCell ref="B279:E279"/>
    <mergeCell ref="X281:AA281"/>
    <mergeCell ref="X279:AA279"/>
    <mergeCell ref="X425:AA425"/>
    <mergeCell ref="B424:E424"/>
    <mergeCell ref="X424:AA424"/>
    <mergeCell ref="B416:E416"/>
    <mergeCell ref="X453:AA453"/>
    <mergeCell ref="B249:E249"/>
    <mergeCell ref="X249:AA249"/>
    <mergeCell ref="H45:K45"/>
    <mergeCell ref="X45:AA45"/>
    <mergeCell ref="X32:AA32"/>
    <mergeCell ref="H44:K44"/>
    <mergeCell ref="H40:K40"/>
    <mergeCell ref="B23:E23"/>
    <mergeCell ref="B84:E84"/>
    <mergeCell ref="B112:E112"/>
    <mergeCell ref="B139:E139"/>
    <mergeCell ref="B165:E165"/>
    <mergeCell ref="B164:E164"/>
    <mergeCell ref="B204:E204"/>
    <mergeCell ref="C158:E159"/>
    <mergeCell ref="H158:W158"/>
    <mergeCell ref="B168:E168"/>
    <mergeCell ref="B186:E186"/>
    <mergeCell ref="B151:E151"/>
    <mergeCell ref="G158:G159"/>
    <mergeCell ref="X162:AA162"/>
    <mergeCell ref="X147:AA147"/>
    <mergeCell ref="X163:AA163"/>
    <mergeCell ref="X141:AA141"/>
    <mergeCell ref="X142:AA142"/>
    <mergeCell ref="B170:E170"/>
    <mergeCell ref="X183:AA183"/>
    <mergeCell ref="B194:E194"/>
    <mergeCell ref="B178:E178"/>
    <mergeCell ref="X172:AA172"/>
    <mergeCell ref="X169:AA169"/>
    <mergeCell ref="X161:AA161"/>
    <mergeCell ref="B177:E177"/>
    <mergeCell ref="X167:AA167"/>
    <mergeCell ref="X130:AA130"/>
    <mergeCell ref="B28:E28"/>
    <mergeCell ref="B82:E82"/>
    <mergeCell ref="H41:K41"/>
    <mergeCell ref="B167:E167"/>
    <mergeCell ref="B123:E123"/>
    <mergeCell ref="B728:W728"/>
    <mergeCell ref="B711:W711"/>
    <mergeCell ref="B696:W696"/>
    <mergeCell ref="B694:W694"/>
    <mergeCell ref="B719:W726"/>
    <mergeCell ref="B697:W697"/>
    <mergeCell ref="B710:W710"/>
    <mergeCell ref="B708:W708"/>
    <mergeCell ref="B717:W717"/>
    <mergeCell ref="B701:W704"/>
    <mergeCell ref="B706:W707"/>
    <mergeCell ref="B700:W700"/>
    <mergeCell ref="B698:W698"/>
    <mergeCell ref="S663:S664"/>
    <mergeCell ref="C673:G673"/>
    <mergeCell ref="B646:E646"/>
    <mergeCell ref="N663:N664"/>
    <mergeCell ref="H663:H664"/>
    <mergeCell ref="B653:E653"/>
    <mergeCell ref="B656:W656"/>
    <mergeCell ref="R663:R664"/>
    <mergeCell ref="J663:J664"/>
    <mergeCell ref="X40:AA40"/>
    <mergeCell ref="X33:AA33"/>
    <mergeCell ref="X35:AA35"/>
    <mergeCell ref="X31:AA31"/>
    <mergeCell ref="X144:AA144"/>
    <mergeCell ref="F158:F159"/>
    <mergeCell ref="B158:B159"/>
    <mergeCell ref="B163:E163"/>
    <mergeCell ref="B166:E166"/>
    <mergeCell ref="B148:E148"/>
    <mergeCell ref="X243:AA243"/>
    <mergeCell ref="B209:E209"/>
    <mergeCell ref="B206:E206"/>
    <mergeCell ref="B180:E180"/>
    <mergeCell ref="X244:AA244"/>
    <mergeCell ref="X182:AA182"/>
    <mergeCell ref="B184:E184"/>
    <mergeCell ref="B174:E174"/>
    <mergeCell ref="B216:E216"/>
    <mergeCell ref="B169:E169"/>
    <mergeCell ref="X232:AA232"/>
    <mergeCell ref="B172:E172"/>
    <mergeCell ref="X178:AA178"/>
    <mergeCell ref="X170:AA170"/>
    <mergeCell ref="B145:E145"/>
    <mergeCell ref="B162:E162"/>
    <mergeCell ref="G238:G239"/>
    <mergeCell ref="B232:E232"/>
    <mergeCell ref="F237:J237"/>
    <mergeCell ref="B207:E207"/>
    <mergeCell ref="Q215:W215"/>
    <mergeCell ref="B224:E224"/>
    <mergeCell ref="X165:AA165"/>
    <mergeCell ref="X160:AA160"/>
    <mergeCell ref="X164:AA164"/>
    <mergeCell ref="X158:AA159"/>
    <mergeCell ref="B576:E576"/>
    <mergeCell ref="B578:E578"/>
    <mergeCell ref="B565:E565"/>
    <mergeCell ref="B255:E255"/>
    <mergeCell ref="B251:E251"/>
    <mergeCell ref="B231:E231"/>
    <mergeCell ref="W663:W664"/>
    <mergeCell ref="B659:G659"/>
    <mergeCell ref="A658:A668"/>
    <mergeCell ref="B666:G666"/>
    <mergeCell ref="B647:E647"/>
    <mergeCell ref="B667:G667"/>
    <mergeCell ref="B648:E648"/>
    <mergeCell ref="B651:E651"/>
    <mergeCell ref="B668:G668"/>
    <mergeCell ref="B657:G657"/>
    <mergeCell ref="B141:E141"/>
    <mergeCell ref="B144:E144"/>
    <mergeCell ref="B198:E198"/>
    <mergeCell ref="B182:E182"/>
    <mergeCell ref="F479:F480"/>
    <mergeCell ref="B458:E458"/>
    <mergeCell ref="B446:E446"/>
    <mergeCell ref="B441:E441"/>
    <mergeCell ref="B493:E493"/>
    <mergeCell ref="B453:E453"/>
    <mergeCell ref="B619:E619"/>
    <mergeCell ref="B627:E627"/>
    <mergeCell ref="B621:E621"/>
    <mergeCell ref="B622:E622"/>
    <mergeCell ref="B637:E637"/>
    <mergeCell ref="B658:G658"/>
    <mergeCell ref="B176:E176"/>
    <mergeCell ref="B220:E220"/>
    <mergeCell ref="X226:AA226"/>
    <mergeCell ref="B305:E305"/>
    <mergeCell ref="B268:E268"/>
    <mergeCell ref="B257:E257"/>
    <mergeCell ref="B649:E649"/>
    <mergeCell ref="X181:AA181"/>
    <mergeCell ref="B633:E633"/>
    <mergeCell ref="B661:G661"/>
    <mergeCell ref="K663:K664"/>
    <mergeCell ref="B579:E579"/>
    <mergeCell ref="B210:E210"/>
    <mergeCell ref="B252:E252"/>
    <mergeCell ref="B614:E614"/>
    <mergeCell ref="B217:E217"/>
    <mergeCell ref="B227:E227"/>
    <mergeCell ref="B241:E241"/>
    <mergeCell ref="B262:E262"/>
    <mergeCell ref="B617:E617"/>
    <mergeCell ref="B253:E253"/>
    <mergeCell ref="B256:E256"/>
    <mergeCell ref="B507:E507"/>
    <mergeCell ref="B505:E505"/>
    <mergeCell ref="B508:E508"/>
    <mergeCell ref="B496:E496"/>
    <mergeCell ref="B494:E494"/>
    <mergeCell ref="B223:E223"/>
    <mergeCell ref="B310:E310"/>
    <mergeCell ref="B222:E222"/>
    <mergeCell ref="B258:E258"/>
    <mergeCell ref="G601:G602"/>
    <mergeCell ref="B197:E197"/>
    <mergeCell ref="H178:K183"/>
    <mergeCell ref="B183:E183"/>
    <mergeCell ref="B201:E201"/>
    <mergeCell ref="B215:E215"/>
    <mergeCell ref="B425:E425"/>
    <mergeCell ref="B360:E360"/>
    <mergeCell ref="B365:E365"/>
    <mergeCell ref="B407:E407"/>
    <mergeCell ref="X223:AA223"/>
    <mergeCell ref="B211:E211"/>
    <mergeCell ref="B187:E187"/>
    <mergeCell ref="B192:E192"/>
    <mergeCell ref="B200:E200"/>
    <mergeCell ref="B190:E190"/>
    <mergeCell ref="H238:W238"/>
    <mergeCell ref="B248:E248"/>
    <mergeCell ref="X248:AA248"/>
    <mergeCell ref="B243:E243"/>
    <mergeCell ref="Q206:W206"/>
    <mergeCell ref="X234:AA234"/>
    <mergeCell ref="B230:E230"/>
    <mergeCell ref="X230:AA230"/>
    <mergeCell ref="B199:E199"/>
    <mergeCell ref="X286:AA286"/>
    <mergeCell ref="B308:E308"/>
    <mergeCell ref="B356:E356"/>
    <mergeCell ref="X398:AA399"/>
    <mergeCell ref="X391:AA391"/>
    <mergeCell ref="X407:AA407"/>
    <mergeCell ref="X389:AA389"/>
    <mergeCell ref="B408:E408"/>
    <mergeCell ref="X129:AA129"/>
    <mergeCell ref="X121:AA121"/>
    <mergeCell ref="B115:E115"/>
    <mergeCell ref="B114:E114"/>
    <mergeCell ref="X109:AA109"/>
    <mergeCell ref="B140:E140"/>
    <mergeCell ref="B135:E135"/>
    <mergeCell ref="X227:AA227"/>
    <mergeCell ref="B205:E205"/>
    <mergeCell ref="B234:E234"/>
    <mergeCell ref="X225:AA225"/>
    <mergeCell ref="H201:M201"/>
    <mergeCell ref="X231:AA231"/>
    <mergeCell ref="X177:AA177"/>
    <mergeCell ref="B238:B239"/>
    <mergeCell ref="X619:AA619"/>
    <mergeCell ref="B196:E196"/>
    <mergeCell ref="B208:E208"/>
    <mergeCell ref="X252:AA252"/>
    <mergeCell ref="B193:E193"/>
    <mergeCell ref="B195:E195"/>
    <mergeCell ref="B225:E225"/>
    <mergeCell ref="X179:AA179"/>
    <mergeCell ref="X180:AA180"/>
    <mergeCell ref="B240:E240"/>
    <mergeCell ref="B218:E218"/>
    <mergeCell ref="B532:E532"/>
    <mergeCell ref="B518:E518"/>
    <mergeCell ref="B250:E250"/>
    <mergeCell ref="X250:AA250"/>
    <mergeCell ref="X257:AA257"/>
    <mergeCell ref="B327:E327"/>
    <mergeCell ref="B122:E122"/>
    <mergeCell ref="G122:K122"/>
    <mergeCell ref="G117:K117"/>
    <mergeCell ref="B83:E83"/>
    <mergeCell ref="B80:E80"/>
    <mergeCell ref="B85:E85"/>
    <mergeCell ref="X113:AA113"/>
    <mergeCell ref="B98:E98"/>
    <mergeCell ref="B110:E110"/>
    <mergeCell ref="B108:E108"/>
    <mergeCell ref="G106:O106"/>
    <mergeCell ref="I69:M69"/>
    <mergeCell ref="I70:M70"/>
    <mergeCell ref="B69:E69"/>
    <mergeCell ref="B70:E70"/>
    <mergeCell ref="B109:E109"/>
    <mergeCell ref="B245:E245"/>
    <mergeCell ref="B202:E202"/>
    <mergeCell ref="B179:E179"/>
    <mergeCell ref="X224:AA224"/>
    <mergeCell ref="G189:S194"/>
    <mergeCell ref="X229:AA229"/>
    <mergeCell ref="B153:E153"/>
    <mergeCell ref="X154:AA154"/>
    <mergeCell ref="B154:E154"/>
    <mergeCell ref="B147:E147"/>
    <mergeCell ref="B129:E129"/>
    <mergeCell ref="B149:E149"/>
    <mergeCell ref="X122:AA122"/>
    <mergeCell ref="X131:AA131"/>
    <mergeCell ref="X72:AA72"/>
    <mergeCell ref="X127:AA127"/>
    <mergeCell ref="B132:E132"/>
    <mergeCell ref="G123:K123"/>
    <mergeCell ref="X87:Z87"/>
    <mergeCell ref="X106:AA106"/>
    <mergeCell ref="X118:AA118"/>
    <mergeCell ref="X116:AA116"/>
    <mergeCell ref="B90:E90"/>
    <mergeCell ref="B96:E96"/>
    <mergeCell ref="B117:E117"/>
    <mergeCell ref="X123:AA123"/>
    <mergeCell ref="B143:E143"/>
    <mergeCell ref="B63:E63"/>
    <mergeCell ref="B68:E68"/>
    <mergeCell ref="B78:B79"/>
    <mergeCell ref="B71:E71"/>
    <mergeCell ref="B125:E125"/>
    <mergeCell ref="H78:W78"/>
    <mergeCell ref="B124:E124"/>
    <mergeCell ref="H109:M110"/>
    <mergeCell ref="X108:AA108"/>
    <mergeCell ref="X119:AA119"/>
    <mergeCell ref="B120:E120"/>
    <mergeCell ref="B106:E106"/>
    <mergeCell ref="G118:K118"/>
    <mergeCell ref="G114:K114"/>
    <mergeCell ref="X117:AA117"/>
    <mergeCell ref="B128:E128"/>
    <mergeCell ref="X128:AA128"/>
    <mergeCell ref="B66:E66"/>
    <mergeCell ref="G108:M108"/>
    <mergeCell ref="B119:E119"/>
    <mergeCell ref="I111:W112"/>
    <mergeCell ref="X125:AA125"/>
    <mergeCell ref="X69:AA69"/>
    <mergeCell ref="X82:Z82"/>
    <mergeCell ref="B107:E107"/>
    <mergeCell ref="B93:E93"/>
    <mergeCell ref="G121:K121"/>
    <mergeCell ref="G116:K116"/>
    <mergeCell ref="B92:E92"/>
    <mergeCell ref="B142:E142"/>
    <mergeCell ref="X120:AA120"/>
    <mergeCell ref="G120:K120"/>
    <mergeCell ref="B52:E52"/>
    <mergeCell ref="B58:E58"/>
    <mergeCell ref="B126:E126"/>
    <mergeCell ref="C78:E79"/>
    <mergeCell ref="B73:E73"/>
    <mergeCell ref="B81:E81"/>
    <mergeCell ref="B72:E72"/>
    <mergeCell ref="X78:AA79"/>
    <mergeCell ref="B60:E60"/>
    <mergeCell ref="B64:E64"/>
    <mergeCell ref="B67:E67"/>
    <mergeCell ref="B100:E100"/>
    <mergeCell ref="X112:AA112"/>
    <mergeCell ref="B89:E89"/>
    <mergeCell ref="X114:AA114"/>
    <mergeCell ref="B113:E113"/>
    <mergeCell ref="B62:E62"/>
    <mergeCell ref="X111:AA111"/>
    <mergeCell ref="B56:E56"/>
    <mergeCell ref="I71:M71"/>
    <mergeCell ref="B53:E53"/>
    <mergeCell ref="B121:E121"/>
    <mergeCell ref="F78:F79"/>
    <mergeCell ref="G113:K113"/>
    <mergeCell ref="G115:K115"/>
    <mergeCell ref="G107:M107"/>
    <mergeCell ref="G78:G79"/>
    <mergeCell ref="F80:I90"/>
    <mergeCell ref="B59:E59"/>
    <mergeCell ref="H47:K47"/>
    <mergeCell ref="B46:E46"/>
    <mergeCell ref="H46:K46"/>
    <mergeCell ref="B49:E49"/>
    <mergeCell ref="B94:E94"/>
    <mergeCell ref="B32:E32"/>
    <mergeCell ref="B50:E50"/>
    <mergeCell ref="B48:E48"/>
    <mergeCell ref="X48:AA48"/>
    <mergeCell ref="B91:E91"/>
    <mergeCell ref="H33:K33"/>
    <mergeCell ref="X36:AA36"/>
    <mergeCell ref="H48:K48"/>
    <mergeCell ref="X38:AA38"/>
    <mergeCell ref="B41:E41"/>
    <mergeCell ref="H38:K38"/>
    <mergeCell ref="X47:AA47"/>
    <mergeCell ref="B74:E74"/>
    <mergeCell ref="X71:AA71"/>
    <mergeCell ref="B105:E105"/>
    <mergeCell ref="B88:E88"/>
    <mergeCell ref="B118:E118"/>
    <mergeCell ref="G119:K119"/>
    <mergeCell ref="G105:O105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B51:E51"/>
    <mergeCell ref="H42:K42"/>
    <mergeCell ref="F49:I52"/>
    <mergeCell ref="X42:AA42"/>
    <mergeCell ref="X37:AA37"/>
    <mergeCell ref="X15:AA15"/>
    <mergeCell ref="Q15:W15"/>
    <mergeCell ref="X14:AA14"/>
    <mergeCell ref="X24:AA24"/>
    <mergeCell ref="B43:E43"/>
    <mergeCell ref="H43:K43"/>
    <mergeCell ref="B21:E21"/>
    <mergeCell ref="B7:W7"/>
    <mergeCell ref="AE5:AI7"/>
    <mergeCell ref="B33:E33"/>
    <mergeCell ref="X39:AA39"/>
    <mergeCell ref="B3:D5"/>
    <mergeCell ref="E5:W5"/>
    <mergeCell ref="B39:E39"/>
    <mergeCell ref="B6:W6"/>
    <mergeCell ref="X5:AD7"/>
    <mergeCell ref="X43:AA43"/>
    <mergeCell ref="E3:W3"/>
    <mergeCell ref="E4:W4"/>
    <mergeCell ref="Q16:W16"/>
    <mergeCell ref="H31:K31"/>
    <mergeCell ref="AF23:AI23"/>
    <mergeCell ref="H29:K29"/>
    <mergeCell ref="B42:E42"/>
    <mergeCell ref="X41:AA41"/>
    <mergeCell ref="AF17:AJ17"/>
    <mergeCell ref="B18:E18"/>
    <mergeCell ref="X19:AA19"/>
    <mergeCell ref="X26:AA26"/>
    <mergeCell ref="AB8:AB9"/>
    <mergeCell ref="AF27:AJ27"/>
    <mergeCell ref="B34:E34"/>
    <mergeCell ref="C8:E9"/>
    <mergeCell ref="B12:E12"/>
    <mergeCell ref="B19:E19"/>
    <mergeCell ref="AF15:AI15"/>
    <mergeCell ref="AF18:AI18"/>
    <mergeCell ref="AF19:AJ19"/>
    <mergeCell ref="B14:E14"/>
    <mergeCell ref="B24:E24"/>
    <mergeCell ref="G8:G9"/>
    <mergeCell ref="X34:AA34"/>
    <mergeCell ref="X17:AA17"/>
    <mergeCell ref="B20:E20"/>
    <mergeCell ref="AF21:AI21"/>
    <mergeCell ref="AF20:AI20"/>
    <mergeCell ref="AF24:AJ24"/>
    <mergeCell ref="B26:E26"/>
    <mergeCell ref="B25:E25"/>
    <mergeCell ref="AF29:AJ29"/>
    <mergeCell ref="B44:E44"/>
    <mergeCell ref="H39:K39"/>
    <mergeCell ref="B47:E47"/>
    <mergeCell ref="B61:E61"/>
    <mergeCell ref="B54:E54"/>
    <mergeCell ref="AF78:AH78"/>
    <mergeCell ref="I72:K72"/>
    <mergeCell ref="X74:AA74"/>
    <mergeCell ref="X46:AA46"/>
    <mergeCell ref="B65:E65"/>
    <mergeCell ref="B57:E57"/>
    <mergeCell ref="B31:E31"/>
    <mergeCell ref="H30:K30"/>
    <mergeCell ref="B55:E55"/>
    <mergeCell ref="X70:AA70"/>
    <mergeCell ref="B22:E22"/>
    <mergeCell ref="AF28:AJ28"/>
    <mergeCell ref="AF26:AJ26"/>
    <mergeCell ref="AF25:AI25"/>
    <mergeCell ref="AF22:AI22"/>
    <mergeCell ref="B38:E38"/>
    <mergeCell ref="B27:E27"/>
    <mergeCell ref="B37:E37"/>
    <mergeCell ref="B40:E40"/>
    <mergeCell ref="B45:E45"/>
    <mergeCell ref="B2:W2"/>
    <mergeCell ref="B17:E17"/>
    <mergeCell ref="AC138:AF138"/>
    <mergeCell ref="X30:AA30"/>
    <mergeCell ref="X44:AA44"/>
    <mergeCell ref="B35:E35"/>
    <mergeCell ref="H37:K37"/>
    <mergeCell ref="H35:K35"/>
    <mergeCell ref="B36:E36"/>
    <mergeCell ref="H32:K32"/>
    <mergeCell ref="H34:K34"/>
    <mergeCell ref="B30:E30"/>
    <mergeCell ref="X29:AA29"/>
    <mergeCell ref="B29:E29"/>
    <mergeCell ref="H36:K36"/>
    <mergeCell ref="B10:E10"/>
    <mergeCell ref="B11:E11"/>
    <mergeCell ref="B15:E15"/>
    <mergeCell ref="B16:E16"/>
    <mergeCell ref="X110:AA110"/>
    <mergeCell ref="B87:E87"/>
    <mergeCell ref="B111:E111"/>
    <mergeCell ref="X107:AA107"/>
    <mergeCell ref="B104:E104"/>
    <mergeCell ref="X18:AA18"/>
    <mergeCell ref="X133:AA133"/>
    <mergeCell ref="X135:AA135"/>
    <mergeCell ref="B134:E134"/>
    <mergeCell ref="AF16:AI16"/>
    <mergeCell ref="AB78:AB79"/>
    <mergeCell ref="AF13:AH13"/>
    <mergeCell ref="AC8:AI9"/>
    <mergeCell ref="X86:Z86"/>
    <mergeCell ref="B102:E102"/>
    <mergeCell ref="B95:E95"/>
    <mergeCell ref="B86:E86"/>
    <mergeCell ref="B146:E146"/>
    <mergeCell ref="X105:AA105"/>
    <mergeCell ref="X83:Z83"/>
    <mergeCell ref="B97:E97"/>
    <mergeCell ref="B127:E127"/>
    <mergeCell ref="O94:W94"/>
    <mergeCell ref="B137:E137"/>
    <mergeCell ref="B99:E99"/>
    <mergeCell ref="X115:AA115"/>
    <mergeCell ref="B103:E103"/>
    <mergeCell ref="X124:AA124"/>
    <mergeCell ref="X146:AA146"/>
    <mergeCell ref="X136:AA136"/>
    <mergeCell ref="B133:E133"/>
    <mergeCell ref="B136:E136"/>
    <mergeCell ref="X137:AA137"/>
    <mergeCell ref="X138:AA138"/>
    <mergeCell ref="X134:AA134"/>
    <mergeCell ref="X140:AA140"/>
    <mergeCell ref="X143:AA143"/>
    <mergeCell ref="B130:E130"/>
    <mergeCell ref="B138:E138"/>
    <mergeCell ref="X139:AA139"/>
    <mergeCell ref="B101:E101"/>
    <mergeCell ref="X126:AA126"/>
    <mergeCell ref="B116:E116"/>
    <mergeCell ref="B131:E131"/>
    <mergeCell ref="X132:AA132"/>
    <mergeCell ref="B260:E260"/>
    <mergeCell ref="X240:AA240"/>
    <mergeCell ref="X241:AA241"/>
    <mergeCell ref="B293:E293"/>
    <mergeCell ref="X251:AA251"/>
    <mergeCell ref="X299:AA299"/>
    <mergeCell ref="H265:M270"/>
    <mergeCell ref="X617:AA617"/>
    <mergeCell ref="X265:AA265"/>
    <mergeCell ref="B371:E371"/>
    <mergeCell ref="B370:E370"/>
    <mergeCell ref="B161:E161"/>
    <mergeCell ref="B160:E160"/>
    <mergeCell ref="X171:AA171"/>
    <mergeCell ref="B213:E213"/>
    <mergeCell ref="X166:AA166"/>
    <mergeCell ref="B214:E214"/>
    <mergeCell ref="B229:E229"/>
    <mergeCell ref="B188:E188"/>
    <mergeCell ref="B221:E221"/>
    <mergeCell ref="B273:E273"/>
    <mergeCell ref="X228:AA228"/>
    <mergeCell ref="B233:E233"/>
    <mergeCell ref="X233:AA233"/>
    <mergeCell ref="B561:W561"/>
    <mergeCell ref="B226:E226"/>
    <mergeCell ref="B347:E347"/>
    <mergeCell ref="B228:E228"/>
    <mergeCell ref="B173:E173"/>
    <mergeCell ref="I173:M176"/>
    <mergeCell ref="B384:E384"/>
    <mergeCell ref="X384:AA384"/>
    <mergeCell ref="AF398:AH398"/>
    <mergeCell ref="AB398:AB399"/>
    <mergeCell ref="AF318:AH318"/>
    <mergeCell ref="AF238:AH238"/>
    <mergeCell ref="AB318:AB319"/>
    <mergeCell ref="X318:AA319"/>
    <mergeCell ref="X288:AA288"/>
    <mergeCell ref="X145:AA145"/>
    <mergeCell ref="AB158:AB159"/>
    <mergeCell ref="B191:E191"/>
    <mergeCell ref="B219:E219"/>
    <mergeCell ref="B203:E203"/>
    <mergeCell ref="B212:E212"/>
    <mergeCell ref="B175:E175"/>
    <mergeCell ref="B181:E181"/>
    <mergeCell ref="B171:E171"/>
    <mergeCell ref="B152:E152"/>
    <mergeCell ref="AF158:AH158"/>
    <mergeCell ref="B189:E189"/>
    <mergeCell ref="AB238:AB239"/>
    <mergeCell ref="B267:E267"/>
    <mergeCell ref="B303:E303"/>
    <mergeCell ref="X329:AA329"/>
    <mergeCell ref="B318:B319"/>
    <mergeCell ref="X328:AA328"/>
    <mergeCell ref="X297:AA297"/>
    <mergeCell ref="B376:E376"/>
    <mergeCell ref="H318:W318"/>
    <mergeCell ref="B341:E341"/>
    <mergeCell ref="B299:E299"/>
    <mergeCell ref="B342:E342"/>
    <mergeCell ref="B150:E150"/>
    <mergeCell ref="AF561:AH561"/>
    <mergeCell ref="B562:B563"/>
    <mergeCell ref="C562:E563"/>
    <mergeCell ref="F562:F563"/>
    <mergeCell ref="G562:G563"/>
    <mergeCell ref="H562:W562"/>
    <mergeCell ref="X562:AA563"/>
    <mergeCell ref="AB562:AB563"/>
    <mergeCell ref="AF562:AH562"/>
    <mergeCell ref="B641:W641"/>
    <mergeCell ref="B642:B643"/>
    <mergeCell ref="C642:E643"/>
    <mergeCell ref="F642:F643"/>
    <mergeCell ref="G642:G643"/>
    <mergeCell ref="H642:W642"/>
    <mergeCell ref="X642:AA643"/>
    <mergeCell ref="AB642:AB643"/>
    <mergeCell ref="AF642:AH642"/>
    <mergeCell ref="X624:AA624"/>
    <mergeCell ref="B623:E623"/>
    <mergeCell ref="X622:AA622"/>
    <mergeCell ref="X620:AA620"/>
    <mergeCell ref="X623:AA623"/>
    <mergeCell ref="B609:E609"/>
    <mergeCell ref="B607:E607"/>
    <mergeCell ref="B629:E629"/>
    <mergeCell ref="B626:E626"/>
    <mergeCell ref="B625:E625"/>
    <mergeCell ref="B615:E615"/>
    <mergeCell ref="B636:E636"/>
    <mergeCell ref="B624:E624"/>
    <mergeCell ref="B618:E618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49" r:id="rId8"/>
    <hyperlink ref="AB50" r:id="rId9"/>
    <hyperlink ref="AB53" r:id="rId10" display="https://www.jivi.com.ar/ficha.php?id=41"/>
    <hyperlink ref="AB54" r:id="rId11" display="https://www.jivi.com.ar/ficha.php?id=42"/>
    <hyperlink ref="AB55" r:id="rId12" display="https://www.jivi.com.ar/ficha.php?id=649"/>
    <hyperlink ref="AB56" r:id="rId13" display="https://www.jivi.com.ar/ficha.php?id=650"/>
    <hyperlink ref="AB64" r:id="rId14" display="https://www.jivi.com.ar/ficha.php?id=164"/>
    <hyperlink ref="AB68" r:id="rId15" display="https://www.jivi.com.ar/ficha.php?id=77"/>
    <hyperlink ref="AB70" r:id="rId16"/>
    <hyperlink ref="AB72" r:id="rId17"/>
    <hyperlink ref="AB73" r:id="rId18"/>
    <hyperlink ref="AC80" r:id="rId19"/>
    <hyperlink ref="AD80" r:id="rId20"/>
    <hyperlink ref="AE80" r:id="rId21"/>
    <hyperlink ref="AF80" r:id="rId22"/>
    <hyperlink ref="AG80" r:id="rId23"/>
    <hyperlink ref="AC81" r:id="rId24"/>
    <hyperlink ref="AD81" r:id="rId25"/>
    <hyperlink ref="AE81" r:id="rId26"/>
    <hyperlink ref="AF81" r:id="rId27"/>
    <hyperlink ref="AG81" r:id="rId28"/>
    <hyperlink ref="AH81" r:id="rId29"/>
    <hyperlink ref="AC82" r:id="rId30"/>
    <hyperlink ref="AD82" r:id="rId31"/>
    <hyperlink ref="AE82" r:id="rId32"/>
    <hyperlink ref="AF82" r:id="rId33"/>
    <hyperlink ref="AH82" r:id="rId34"/>
    <hyperlink ref="AG82" r:id="rId35"/>
    <hyperlink ref="AC83" r:id="rId36"/>
    <hyperlink ref="AD83" r:id="rId37"/>
    <hyperlink ref="AE83" r:id="rId38"/>
    <hyperlink ref="AF83" r:id="rId39"/>
    <hyperlink ref="AC84" r:id="rId40"/>
    <hyperlink ref="AD84" r:id="rId41"/>
    <hyperlink ref="AE84" r:id="rId42"/>
    <hyperlink ref="AF84" r:id="rId43"/>
    <hyperlink ref="AG84" r:id="rId44"/>
    <hyperlink ref="AC85" r:id="rId45"/>
    <hyperlink ref="AD85" r:id="rId46"/>
    <hyperlink ref="AE85" r:id="rId47"/>
    <hyperlink ref="AC86" r:id="rId48"/>
    <hyperlink ref="AD86" r:id="rId49"/>
    <hyperlink ref="AE86" r:id="rId50"/>
    <hyperlink ref="AF86" r:id="rId51"/>
    <hyperlink ref="AG86" r:id="rId52"/>
    <hyperlink ref="AH86" r:id="rId53"/>
    <hyperlink ref="AB87" r:id="rId54"/>
    <hyperlink ref="AB88" r:id="rId55"/>
    <hyperlink ref="AB89" r:id="rId56"/>
    <hyperlink ref="AC90" r:id="rId57"/>
    <hyperlink ref="AD90" r:id="rId58"/>
    <hyperlink ref="AE90" r:id="rId59"/>
    <hyperlink ref="AF90" r:id="rId60"/>
    <hyperlink ref="AG90" r:id="rId61"/>
    <hyperlink ref="AB303" r:id="rId62" display="https://www.jivi.com.ar/ficha.php?id=187"/>
    <hyperlink ref="AB305" r:id="rId63" display="https://www.jivi.com.ar/ficha.php?id=4"/>
    <hyperlink ref="AB321" r:id="rId64" display="https://www.jivi.com.ar/ficha.php?id=55"/>
    <hyperlink ref="AB324" r:id="rId65" display="https://www.jivi.com.ar/ficha.php?id=209"/>
    <hyperlink ref="AB325" r:id="rId66"/>
    <hyperlink ref="AB333" r:id="rId67" display="https://www.jivi.com.ar/ficha.php?id=60"/>
    <hyperlink ref="AB335" r:id="rId68" display="https://www.jivi.com.ar/ficha.php?id=380"/>
    <hyperlink ref="AB339" r:id="rId69" display="https://www.jivi.com.ar/ficha.php?id=548"/>
    <hyperlink ref="AB340" r:id="rId70"/>
    <hyperlink ref="AB343" r:id="rId71" display="https://www.jivi.com.ar/ficha.php?id=719"/>
    <hyperlink ref="AB100" r:id="rId72" display="https://www.jivi.com.ar/ficha.php?id=326"/>
    <hyperlink ref="AB104" r:id="rId73" display="https://www.jivi.com.ar/ficha.php?id=134"/>
    <hyperlink ref="AB109" r:id="rId74" display="https://www.jivi.com.ar/ficha.php?id=10"/>
    <hyperlink ref="AB110" r:id="rId75" display="https://www.jivi.com.ar/ficha.php?id=11"/>
    <hyperlink ref="AB136" r:id="rId76" display="https://www.jivi.com.ar/ficha.php?id=394"/>
    <hyperlink ref="AB137" r:id="rId77" display="https://www.jivi.com.ar/ficha.php?id=145"/>
    <hyperlink ref="AB140" r:id="rId78" display="https://www.jivi.com.ar/ficha.php?id=18"/>
    <hyperlink ref="AB144" r:id="rId79" display="https://www.jivi.com.ar/ficha.php?id=19"/>
    <hyperlink ref="AB148" r:id="rId80" display="https://www.jivi.com.ar/ficha.php?id=142"/>
    <hyperlink ref="AB149" r:id="rId81" display="https://www.jivi.com.ar/ficha.php?id=392"/>
    <hyperlink ref="AB150" r:id="rId82" display="https://www.jivi.com.ar/ficha.php?id=393"/>
    <hyperlink ref="AB173" r:id="rId83" display="https://www.jivi.com.ar/ficha.php?id=135"/>
    <hyperlink ref="AB174" r:id="rId84" display="https://www.jivi.com.ar/ficha.php?id=136"/>
    <hyperlink ref="AB175" r:id="rId85" display="https://www.jivi.com.ar/ficha.php?id=137"/>
    <hyperlink ref="AB176" r:id="rId86" display="https://www.jivi.com.ar/ficha.php?id=138"/>
    <hyperlink ref="AB184" r:id="rId87" display="https://www.jivi.com.ar/ficha.php?id=245"/>
    <hyperlink ref="AB201" r:id="rId88" display="https://www.jivi.com.ar/ficha.php?id=166"/>
    <hyperlink ref="AB202" r:id="rId89" display="https://www.jivi.com.ar/ficha.php?id=171"/>
    <hyperlink ref="AB206" r:id="rId90" display="https://www.jivi.com.ar/ficha.php?id=168"/>
    <hyperlink ref="AB212" r:id="rId91" display="https://www.jivi.com.ar/ficha.php?id=169"/>
    <hyperlink ref="AB214" r:id="rId92" display="https://www.jivi.com.ar/ficha.php?id=148"/>
    <hyperlink ref="AB215" r:id="rId93" display="https://www.jivi.com.ar/ficha.php?id=158"/>
    <hyperlink ref="AB622" r:id="rId94" display="https://www.jivi.com.ar/ficha.php?id=621"/>
    <hyperlink ref="AB623" r:id="rId95" display="https://www.jivi.com.ar/ficha.php?id=622"/>
    <hyperlink ref="AB94" r:id="rId96" display="https://www.jivi.com.ar/ficha.php?id=456"/>
    <hyperlink ref="AB264" r:id="rId97" display="https://www.jivi.com.ar/ficha.php?id=246"/>
    <hyperlink ref="AB416" r:id="rId98" display="https://www.jivi.com.ar/ficha.php?id=431"/>
    <hyperlink ref="AB420" r:id="rId99" display="https://www.jivi.com.ar/ficha.php?id=728"/>
    <hyperlink ref="AB434" r:id="rId100"/>
    <hyperlink ref="AB436" r:id="rId101"/>
    <hyperlink ref="AB446" r:id="rId102"/>
    <hyperlink ref="AB448" r:id="rId103"/>
    <hyperlink ref="AB450" r:id="rId104"/>
    <hyperlink ref="AB451" r:id="rId105"/>
    <hyperlink ref="AB452" r:id="rId106"/>
    <hyperlink ref="AB454" r:id="rId107"/>
    <hyperlink ref="AB455" r:id="rId108"/>
    <hyperlink ref="AB457" r:id="rId109"/>
    <hyperlink ref="AB460" r:id="rId110"/>
    <hyperlink ref="AB461" r:id="rId111"/>
    <hyperlink ref="AB462" r:id="rId112"/>
    <hyperlink ref="AB604" r:id="rId113"/>
    <hyperlink ref="AB610" r:id="rId114"/>
    <hyperlink ref="AB611" r:id="rId115"/>
    <hyperlink ref="AB96" r:id="rId116" display="https://www.jivi.com.ar/ficha.php?id=234"/>
    <hyperlink ref="AB310" r:id="rId117" display="https://www.jivi.com.ar/ficha.php?id=51"/>
    <hyperlink ref="AB326" r:id="rId118"/>
    <hyperlink ref="AB261" r:id="rId119" display="https://www.jivi.com.ar/ficha.php?id=783"/>
    <hyperlink ref="B7:V7" location="'Artículos Publicitarios'!A686" display="PARA IR A LOS RECARGOS POR IMPRESIONES ADICIONALES CLICK AQUÍ"/>
    <hyperlink ref="AB438" r:id="rId120"/>
    <hyperlink ref="AC51" r:id="rId121"/>
    <hyperlink ref="AD51" r:id="rId122"/>
    <hyperlink ref="AE51" r:id="rId123"/>
    <hyperlink ref="B7:W7" location="'Artículos Publicitarios'!A678" display="PARA IR A LOS RECARGOS POR IMPRESIONES ADICIONALES CLICK AQUÍ"/>
    <hyperlink ref="AB223" r:id="rId124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25" display="https://www.jivi.com.ar/ficha.php?id=846"/>
    <hyperlink ref="AB24" r:id="rId126" display="https://www.jivi.com.ar/ficha.php?id=848"/>
    <hyperlink ref="AB74" r:id="rId127"/>
    <hyperlink ref="AE2:AG2" location="'Artículos Publicitarios'!A733" display="CLICK AQUÍ"/>
    <hyperlink ref="B728:W728" location="'Artículos Publicitarios'!A3" display="PARA SUBIR AL PRINCIPIO DE LA LISTA CLICK AQUÍ"/>
    <hyperlink ref="AB258" r:id="rId128" display="https://www.jivi.com.ar/ficha.php?id=862"/>
    <hyperlink ref="AB42" r:id="rId129"/>
    <hyperlink ref="AB151" r:id="rId130" display="https://www.jivi.com.ar/ficha.php?id=882"/>
    <hyperlink ref="AB101" r:id="rId13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626" r:id="rId132" display="https://www.jivi.com.ar/ficha.php?id=903"/>
    <hyperlink ref="AB19" r:id="rId133"/>
    <hyperlink ref="AB320" r:id="rId134" display="https://www.jivi.com.ar/ficha.php?id=916"/>
    <hyperlink ref="AB619" r:id="rId135" display="https://www.jivi.com.ar/ficha.php?id=918"/>
    <hyperlink ref="AB306" r:id="rId136" display="https://www.jivi.com.ar/ficha.php?id=926"/>
    <hyperlink ref="AB65" r:id="rId137"/>
    <hyperlink ref="AB432" r:id="rId138"/>
    <hyperlink ref="AB177" r:id="rId139" display="https://www.jivi.com.ar/ficha.php?id=948"/>
    <hyperlink ref="AB322" r:id="rId140" display="https://www.jivi.com.ar/ficha.php?id=954"/>
    <hyperlink ref="AB131" r:id="rId141"/>
    <hyperlink ref="AB133" r:id="rId142"/>
    <hyperlink ref="AB132" r:id="rId143"/>
    <hyperlink ref="AB439" r:id="rId144"/>
    <hyperlink ref="AB25" r:id="rId145"/>
    <hyperlink ref="AB311" r:id="rId146" display="https://www.jivi.com.ar/ficha.php?id=850"/>
    <hyperlink ref="AB134" r:id="rId147"/>
    <hyperlink ref="AB458" r:id="rId148"/>
    <hyperlink ref="AB459" r:id="rId149"/>
    <hyperlink ref="AB344" r:id="rId150" display="https://www.jivi.com.ar/ficha.php?id=1023"/>
    <hyperlink ref="AB307" r:id="rId151" display="https://www.jivi.com.ar/ficha.php?id=1025"/>
    <hyperlink ref="AF23" location="'Artículos Publicitarios'!A122" display="IR A PINES"/>
    <hyperlink ref="AB313" r:id="rId152" display="https://www.jivi.com.ar/ficha.php?id=647"/>
    <hyperlink ref="AB302" r:id="rId153" display="https://www.jivi.com.ar/ficha.php?id=1049"/>
    <hyperlink ref="AB444" r:id="rId154"/>
    <hyperlink ref="AB189" r:id="rId155" display="https://www.jivi.com.ar/ficha.php?id=1059"/>
    <hyperlink ref="AB191" r:id="rId156" display="https://www.jivi.com.ar/ficha.php?id=1061"/>
    <hyperlink ref="AB192" r:id="rId157" display="https://www.jivi.com.ar/ficha.php?id=1062"/>
    <hyperlink ref="AB21" r:id="rId158" display="https://www.jivi.com.ar/ficha.php?id=364"/>
    <hyperlink ref="AF25:AI25" location="'Artículos Publicitarios'!A475" display="IR A GORROS"/>
    <hyperlink ref="AB23" r:id="rId159"/>
    <hyperlink ref="AB22" r:id="rId160"/>
    <hyperlink ref="AF21:AI21" location="'Artículos Publicitarios'!A595" display="IR A PROD. SUBLIMADOS"/>
    <hyperlink ref="AB588" r:id="rId161" display="https://www.jivi.com.ar/ficha.php?id=1088"/>
    <hyperlink ref="AB589" r:id="rId162" display="https://www.jivi.com.ar/ficha.php?id=1089"/>
    <hyperlink ref="AB590" r:id="rId163" display="https://www.jivi.com.ar/ficha.php?id=1090"/>
    <hyperlink ref="AB591" r:id="rId164" display="https://www.jivi.com.ar/ficha.php?id=1091"/>
    <hyperlink ref="AB331" r:id="rId165" display="https://www.jivi.com.ar/ficha.php?id=1095"/>
    <hyperlink ref="AB308" r:id="rId166" display="https://www.jivi.com.ar/ficha.php?id=1094"/>
    <hyperlink ref="AB304" r:id="rId167" display="https://www.jivi.com.ar/ficha.php?id=297"/>
    <hyperlink ref="AB349" r:id="rId168" display="https://www.jivi.com.ar/ficha.php?id=1097"/>
    <hyperlink ref="AB98" r:id="rId169" display="https://www.jivi.com.ar/ficha.php?id=1098"/>
    <hyperlink ref="AB18" r:id="rId170"/>
    <hyperlink ref="AB217" r:id="rId171"/>
    <hyperlink ref="AB301" r:id="rId172" display="https://www.jivi.com.ar/ficha.php?id=1108"/>
    <hyperlink ref="AB334" r:id="rId173" display="https://www.jivi.com.ar/ficha.php?id=1116"/>
    <hyperlink ref="AF601:AH601" location="'Artículos Publicitarios'!A3" display="IR A PAGINA 1"/>
    <hyperlink ref="AF23:AI23" location="'Artículos Publicitarios'!A91" display="IR A PINES"/>
    <hyperlink ref="AF22:AI22" location="'Artículos Publicitarios'!A159" display="IR A CARPITAS"/>
    <hyperlink ref="AF18:AI18" location="'Artículos Publicitarios'!A132" display="IR A CINTAS COLGANTES"/>
    <hyperlink ref="AF26:AI26" location="'Artículos Publicitarios'!A264" display="IR A PORTADOCUMENTOS"/>
    <hyperlink ref="AB170" r:id="rId174" display="https://www.jivi.com.ar/ficha.php?id=1119"/>
    <hyperlink ref="AB171" r:id="rId175"/>
    <hyperlink ref="AB614" r:id="rId176" display="https://www.jivi.com.ar/ficha.php?id=1154"/>
    <hyperlink ref="AB624" r:id="rId177" display="https://www.jivi.com.ar/ficha.php?id=1157"/>
    <hyperlink ref="AB625" r:id="rId178" display="https://www.jivi.com.ar/ficha.php?id=1158"/>
    <hyperlink ref="AB586" r:id="rId179"/>
    <hyperlink ref="AB592" r:id="rId180" display="hhttps://www.jivi.com.ar/ficha.php?id=1155"/>
    <hyperlink ref="AB594" r:id="rId181" display="https://www.jivi.com.ar/ficha.php?id=1156"/>
    <hyperlink ref="AB597" r:id="rId182"/>
    <hyperlink ref="AB309" r:id="rId183"/>
    <hyperlink ref="AB52" r:id="rId184" display="https://www.jivi.com.ar/ficha.php?id=1172"/>
    <hyperlink ref="AB312" r:id="rId185"/>
    <hyperlink ref="AB97" r:id="rId186"/>
    <hyperlink ref="AB119" r:id="rId187"/>
    <hyperlink ref="AB314" r:id="rId188" display="https://www.jivi.com.ar/ficha.php?id=915"/>
    <hyperlink ref="AB107" r:id="rId189" display="https://www.jivi.com.ar/ficha.php?id=1182"/>
    <hyperlink ref="AB118" r:id="rId190" display="https://www.jivi.com.ar/ficha.php?id=1183"/>
    <hyperlink ref="AB120" r:id="rId191"/>
    <hyperlink ref="AB323" r:id="rId192" display="https://www.jivi.com.ar/ficha.php?id=349"/>
    <hyperlink ref="AB385" r:id="rId193" display="https://www.jivi.com.ar/ficha.php?id=1190"/>
    <hyperlink ref="AB105" r:id="rId194" display="https://www.jivi.com.ar/ficha.php?id=1181"/>
    <hyperlink ref="AB329" r:id="rId195"/>
    <hyperlink ref="AB440" r:id="rId196"/>
    <hyperlink ref="AB387" r:id="rId197" display="https://www.jivi.com.ar/ficha.php?id=1219"/>
    <hyperlink ref="AB47" r:id="rId198"/>
    <hyperlink ref="AB46" r:id="rId199"/>
    <hyperlink ref="AB48" r:id="rId200"/>
    <hyperlink ref="AB627" r:id="rId201" display="https://www.jivi.com.ar/ficha.php?id=904"/>
    <hyperlink ref="AB59" r:id="rId202"/>
    <hyperlink ref="AB412" r:id="rId203" display="https://www.jivi.com.ar/ficha.php?id=1225"/>
    <hyperlink ref="AB41" r:id="rId204"/>
    <hyperlink ref="AB620" r:id="rId205" display="https://www.jivi.com.ar/ficha.php?id=919"/>
    <hyperlink ref="AB190" r:id="rId206" display="https://www.jivi.com.ar/ficha.php?id=1060"/>
    <hyperlink ref="AB40" r:id="rId207"/>
    <hyperlink ref="AB152" r:id="rId208" display="https://www.jivi.com.ar/ficha.php?id=883"/>
    <hyperlink ref="AB463" r:id="rId209"/>
    <hyperlink ref="AB124" r:id="rId210" display="https://jivi.com.ar/ficha.php?id=89"/>
    <hyperlink ref="AB507" r:id="rId211" display="https://www.jivi.com.ar/ficha.php?id=1248"/>
    <hyperlink ref="AB332" r:id="rId212" display="https://www.jivi.com.ar/ficha.php?id=1253"/>
    <hyperlink ref="AB259" r:id="rId213" display="https://www.jivi.com.ar/ficha.php?id=1124"/>
    <hyperlink ref="AB153" r:id="rId214" display="https://www.jivi.com.ar/ficha.php?id=1261"/>
    <hyperlink ref="AB363" r:id="rId215" display="https://www.jivi.com.ar/ficha.php?id=1267"/>
    <hyperlink ref="AB413" r:id="rId216" display="https://www.jivi.com.ar/ficha.php?id=1268"/>
    <hyperlink ref="AB364" r:id="rId217" display="https://www.jivi.com.ar/ficha.php?id=1277"/>
    <hyperlink ref="AB636" r:id="rId218"/>
    <hyperlink ref="AB95" r:id="rId219" display="https://www.jivi.com.ar/ficha.php?id=378"/>
    <hyperlink ref="AB168" r:id="rId220"/>
    <hyperlink ref="AB106" r:id="rId221"/>
    <hyperlink ref="AB108" r:id="rId222"/>
    <hyperlink ref="AB113" r:id="rId223" display="https://www.jivi.com.ar/ficha.php?id=1305"/>
    <hyperlink ref="AB114" r:id="rId224"/>
    <hyperlink ref="AB216" r:id="rId225" display="https://www.jivi.com.ar/ficha.php?id=1287"/>
    <hyperlink ref="AB596" r:id="rId226" display="https://www.jivi.com.ar/ficha.php?id=1290"/>
    <hyperlink ref="AB163" r:id="rId227" display="https://www.jivi.com.ar/ficha.php?id=1316"/>
    <hyperlink ref="AB102" r:id="rId228" display="https://www.jivi.com.ar/ficha.php?id=1314"/>
    <hyperlink ref="AJ1:AJ2" location="'Artículos Publicitarios'!A3" display="IR A PAGINA 1"/>
    <hyperlink ref="AB167" r:id="rId229"/>
    <hyperlink ref="AB353" r:id="rId230" display="https://www.jivi.com.ar/ficha.php?id=1344"/>
    <hyperlink ref="AB115" r:id="rId231"/>
    <hyperlink ref="AF683:AH683" location="'Artículos Publicitarios'!A3" display="IR A PAGINA 1"/>
    <hyperlink ref="AB161" r:id="rId232" display="https://www.jivi.com.ar/ficha.php?id=1346"/>
    <hyperlink ref="AB162" r:id="rId233" display="https://www.jivi.com.ar/ficha.php?id=1347"/>
    <hyperlink ref="AB188" r:id="rId234" display="https://www.jivi.com.ar/ficha.php?id=1348"/>
    <hyperlink ref="AB354" r:id="rId235" display="https://www.jivi.com.ar/ficha.php?id=1359"/>
    <hyperlink ref="AB366" r:id="rId236" display="https://www.jivi.com.ar/ficha.php?id=1360"/>
    <hyperlink ref="AB169" r:id="rId237"/>
    <hyperlink ref="AB103" r:id="rId238" display="https://www.jivi.com.ar/ficha.php?id=1366"/>
    <hyperlink ref="AC8:AI9" r:id="rId239" display="REGISTRATE EN NUESTRA WEB PARA BAJAR LISTA DE PRECIOS DESDE CUALQUIER PC"/>
    <hyperlink ref="AB260" r:id="rId240" display="https://www.jivi.com.ar/ficha.php?id=864"/>
    <hyperlink ref="AB372" r:id="rId241" display="https://www.jivi.com.ar/ficha.php?id=1372"/>
    <hyperlink ref="AB369" r:id="rId242" display="https://www.jivi.com.ar/ficha.php?id=1378"/>
    <hyperlink ref="AB373" r:id="rId243" display="https://www.jivi.com.ar/ficha.php?id=1382"/>
    <hyperlink ref="AB368" r:id="rId244" display="https://www.jivi.com.ar/ficha.php?id=1383"/>
    <hyperlink ref="AB390" r:id="rId245" display="https://www.jivi.com.ar/ficha.php?id=1384"/>
    <hyperlink ref="AB126" r:id="rId246" display="https://www.jivi.com.ar/ficha.php?id=1428"/>
    <hyperlink ref="AB391" r:id="rId247" display="https://www.jivi.com.ar/ficha.php?id=1385"/>
    <hyperlink ref="AB389" r:id="rId248" display="https://www.jivi.com.ar/ficha.php?id=1387"/>
    <hyperlink ref="AB392" r:id="rId249" display="https://www.jivi.com.ar/ficha.php?id=1389"/>
    <hyperlink ref="AB20" r:id="rId250" display="https://www.jivi.com.ar/ficha.php?id=363"/>
    <hyperlink ref="AF20" location="'Artículos Publicitarios'!A582" display="IR A REMERAS"/>
    <hyperlink ref="AF20:AI20" location="'Artículos Publicitarios'!A468" display="IR A REMERAS"/>
    <hyperlink ref="AF26:AJ26" location="'Artículos Publicitarios'!A223" display="IR A PORTADOCUMENTOS"/>
    <hyperlink ref="AF24:AH24" location="'Artículos Publicitarios'!A427" display="IR A BOLIGRAFOS"/>
    <hyperlink ref="AF24:AI24" location="'Artículos Publicitarios'!A128" display="IR A LLAVEROS DE CUERO"/>
    <hyperlink ref="AF24:AJ24" location="'Artículos Publicitarios'!A612" display="IR A ART. DE CUERO - CUCHILLERIA"/>
    <hyperlink ref="AB58" r:id="rId251" display="https://www.jivi.com.ar/ficha.php?id=236"/>
    <hyperlink ref="AB164" r:id="rId252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4" r:id="rId253" display="https://www.jivi.com.ar/ficha.php?id=1394"/>
    <hyperlink ref="AB218" r:id="rId254" display="https://www.jivi.com.ar/ficha.php?id=872"/>
    <hyperlink ref="AB146" r:id="rId255" display="https://www.jivi.com.ar/ficha.php?id=1399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322" display="IR A BOLIGRAFOS"/>
    <hyperlink ref="AB388" r:id="rId256" display="https://www.jivi.com.ar/ficha.php?id=1262"/>
    <hyperlink ref="AB367" r:id="rId257" display="https://www.jivi.com.ar/ficha.php?id=1400"/>
    <hyperlink ref="AB375" r:id="rId258" display="https://www.jivi.com.ar/ficha.php?id=1401"/>
    <hyperlink ref="AB154" r:id="rId259" display="https://www.jivi.com.ar/ficha.php?id=1392"/>
    <hyperlink ref="AB253" r:id="rId260" display="https://www.jivi.com.ar/ficha.php?id=1230"/>
    <hyperlink ref="AB355" r:id="rId261" display="https://www.jivi.com.ar/ficha.php?id=1110"/>
    <hyperlink ref="AB357" r:id="rId262" display="https://www.jivi.com.ar/ficha.php?id=1111"/>
    <hyperlink ref="AF19:AI19" location="'Artículos Publicitarios'!A325" display="IR A SET DE NOTAS"/>
    <hyperlink ref="AF19:AJ19" location="'Artículos Publicitarios'!A502" display="IR A PARAGUAS"/>
    <hyperlink ref="AB91" r:id="rId263" display="https://www.jivi.com.ar/ficha.php?id=477"/>
    <hyperlink ref="AB93" r:id="rId264" display="https://www.jivi.com.ar/ficha.php?id=376"/>
    <hyperlink ref="AB13" r:id="rId265" display="https://www.jivi.com.ar/ficha.php?id=1402"/>
    <hyperlink ref="AB501" r:id="rId266" display="https://www.jivi.com.ar/ficha.php?id=1393"/>
    <hyperlink ref="AB15" r:id="rId267" display="https://www.jivi.com.ar/ficha.php?id=1405"/>
    <hyperlink ref="AB123" r:id="rId268" display="https://www.jivi.com.ar/ficha.php?id=1413"/>
    <hyperlink ref="AB166" r:id="rId269" display="https://www.jivi.com.ar/ficha.php?id=1415"/>
    <hyperlink ref="AF12:AH12" location="'Artículos Publicitarios'!A260" display="IR A PAGINA 4"/>
    <hyperlink ref="AB298" r:id="rId270" display="https://www.jivi.com.ar/ficha.php?id=1356"/>
    <hyperlink ref="AB205" r:id="rId271" display="https://www.jivi.com.ar/ficha.php?id=1084"/>
    <hyperlink ref="AB295" r:id="rId272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51" display="IR A DELANTALES"/>
    <hyperlink ref="AB647" r:id="rId273"/>
    <hyperlink ref="AB650" r:id="rId274"/>
    <hyperlink ref="AB621" r:id="rId275" display="https://www.jivi.com.ar/ficha.php?id=1281"/>
    <hyperlink ref="AB635" r:id="rId276"/>
    <hyperlink ref="AB278" r:id="rId277" display="https://www.jivi.com.ar/ficha.php?id=1421"/>
    <hyperlink ref="AB281" r:id="rId278" display="https://www.jivi.com.ar/ficha.php?id=1422"/>
    <hyperlink ref="AB282" r:id="rId279" display="https://www.jivi.com.ar/ficha.php?id=1423"/>
    <hyperlink ref="AB293" r:id="rId280" display="https://www.jivi.com.ar/ficha.php?id=1425"/>
    <hyperlink ref="AB294" r:id="rId281" display="https://www.jivi.com.ar/ficha.php?id=1426"/>
    <hyperlink ref="AB410" r:id="rId282" display="https://www.jivi.com.ar/ficha.php?id=1429"/>
    <hyperlink ref="AB441" r:id="rId283"/>
    <hyperlink ref="AB443" r:id="rId284"/>
    <hyperlink ref="AB495" r:id="rId285" display="https://www.jivi.com.ar/ficha.php?id=1436"/>
    <hyperlink ref="AB496" r:id="rId286" display="https://www.jivi.com.ar/ficha.php?id=1437"/>
    <hyperlink ref="AB497" r:id="rId287"/>
    <hyperlink ref="AB499" r:id="rId288" display="https://www.jivi.com.ar/ficha.php?id=1439"/>
    <hyperlink ref="AB280" r:id="rId289" display="https://www.jivi.com.ar/ficha.php?id=1442"/>
    <hyperlink ref="AB292" r:id="rId290" display="https://www.jivi.com.ar/ficha.php?id=1427"/>
    <hyperlink ref="AB612" r:id="rId291"/>
    <hyperlink ref="AB348" r:id="rId292" display="https://www.jivi.com.ar/ficha.php?id=1056"/>
    <hyperlink ref="AB252" r:id="rId293" display="https://www.jivi.com.ar/ficha.php?id=1334"/>
    <hyperlink ref="AB247" r:id="rId294" display="https://www.jivi.com.ar/ficha.php?id=1335"/>
    <hyperlink ref="AB288" r:id="rId295" display="https://www.jivi.com.ar/ficha.php?id=1446"/>
    <hyperlink ref="AB296" r:id="rId296" display="https://www.jivi.com.ar/ficha.php?id=1354"/>
    <hyperlink ref="AB291" r:id="rId297" display="https://www.jivi.com.ar/ficha.php?id=1448"/>
    <hyperlink ref="AB300" r:id="rId298" display="https://www.jivi.com.ar/ficha.php?id=1450"/>
    <hyperlink ref="AB186" r:id="rId299"/>
    <hyperlink ref="AB194" r:id="rId300" display="https://www.jivi.com.ar/ficha.php?id=1064"/>
    <hyperlink ref="AB193" r:id="rId301" display="https://www.jivi.com.ar/ficha.php?id=1063"/>
    <hyperlink ref="AB433" r:id="rId302"/>
    <hyperlink ref="AB637" r:id="rId303"/>
    <hyperlink ref="AB381" r:id="rId304" display="https://www.jivi.com.ar/ficha.php?id=1463"/>
    <hyperlink ref="AB382" r:id="rId305" display="https://www.jivi.com.ar/ficha.php?id=1464"/>
    <hyperlink ref="AB401" r:id="rId306" display="https://www.jivi.com.ar/ficha.php?id=1466"/>
    <hyperlink ref="AB502" r:id="rId307" display="https://www.jivi.com.ar/ficha.php?id=1467"/>
    <hyperlink ref="AB500" r:id="rId308" display="https://www.jivi.com.ar/ficha.php?id=1468"/>
    <hyperlink ref="AB506" r:id="rId309" display="https://www.jivi.com.ar/ficha.php?id=1470"/>
    <hyperlink ref="AB510" r:id="rId310"/>
    <hyperlink ref="AB511" r:id="rId311" display="https://www.jivi.com.ar/ficha.php?id=1472"/>
    <hyperlink ref="AB453" r:id="rId312"/>
    <hyperlink ref="AB584" r:id="rId313"/>
    <hyperlink ref="AB585" r:id="rId314"/>
    <hyperlink ref="AB583" r:id="rId315"/>
    <hyperlink ref="AB209" r:id="rId316" display="https://www.jivi.com.ar/ficha.php?id=1478"/>
    <hyperlink ref="AB210" r:id="rId317"/>
    <hyperlink ref="AB211" r:id="rId318"/>
    <hyperlink ref="AB204" r:id="rId319" display="https://www.jivi.com.ar/ficha.php?id=1481"/>
    <hyperlink ref="AB219" r:id="rId320" display="https://www.jivi.com.ar/ficha.php?id=1483"/>
    <hyperlink ref="AB245" r:id="rId321" display="https://www.jivi.com.ar/ficha.php?id=1486"/>
    <hyperlink ref="AB246" r:id="rId322" display="https://www.jivi.com.ar/ficha.php?id=1488"/>
    <hyperlink ref="AB615" r:id="rId323" display="https://www.jivi.com.ar/ficha.php?id=1492"/>
    <hyperlink ref="AB616" r:id="rId324" display="https://www.jivi.com.ar/ficha.php?id=1493"/>
    <hyperlink ref="AB617" r:id="rId325" display="https://www.jivi.com.ar/ficha.php?id=1494"/>
    <hyperlink ref="AB618" r:id="rId326"/>
    <hyperlink ref="AB265" r:id="rId327" display="https://www.jivi.com.ar/ficha.php?id=1496"/>
    <hyperlink ref="AB266" r:id="rId328" display="https://www.jivi.com.ar/ficha.php?id=1497"/>
    <hyperlink ref="AB268" r:id="rId329" display="httphttps://www.jivi.com.ar/ficha.php?id=1498"/>
    <hyperlink ref="AB269" r:id="rId330" display="https://www.jivi.com.ar/ficha.php?id=1499"/>
    <hyperlink ref="AB270" r:id="rId331" display="https://www.jivi.com.ar/ficha.php?id=1500"/>
    <hyperlink ref="AB35" r:id="rId332"/>
    <hyperlink ref="AB37" r:id="rId333"/>
    <hyperlink ref="AB34" r:id="rId334"/>
    <hyperlink ref="AB36" r:id="rId335"/>
    <hyperlink ref="AB38" r:id="rId336"/>
    <hyperlink ref="AB39" r:id="rId337"/>
    <hyperlink ref="AB494" r:id="rId338" display="https://www.jivi.com.ar/ficha.php?id=1509"/>
    <hyperlink ref="AB465" r:id="rId339"/>
    <hyperlink ref="AB277" r:id="rId340" display="https://www.jivi.com.ar/ficha.php?id=1515"/>
    <hyperlink ref="AB69" r:id="rId341"/>
    <hyperlink ref="AB71" r:id="rId342"/>
    <hyperlink ref="AB377" r:id="rId343" display="https://www.jivi.com.ar/ficha.php?id=1523"/>
    <hyperlink ref="AB276" r:id="rId344" display="https://www.jivi.com.ar/ficha.php?id=1559"/>
    <hyperlink ref="AB279" r:id="rId345" display="https://www.jivi.com.ar/ficha.php?id=1527"/>
    <hyperlink ref="AB232" r:id="rId346" display="https://www.jivi.com.ar/ficha.php?id=1532"/>
    <hyperlink ref="AB243" r:id="rId347" display="https://www.jivi.com.ar/ficha.php?id=1534"/>
    <hyperlink ref="AB631" r:id="rId348" display="https://www.jivi.com.ar/ficha.php?id=1535"/>
    <hyperlink ref="AB632" r:id="rId349" display="https://www.jivi.com.ar/ficha.php?id=1536"/>
    <hyperlink ref="AB221" r:id="rId350" display="https://www.jivi.com.ar/ficha.php?id=1539"/>
    <hyperlink ref="AB130" r:id="rId351" display="https://www.jivi.com.ar/ficha.php?id=1540"/>
    <hyperlink ref="AB508" r:id="rId352" display="https://www.jivi.com.ar/ficha.php?id=1541"/>
    <hyperlink ref="AB509" r:id="rId353" display="https://www.jivi.com.ar/ficha.php?id=1542"/>
    <hyperlink ref="AB249" r:id="rId354" display="https://www.jivi.com.ar/ficha.php?id=1363"/>
    <hyperlink ref="AB227" r:id="rId355" display="https://www.jivi.com.ar/ficha.php?id=1545"/>
    <hyperlink ref="AB356" r:id="rId356"/>
    <hyperlink ref="AB330" r:id="rId357" display="https://www.jivi.com.ar/ficha.php?id=981"/>
    <hyperlink ref="AB378" r:id="rId358" display="https://www.jivi.com.ar/ficha.php?id=1548"/>
    <hyperlink ref="AB379" r:id="rId359" display="https://www.jivi.com.ar/ficha.php?id=1549"/>
    <hyperlink ref="AB422" r:id="rId360"/>
    <hyperlink ref="AB409" r:id="rId361" display="https://www.jivi.com.ar/ficha.php?id=1552"/>
    <hyperlink ref="AB351" r:id="rId362" display="https://www.jivi.com.ar/ficha.php?id=1311"/>
    <hyperlink ref="AB145" r:id="rId363" display="https://www.jivi.com.ar/ficha.php?id=1553"/>
    <hyperlink ref="AB141" r:id="rId364" display="https://www.jivi.com.ar/ficha.php?id=1554"/>
    <hyperlink ref="AB222" r:id="rId365" display="https://www.jivi.com.ar/ficha.php?id=1397"/>
    <hyperlink ref="AB545" r:id="rId366" display="https://www.jivi.com.ar/ficha.php?id=1555"/>
    <hyperlink ref="AB57" r:id="rId367" display="https://www.jivi.com.ar/ficha.php?id=1557"/>
    <hyperlink ref="AB648" r:id="rId368"/>
    <hyperlink ref="AB220" r:id="rId369" display="https://www.jivi.com.ar/ficha.php?id=518"/>
    <hyperlink ref="AB187" r:id="rId370" display="https://www.jivi.com.ar/ficha.php?id=1561"/>
    <hyperlink ref="AB10" r:id="rId371" display="https://www.jivi.com.ar/ficha.php?id=26"/>
    <hyperlink ref="AB224" r:id="rId372" display="https://www.jivi.com.ar/ficha.php?id=1066"/>
    <hyperlink ref="AB225" r:id="rId373" display="https://www.jivi.com.ar/ficha.php?id=1562"/>
    <hyperlink ref="AB417" r:id="rId374" display="https://www.jivi.com.ar/ficha.php?id=1563"/>
    <hyperlink ref="AB160" r:id="rId375" display="https://www.jivi.com.ar/ficha.php?id=1414"/>
    <hyperlink ref="AB16" r:id="rId376" display="https://www.jivi.com.ar/ficha.php?id=790"/>
    <hyperlink ref="AB285" r:id="rId377" display="https://www.jivi.com.ar/ficha.php?id=1407"/>
    <hyperlink ref="AB284" r:id="rId378" display="https://www.jivi.com.ar/ficha.php?id=1409"/>
    <hyperlink ref="AB286" r:id="rId379" display="https://www.jivi.com.ar/ficha.php?id=1408"/>
    <hyperlink ref="AB274" r:id="rId380" display="https://www.jivi.com.ar/ficha.php?id=1564"/>
    <hyperlink ref="AB27" r:id="rId381" display="https://www.jivi.com.ar/ficha.php?id=1434"/>
    <hyperlink ref="AB383" r:id="rId382" display="https://www.jivi.com.ar/ficha.php?id=1567"/>
    <hyperlink ref="AB43" r:id="rId383"/>
    <hyperlink ref="AB44" r:id="rId384"/>
    <hyperlink ref="AB45" r:id="rId385"/>
    <hyperlink ref="AB127" r:id="rId386" display="https://www.jivi.com.ar/ficha.php?id=1571"/>
    <hyperlink ref="AB203" r:id="rId387"/>
    <hyperlink ref="AB380" r:id="rId388" display="https://www.jivi.com.ar/ficha.php?id=1572"/>
    <hyperlink ref="AB275" r:id="rId389" display="https://www.jivi.com.ar/ficha.php?id=1573"/>
    <hyperlink ref="AB522" r:id="rId390" display="https://www.jivi.com.ar/ficha.php?id=1294"/>
    <hyperlink ref="AF28:AJ28" location="'Artículos Publicitarios'!A539" display="IR A MOCHILAS - BOLSOS - ETC"/>
    <hyperlink ref="AB527" r:id="rId391" display="https://www.jivi.com.ar/ficha.php?id=1271"/>
    <hyperlink ref="AB526" r:id="rId392" display="https://www.jivi.com.ar/ficha.php?id=1296"/>
    <hyperlink ref="AB530" r:id="rId393" display="https://www.jivi.com.ar/ficha.php?id=1139"/>
    <hyperlink ref="AB524" r:id="rId394" display="https://www.jivi.com.ar/ficha.php?id=1249"/>
    <hyperlink ref="AB556" r:id="rId395" display="https://www.jivi.com.ar/ficha.php?id=1574"/>
    <hyperlink ref="AB525" r:id="rId396" display="https://www.jivi.com.ar/ficha.php?id=1576"/>
    <hyperlink ref="AB533" r:id="rId397" display="https://www.jivi.com.ar/ficha.php?id=1580"/>
    <hyperlink ref="AB534" r:id="rId398" display="https://www.jivi.com.ar/ficha.php?id=1581"/>
    <hyperlink ref="AB537" r:id="rId399" display="https://www.jivi.com.ar/ficha.php?id=1583"/>
    <hyperlink ref="AB538" r:id="rId400" display="https://www.jivi.com.ar/ficha.php?id=1584"/>
    <hyperlink ref="AB540" r:id="rId401" display="https://www.jivi.com.ar/ficha.php?id=1586"/>
    <hyperlink ref="AB541" r:id="rId402" display="https://www.jivi.com.ar/ficha.php?id=1587"/>
    <hyperlink ref="AF29:AJ29" location="'Artículos Publicitarios'!A248" display="IR A CUADERNOS"/>
    <hyperlink ref="AB255" r:id="rId403" display="https://www.jivi.com.ar/ficha.php?id=1221"/>
    <hyperlink ref="AB262" r:id="rId404" display="https://www.jivi.com.ar/ficha.php?id=1588"/>
    <hyperlink ref="AB489" r:id="rId405"/>
    <hyperlink ref="AB490" r:id="rId406" display="https://www.jivi.com.ar/ficha.php?id=1590"/>
    <hyperlink ref="AB491" r:id="rId407"/>
    <hyperlink ref="AB492" r:id="rId408" display="https://www.jivi.com.ar/ficha.php?id=1592"/>
    <hyperlink ref="AB546" r:id="rId409" display="https://www.jivi.com.ar/ficha.php?id=1593"/>
    <hyperlink ref="AB272" r:id="rId410" display="https://www.jivi.com.ar/ficha.php?id=1595"/>
    <hyperlink ref="AB404" r:id="rId411" display="https://www.jivi.com.ar/ficha.php?id=1596"/>
    <hyperlink ref="AB547" r:id="rId412" display="https://www.jivi.com.ar/ficha.php?id=1598"/>
    <hyperlink ref="AB539" r:id="rId413" display="https://www.jivi.com.ar/ficha.php?id=1599"/>
    <hyperlink ref="AB548" r:id="rId414" display="https://www.jivi.com.ar/ficha.php?id=1602"/>
    <hyperlink ref="AB549" r:id="rId415" display="https://www.jivi.com.ar/ficha.php?id=1603"/>
    <hyperlink ref="AB60" r:id="rId416"/>
    <hyperlink ref="AB550" r:id="rId417" display="https://www.jivi.com.ar/ficha.php?id=1604"/>
    <hyperlink ref="AB551" r:id="rId418" display="https://www.jivi.com.ar/ficha.php?id=1606"/>
    <hyperlink ref="AB290" r:id="rId419" display="https://www.jivi.com.ar/ficha.php?id=1424"/>
    <hyperlink ref="AB172" r:id="rId420"/>
    <hyperlink ref="AB241" r:id="rId421" display="https://www.jivi.com.ar/ficha.php?id=1459"/>
    <hyperlink ref="AB240" r:id="rId422" display="https://www.jivi.com.ar/ficha.php?id=1608"/>
    <hyperlink ref="AB234" r:id="rId423" display="https://www.jivi.com.ar/ficha.php?id=1609"/>
    <hyperlink ref="AB256" r:id="rId424" display="https://www.jivi.com.ar/ficha.php?id=1274"/>
    <hyperlink ref="AB408" r:id="rId425" display="https://www.jivi.com.ar/ficha.php?id=1610"/>
    <hyperlink ref="AB536" r:id="rId426" display="https://www.jivi.com.ar/ficha.php?id=1611"/>
    <hyperlink ref="AB535" r:id="rId427" display="https://www.jivi.com.ar/ficha.php?id=1612"/>
    <hyperlink ref="AB197" r:id="rId428" display="https://www.jivi.com.ar/ficha.php?id=1614"/>
    <hyperlink ref="AB195" r:id="rId429" display="https://www.jivi.com.ar/ficha.php?id=1452"/>
    <hyperlink ref="AB213" r:id="rId430" display="https://www.jivi.com.ar/ficha.php?id=608"/>
    <hyperlink ref="AB361" r:id="rId431" display="https://www.jivi.com.ar/ficha.php?id=1615"/>
    <hyperlink ref="AB566" r:id="rId432" display="https://www.jivi.com.ar/ficha.php?id=1617"/>
    <hyperlink ref="AB567" r:id="rId433" display="https://www.jivi.com.ar/ficha.php?id=1618"/>
    <hyperlink ref="AB487" r:id="rId434"/>
    <hyperlink ref="AB488" r:id="rId435" display="https://www.jivi.com.ar/ficha.php?id=1620"/>
    <hyperlink ref="AB297" r:id="rId436" display="https://www.jivi.com.ar/ficha.php?id=1355"/>
    <hyperlink ref="AB503" r:id="rId437" display="https://www.jivi.com.ar/ficha.php?id=1204"/>
    <hyperlink ref="AB504" r:id="rId438"/>
    <hyperlink ref="AB328" r:id="rId439"/>
    <hyperlink ref="AB464" r:id="rId440"/>
    <hyperlink ref="AB605" r:id="rId441"/>
    <hyperlink ref="AB652" r:id="rId442"/>
    <hyperlink ref="AB653" r:id="rId443"/>
    <hyperlink ref="AB654" r:id="rId444"/>
    <hyperlink ref="AB359" r:id="rId445" display="https://www.jivi.com.ar/ficha.php?id=1641"/>
    <hyperlink ref="AB424" r:id="rId446"/>
    <hyperlink ref="AB426" r:id="rId447"/>
    <hyperlink ref="AB427" r:id="rId448"/>
    <hyperlink ref="AB428" r:id="rId449"/>
    <hyperlink ref="AB633" r:id="rId450"/>
    <hyperlink ref="AB423" r:id="rId451"/>
    <hyperlink ref="AB165" r:id="rId452" display="https://www.jivi.com.ar/ficha.php?id=1660"/>
    <hyperlink ref="AB147" r:id="rId453" display="https://www.jivi.com.ar/ficha.php?id=1663"/>
    <hyperlink ref="AB99" r:id="rId454" display="https://www.jivi.com.ar/ficha.php?id=440"/>
    <hyperlink ref="AB634" r:id="rId455"/>
    <hyperlink ref="AB646" r:id="rId456"/>
    <hyperlink ref="AB651" r:id="rId457"/>
    <hyperlink ref="AB493" r:id="rId458" display="https://www.jivi.com.ar/ficha.php?id=1684"/>
    <hyperlink ref="AB362" r:id="rId459" display="https://www.jivi.com.ar/ficha.php?id=1272"/>
    <hyperlink ref="AB360" r:id="rId460" display="https://www.jivi.com.ar/ficha.php?id=1687"/>
    <hyperlink ref="AB358" r:id="rId461" display="https://www.jivi.com.ar/ficha.php?id=1672"/>
    <hyperlink ref="AB542" r:id="rId462" display="https://www.jivi.com.ar/ficha.php?id=1690"/>
    <hyperlink ref="AB486" r:id="rId463" display="https://www.jivi.com.ar/ficha.php?id=1691"/>
    <hyperlink ref="AB498" r:id="rId464" display="https://www.jivi.com.ar/ficha.php?id=1438"/>
    <hyperlink ref="AF479:AH479" location="'Artículos Publicitarios'!A3" display="IR A PAGINA 1"/>
    <hyperlink ref="AF516:AH516" location="'Artículos Publicitarios'!A3" display="IR A PAGINA 1"/>
    <hyperlink ref="AB405" r:id="rId465" display="https://www.jivi.com.ar/ficha.php?id=1695"/>
    <hyperlink ref="AB28" r:id="rId466" display="https://www.jivi.com.ar/ficha.php?id=36"/>
    <hyperlink ref="AB484" r:id="rId467"/>
    <hyperlink ref="AB485" r:id="rId468" display="https://www.jivi.com.ar/ficha.php?id=1698"/>
    <hyperlink ref="AB406" r:id="rId469" display="https://www.jivi.com.ar/ficha.php?id=1699"/>
    <hyperlink ref="AB466" r:id="rId470"/>
    <hyperlink ref="AB376" r:id="rId471" display="https://www.jivi.com.ar/ficha.php?id=1462"/>
    <hyperlink ref="AB231" r:id="rId472" display="https://www.jivi.com.ar/ficha.php?id=1531"/>
    <hyperlink ref="AB229" r:id="rId473" display="https://www.jivi.com.ar/ficha.php?id=1528"/>
    <hyperlink ref="AB411" r:id="rId474"/>
    <hyperlink ref="AB336" r:id="rId475" display="https://www.jivi.com.ar/ficha.php?id=977"/>
    <hyperlink ref="AB394" r:id="rId476" display="https://www.jivi.com.ar/ficha.php?id=1457"/>
    <hyperlink ref="AB393" r:id="rId477" display="https://www.jivi.com.ar/ficha.php?id=1456"/>
    <hyperlink ref="AB337" r:id="rId478" display="https://www.jivi.com.ar/ficha.php?id=1707"/>
    <hyperlink ref="AB338" r:id="rId479" display="https://www.jivi.com.ar/ficha.php?id=1708"/>
    <hyperlink ref="AB402" r:id="rId480"/>
    <hyperlink ref="AB483" r:id="rId481" display="https://www.jivi.com.ar/ficha.php?id=1722"/>
    <hyperlink ref="AB14" r:id="rId482" display="https://www.jivi.com.ar/ficha.php?id=1723"/>
    <hyperlink ref="AB183" r:id="rId483"/>
    <hyperlink ref="AB179" r:id="rId484"/>
    <hyperlink ref="AB181" r:id="rId485"/>
    <hyperlink ref="AB180" r:id="rId486"/>
    <hyperlink ref="AB182" r:id="rId487"/>
    <hyperlink ref="AB178" r:id="rId488"/>
    <hyperlink ref="AB606" r:id="rId489"/>
    <hyperlink ref="AB608" r:id="rId490"/>
    <hyperlink ref="AB628" r:id="rId491"/>
    <hyperlink ref="AB630" r:id="rId492"/>
    <hyperlink ref="AB613" r:id="rId493"/>
    <hyperlink ref="AB564" r:id="rId494" display="https://www.jivi.com.ar/ficha.php?id=1575"/>
    <hyperlink ref="AB552" r:id="rId495" display="https://www.jivi.com.ar/ficha.php?id=1743"/>
    <hyperlink ref="AB553" r:id="rId496" display="https://www.jivi.com.ar/ficha.php?id=1744"/>
    <hyperlink ref="AB554" r:id="rId497" display="https://www.jivi.com.ar/ficha.php?id=1745"/>
    <hyperlink ref="AB531" r:id="rId498" display="https://www.jivi.com.ar/ficha.php?id=1746"/>
    <hyperlink ref="AB603" r:id="rId499"/>
    <hyperlink ref="AB481" r:id="rId500"/>
    <hyperlink ref="AB482" r:id="rId501" display="https://www.jivi.com.ar/ficha.php?id=1749"/>
    <hyperlink ref="AB523" r:id="rId502"/>
    <hyperlink ref="AB649" r:id="rId503"/>
    <hyperlink ref="AB403" r:id="rId504"/>
    <hyperlink ref="AB283" r:id="rId505" display="https://www.jivi.com.ar/ficha.php?id=1461"/>
    <hyperlink ref="AB543" r:id="rId506" display="https://www.jivi.com.ar/ficha.php?id=1776"/>
    <hyperlink ref="AB125" r:id="rId507" display="https://www.jivi.com.ar/ficha.php?id=1310"/>
    <hyperlink ref="AB442" r:id="rId508"/>
    <hyperlink ref="AB63" r:id="rId509" display="https://www.jivi.com.ar/ficha.php?id=76"/>
    <hyperlink ref="AB62" r:id="rId510"/>
    <hyperlink ref="AB61" r:id="rId511"/>
    <hyperlink ref="AB226" r:id="rId512" display="https://www.jivi.com.ar/ficha.php?id=1709"/>
    <hyperlink ref="AB568" r:id="rId513" display="https://www.jivi.com.ar/ficha.php?id=1710"/>
    <hyperlink ref="AB574" r:id="rId514"/>
    <hyperlink ref="AB576" r:id="rId515"/>
    <hyperlink ref="AB577" r:id="rId516"/>
    <hyperlink ref="AB580" r:id="rId517"/>
    <hyperlink ref="AB579" r:id="rId518"/>
    <hyperlink ref="AB528" r:id="rId519" display="https://www.jivi.com.ar/ficha.php?id=1293"/>
    <hyperlink ref="AB251" r:id="rId520" display="https://www.jivi.com.ar/ficha.php?id=1340"/>
    <hyperlink ref="AB254" r:id="rId521" display="https://www.jivi.com.ar/ficha.php?id=1265"/>
    <hyperlink ref="AB244" r:id="rId522" display="https://www.jivi.com.ar/ficha.php?id=1487"/>
    <hyperlink ref="AB116" r:id="rId523"/>
    <hyperlink ref="AB121" r:id="rId524"/>
    <hyperlink ref="AB117" r:id="rId525"/>
    <hyperlink ref="AB199" r:id="rId526" display="https://www.jivi.com.ar/ficha.php?id=1319"/>
    <hyperlink ref="AB122" r:id="rId527"/>
    <hyperlink ref="AB287" r:id="rId528" display="https://www.jivi.com.ar/ficha.php?id=1447"/>
    <hyperlink ref="AB346" r:id="rId529" display="https://www.jivi.com.ar/ficha.php?id=1087"/>
    <hyperlink ref="AB445" r:id="rId530"/>
    <hyperlink ref="AB129" r:id="rId531" display="https://www.jivi.com.ar/ficha.php?id=1451"/>
    <hyperlink ref="AB425" r:id="rId532"/>
    <hyperlink ref="AB248" r:id="rId533"/>
    <hyperlink ref="AB341" r:id="rId534" display="https://www.jivi.com.ar/ficha.php?id=1805"/>
    <hyperlink ref="AB299" r:id="rId535" display="https://www.jivi.com.ar/ficha.php?id=1342"/>
    <hyperlink ref="AB347" r:id="rId536" display="https://www.jivi.com.ar/ficha.php?id=1070"/>
    <hyperlink ref="AB350" r:id="rId537"/>
    <hyperlink ref="AB345" r:id="rId538" display="https://www.jivi.com.ar/ficha.php?id=1299"/>
    <hyperlink ref="AB421" r:id="rId539"/>
    <hyperlink ref="AB407" r:id="rId540" display="https://www.jivi.com.ar/ficha.php?id=1597"/>
    <hyperlink ref="AB352" r:id="rId541" display="https://www.jivi.com.ar/ficha.php?id=1131"/>
    <hyperlink ref="AB271" r:id="rId542" display="https://www.jivi.com.ar/ficha.php?id=1774"/>
    <hyperlink ref="AB386" r:id="rId543" display="https://www.jivi.com.ar/ficha.php?id=1820"/>
    <hyperlink ref="AB228" r:id="rId544" display="https://www.jivi.com.ar/ficha.php?id=1544"/>
    <hyperlink ref="AB233" r:id="rId545" display="https://www.jivi.com.ar/ficha.php?id=1533"/>
    <hyperlink ref="AF10:AH10" location="'Artículos Publicitarios'!A101" display="IR A PAGINA 2"/>
    <hyperlink ref="AB544" r:id="rId546" display="https://www.jivi.com.ar/ficha.php?id=1556"/>
    <hyperlink ref="AB555" r:id="rId547" display="https://www.jivi.com.ar/ficha.php?id=1825"/>
    <hyperlink ref="AB263" r:id="rId548" display="https://www.jivi.com.ar/ficha.php?id=1491"/>
    <hyperlink ref="AB185" r:id="rId549" display="https://www.jivi.com.ar/ficha.php?id=1491"/>
    <hyperlink ref="AB273" r:id="rId550" display="https://www.jivi.com.ar/ficha.php?id=1594"/>
    <hyperlink ref="AB400" r:id="rId551"/>
    <hyperlink ref="AB196" r:id="rId552" display="https://www.jivi.com.ar/ficha.php?id=1799"/>
    <hyperlink ref="AB644" r:id="rId553"/>
    <hyperlink ref="AB645" r:id="rId554"/>
    <hyperlink ref="AB257" r:id="rId555" display="https://www.jivi.com.ar/ficha.php?id=1077"/>
    <hyperlink ref="AB327" r:id="rId556"/>
    <hyperlink ref="AB565" r:id="rId557" display="https://www.jivi.com.ar/ficha.php?id=1616"/>
    <hyperlink ref="AB242" r:id="rId558" display="https://www.jivi.com.ar/ficha.php?id=1520"/>
    <hyperlink ref="AB250" r:id="rId559"/>
    <hyperlink ref="AB289" r:id="rId560" display="https://www.jivi.com.ar/ficha.php?id=1443"/>
    <hyperlink ref="AB128" r:id="rId561" display="https://www.jivi.com.ar/ficha.php?id=1055"/>
    <hyperlink ref="AB607" r:id="rId562"/>
    <hyperlink ref="AB629" r:id="rId563"/>
    <hyperlink ref="AB230" r:id="rId564" display="https://www.jivi.com.ar/ficha.php?id=1530"/>
    <hyperlink ref="AB371" r:id="rId565" display="https://www.jivi.com.ar/ficha.php?id=1379"/>
    <hyperlink ref="AB370" r:id="rId566" display="https://www.jivi.com.ar/ficha.php?id=1380"/>
    <hyperlink ref="AB365" r:id="rId567" display="https://www.jivi.com.ar/ficha.php?id=1280"/>
    <hyperlink ref="AB342" r:id="rId568" display="https://www.jivi.com.ar/ficha.php?id=1840"/>
    <hyperlink ref="AB518" r:id="rId569" display="https://www.jivi.com.ar/ficha.php?id=1371"/>
    <hyperlink ref="AB578" r:id="rId570"/>
    <hyperlink ref="AB532" r:id="rId571" display="https://www.jivi.com.ar/ficha.php?id=1579"/>
    <hyperlink ref="AB529" r:id="rId572" display="https://www.jivi.com.ar/ficha.php?id=1138"/>
    <hyperlink ref="AB519" r:id="rId573" display="https://www.jivi.com.ar/ficha.php?id=1911"/>
    <hyperlink ref="AB521" r:id="rId574" display="https://www.jivi.com.ar/ficha.php?id=1916"/>
    <hyperlink ref="AB520" r:id="rId575" display="https://www.jivi.com.ar/ficha.php?id=1912"/>
    <hyperlink ref="AF562:AH562" location="'Artículos Publicitarios'!A3" display="IR A PAGINA 1"/>
    <hyperlink ref="AF642:AH642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384" r:id="rId576" display="https://www.jivi.com.ar/ficha.php?id=1386"/>
  </hyperlinks>
  <pageMargins left="0.27559055118110237" right="0.11811023622047245" top="0.19685039370078741" bottom="0.15748031496062992" header="0.11811023622047245" footer="0.15748031496062992"/>
  <pageSetup paperSize="5" orientation="portrait" copies="5" r:id="rId577"/>
  <headerFooter alignWithMargins="0"/>
  <cellWatches>
    <cellWatch r="X8"/>
  </cellWatches>
  <ignoredErrors>
    <ignoredError sqref="AB633:AB635 AB628:AB629 AB603 AB613 AB630 AB636:AB637" numberStoredAsText="1"/>
    <ignoredError sqref="X596 B25:E25 C24:E24 A163 C163:E163 A188:E188 A103:E104 H395:Q395 C26:E26 H54:I54 G55:I56 H610:L612 G258 G260 B146:E146 C221:E221 G315:W315 U29 S37:S38 S34 U34 U37:U38 S40 U40 G53:I53 H434 H435:M435 H436:M436 H437:M437 H438:M438 H439:M439 J434:M434 S46 U46 F467:T467 W463 G330:G332 G269:M269 F205 G188 V91:W92 F81:I88 F90:I90 F89:I89 Q105 I57:I59 U105 S105 J80:J90 G551 B253:E253 W303 W512:W513 H270:M270 G94:G98 H329:J333 G80:I80 G100:G104 H348:J348 G265:M265 G266:M266 G267:M267 G268:M268 N94:W94 H93:W93 J10:L10 W97 X204:X206 H466:V466 G334:G335 J12:L12 X11 F465:V465 W57 G483:G494 G577 G298 G497 F634:V634 G613:W613 G556 H605:V606 H631:V632 G499:G511 G288 G146 H130:I130 G444 O107:O108 S107:S108 Q107:Q108 U107:U108 W410:X410 G252:G253 V26:V27 S29 H29:M29 H27:I27 H213 W59 G68 I125:V125 U20:V22 G343:J344 G363 G372:G375 G635:V635 G339:J340 I129 G353:J356 H351:J351 G284:G286 K333 K347 K346 G461:J462 G458:J459 F460:J460 K458:V462 G446:W451 G452:V456 N265:V269 G264 M10:V12 O29 Q29 H28:V28 W68 J64:V68 J63:W63 H61:I68 H95:V104 H94:M94 N109:Q110 J148:V148 G161:G164 I175:M175 I174:M174 I173:M173 I176:M176 H173:H176 H178:K178 H179:K183 P215:W215 G215:L215 P214:W214 G214:I214 G231:G232 G377:G382 I13:V14 H17:T26 H14:H16 K27:U27 H145:W147 G154:K154 G177:W177 G223 I213:W213 F424:F428 W420 G443 G440 W481:W482 H481:V505 H512:I513 K512:K513 U512:U513 S512:S513 Q512:Q513 O512:O513 M512:M513 W522 G630:V630 G463:V464 H144:I144 H140:I140 K140:U140 H141:U143 L144:W144 V140:W143 G234 G441 G245:G248 G278:G282 G292 G277 H522:V523 G184 I260:V260 I126:K127 O126 Q126 S126 U126 J53:V62 W223 M126:M127 G272 G275 G542:O542 G633:V633 F637:T637 G636:T636 G357 J124:V124 H457:W457 F408:G408 K340 H342:K342 G326:K326 G294:G296 H372:K382 H543:V556 G608:V609 G271 K323 G289 K322 J128:V130 H607:W607 G628:V628 L629:W629 G230 G320:K320 H507:V511 H506:Q506 H533:V541 J524:V524 G367:K369 J370:K371 G364:K364 H530:V531 F520 G518:V518 H525:V528 G519:G521 L519:V521 H311:K311 H304:K304 H305:K305 H306:K306 H307:K307 H308:K308 H309:K309 H310:K310 H314:K314 H312:K312 H313:K313 O311:V311 M311 L304:V310 L312:V314 L311 N311 K324 G325:K325 K328 K329 K330 K331 K332 K336 K337 K338 K341 K339 P335 Q335 R335:W335 W330:W333 W336:W338 L330:V333 R323:V323 L320:V322 L324:V329 L323:Q323 W341 U339 S339 Q339 O339 M339 L336:V338 L339 N339 P339 R339 T339 K343 K344 K345 G366:K366 G383 L364:V382 H357:J360 K357:K360 K348:K356 L357:V360 L348:V356 H361:J362 K361:K362 L361:V362 K363 O363 Q363 S363 U363 M363 I363 N363 V363:W363 T363 R363 P363 G385 G386 G387 G388 G389 G390 G391 G392 G393 G394 L383:V383 H383:K383 H385:V394 H401:V406 G410 G412:G413 G411 G414 G415 F407:G407 I407 K407 M407 O407 Q407 S407 U407 T410 R410 P410 N410 L414:T414 T412 R412 P412 N412 L412 T411 R411 P411 N411 L411 J411 L410 L413:T413 H410:K410 H415:I415 H411:I411 K411 M411 O411 Q411 S411 H412:K412 M412 O412 Q412 S412 H413:K413 H414:K414 M410 O410 Q410 S410 V413:V414 U410:V412 H408:V409 U413 U414 H407 V407 T407 R407 P407 N407 L407 J407 U415 V415 J415:K415 L415:T415 H334:W334 L340:V340 L341:V341 L342:V347 H335:N335 W299:W300 H384:W384 H400:V400 U173 S173 Q173 O173 N174:V176 N173 P173 R173 T173 V173 W178 W183 U183 S183 Q183 O183 M183 U178 S178 Q178 O178 M178 M179:V182 N178 P178 R178 T178 V178 N183 P183 R183 T183 V183 H184:V188 I212 I211 I210 I209 I208 I207 G204 H195:V199 G197 G196 G195 G199 G200:I200 L206:O206 G203:S203 G207:H212 G198 H201:M201 G201 G206:I206 P206:W206 G205:W205 W197 J212:W212 J206:K206 H204:W204 N201:W201 W199 W198 J200:W200 W195 W196 J207:W207 J208:W208 J209:W209 J210:W210 J211:W211 G202:S202 M215:O215 J214:N214 K224 M224 U224 S224 Q224 O224 I224 H223:V223 H225:V234 H224 J224 P224 R224 T224 V224 N224 L224 H240:W259 H264:I264 H262:V263 J264:V264 G274 W276 U276 S276 Q276 O276 M276 K276 U271 S271 Q271 O271 M271 K271 I271 I276 H272:V275 H277:V287 H276 J276 H271 J271 L271 N271 P271 R271 T271 V271 L276 N276 P276 R276 T276 V276 H299:V300 L302:V302 J302 I301:K301 U301 S301 Q301 O301 M301 L301 N301 P301 R301 T301 V301 I302 K302 H302 H301 H303:V303 H294:V298 H292:V292 H288:V290 H291:V291 H293:V293 U162 S162 Q162 O162 M162 K162 J170:T170 V170 H170:I170 L163:T163 L161:V161 J161 J164:V164 J165:V165 H165 J163 H164 H160:V160 H163:I163 U163:V163 I162 I165 I164 H161:I161 K161 K163 H169:U169 V169 W162 W160 H166:W168 H162 H171:W172 W169 W161 W164 W165 J162 W163 U170 W170 L162 N162 P162 R162 T162 V162 L154:V154 H532:V532 H564:V568 G574 G575 G576 I576 H575 H574:I574 H584:I584 U585 S585 Q585 O585 M585 K585 H585:I585 H583:I583 H577:V582 J584:V584 J583:V583 J585 L585 N585 P585 R585 T585 V585 J574:V574 I575:V575 H576 J576:V576 W603 K603 M603 O603 Q603 S603 U603 I603 H603 J603 V603 T603 R603 P603 N603 L603 H441:V445 H421:V428 J419:V419 L416 J417:V418 J416:K416 M416:V416 H419:I419 H416 I416 G423 H420:V420 G424:G428 H432:I433 G419 G430:G433 Q429 U429 S429 H429:H431 O429 G417:I418 J432:V433 G429 P429 I430:V431 I429:N429 T429 V429 R429 G421:G422 G420 G416 I220 I219 I218 I217 I216 H222:V222 I221 H217:H221 G216:H216 G217:G219 G221 J216:V216 G222 J221:V221 G220 J219:V219 J220:V220 J217:V217 J218:V218 L529:V529" formula="1"/>
    <ignoredError sqref="G349 G553 G523" evalError="1"/>
    <ignoredError sqref="H349:J349" evalError="1" formula="1"/>
  </ignoredErrors>
  <drawing r:id="rId578"/>
  <legacyDrawing r:id="rId5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2024-10-31T21:46:38Z</cp:lastPrinted>
  <dcterms:created xsi:type="dcterms:W3CDTF">2003-01-03T20:20:32Z</dcterms:created>
  <dcterms:modified xsi:type="dcterms:W3CDTF">2024-10-31T21:49:54Z</dcterms:modified>
</cp:coreProperties>
</file>