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Lista en preparacion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08" i="1" l="1"/>
  <c r="F579" i="1"/>
  <c r="F265" i="1"/>
  <c r="F199" i="1"/>
  <c r="T449" i="1" l="1"/>
  <c r="U449" i="1" s="1"/>
  <c r="R449" i="1"/>
  <c r="S449" i="1" s="1"/>
  <c r="P449" i="1"/>
  <c r="Q449" i="1" s="1"/>
  <c r="N449" i="1"/>
  <c r="O449" i="1" s="1"/>
  <c r="L449" i="1"/>
  <c r="M449" i="1" s="1"/>
  <c r="T448" i="1"/>
  <c r="U448" i="1" s="1"/>
  <c r="R448" i="1"/>
  <c r="S448" i="1" s="1"/>
  <c r="P448" i="1"/>
  <c r="Q448" i="1" s="1"/>
  <c r="N448" i="1"/>
  <c r="O448" i="1" s="1"/>
  <c r="L448" i="1"/>
  <c r="M448" i="1" s="1"/>
  <c r="T447" i="1"/>
  <c r="U447" i="1" s="1"/>
  <c r="R447" i="1"/>
  <c r="S447" i="1" s="1"/>
  <c r="P447" i="1"/>
  <c r="Q447" i="1" s="1"/>
  <c r="N447" i="1"/>
  <c r="O447" i="1" s="1"/>
  <c r="L447" i="1"/>
  <c r="M447" i="1" s="1"/>
  <c r="T446" i="1"/>
  <c r="R446" i="1"/>
  <c r="P446" i="1"/>
  <c r="N446" i="1"/>
  <c r="L446" i="1"/>
  <c r="N220" i="1"/>
  <c r="L220" i="1"/>
  <c r="V62" i="1"/>
  <c r="T62" i="1"/>
  <c r="R62" i="1"/>
  <c r="P62" i="1"/>
  <c r="N62" i="1"/>
  <c r="L62" i="1"/>
  <c r="J62" i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W53" i="1" s="1"/>
  <c r="T53" i="1"/>
  <c r="U53" i="1" s="1"/>
  <c r="R53" i="1"/>
  <c r="S53" i="1" s="1"/>
  <c r="P53" i="1"/>
  <c r="Q53" i="1" s="1"/>
  <c r="N53" i="1"/>
  <c r="O53" i="1" s="1"/>
  <c r="L53" i="1"/>
  <c r="M53" i="1" s="1"/>
  <c r="J53" i="1"/>
  <c r="K53" i="1" s="1"/>
  <c r="V52" i="1"/>
  <c r="T52" i="1"/>
  <c r="R52" i="1"/>
  <c r="N52" i="1"/>
  <c r="L52" i="1"/>
  <c r="J52" i="1"/>
  <c r="P52" i="1"/>
  <c r="V20" i="1"/>
  <c r="W20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K20" i="1" s="1"/>
  <c r="V19" i="1"/>
  <c r="W19" i="1" s="1"/>
  <c r="T19" i="1"/>
  <c r="U19" i="1" s="1"/>
  <c r="R19" i="1"/>
  <c r="S19" i="1" s="1"/>
  <c r="P19" i="1"/>
  <c r="Q19" i="1" s="1"/>
  <c r="N19" i="1"/>
  <c r="O19" i="1" s="1"/>
  <c r="L19" i="1"/>
  <c r="M19" i="1" s="1"/>
  <c r="J19" i="1"/>
  <c r="K19" i="1" s="1"/>
  <c r="T13" i="1"/>
  <c r="R13" i="1"/>
  <c r="S13" i="1" s="1"/>
  <c r="P13" i="1"/>
  <c r="Q13" i="1" s="1"/>
  <c r="N13" i="1"/>
  <c r="O13" i="1" s="1"/>
  <c r="L13" i="1"/>
  <c r="M13" i="1" s="1"/>
  <c r="J13" i="1"/>
  <c r="K13" i="1" s="1"/>
  <c r="G150" i="1"/>
  <c r="J150" i="1"/>
  <c r="L150" i="1"/>
  <c r="N150" i="1"/>
  <c r="P150" i="1"/>
  <c r="R150" i="1"/>
  <c r="T150" i="1"/>
  <c r="V150" i="1"/>
  <c r="W113" i="1"/>
  <c r="U113" i="1"/>
  <c r="S113" i="1"/>
  <c r="Q113" i="1"/>
  <c r="O113" i="1"/>
  <c r="W112" i="1"/>
  <c r="U112" i="1"/>
  <c r="S112" i="1"/>
  <c r="Q112" i="1"/>
  <c r="O112" i="1"/>
  <c r="W111" i="1"/>
  <c r="U111" i="1"/>
  <c r="S111" i="1"/>
  <c r="Q111" i="1"/>
  <c r="O111" i="1"/>
  <c r="W110" i="1"/>
  <c r="U110" i="1"/>
  <c r="S110" i="1"/>
  <c r="Q110" i="1"/>
  <c r="O110" i="1"/>
  <c r="W124" i="1"/>
  <c r="U124" i="1"/>
  <c r="S124" i="1"/>
  <c r="Q124" i="1"/>
  <c r="O124" i="1"/>
  <c r="M124" i="1"/>
  <c r="W119" i="1"/>
  <c r="U119" i="1"/>
  <c r="S119" i="1"/>
  <c r="Q119" i="1"/>
  <c r="O119" i="1"/>
  <c r="M119" i="1"/>
  <c r="O107" i="1"/>
  <c r="O106" i="1"/>
  <c r="V626" i="1" l="1"/>
  <c r="W626" i="1" s="1"/>
  <c r="T626" i="1"/>
  <c r="U626" i="1" s="1"/>
  <c r="R626" i="1"/>
  <c r="S626" i="1" s="1"/>
  <c r="P626" i="1"/>
  <c r="Q626" i="1" s="1"/>
  <c r="N626" i="1"/>
  <c r="O626" i="1" s="1"/>
  <c r="L626" i="1"/>
  <c r="M626" i="1" s="1"/>
  <c r="H632" i="1"/>
  <c r="H631" i="1"/>
  <c r="H627" i="1"/>
  <c r="V635" i="1"/>
  <c r="W635" i="1" s="1"/>
  <c r="T635" i="1"/>
  <c r="U635" i="1" s="1"/>
  <c r="R635" i="1"/>
  <c r="S635" i="1" s="1"/>
  <c r="P635" i="1"/>
  <c r="Q635" i="1" s="1"/>
  <c r="N635" i="1"/>
  <c r="O635" i="1" s="1"/>
  <c r="L635" i="1"/>
  <c r="M635" i="1" s="1"/>
  <c r="J635" i="1"/>
  <c r="K635" i="1" s="1"/>
  <c r="V634" i="1"/>
  <c r="W634" i="1" s="1"/>
  <c r="T634" i="1"/>
  <c r="U634" i="1" s="1"/>
  <c r="R634" i="1"/>
  <c r="S634" i="1" s="1"/>
  <c r="P634" i="1"/>
  <c r="Q634" i="1" s="1"/>
  <c r="N634" i="1"/>
  <c r="O634" i="1" s="1"/>
  <c r="L634" i="1"/>
  <c r="M634" i="1" s="1"/>
  <c r="J634" i="1"/>
  <c r="K634" i="1" s="1"/>
  <c r="V633" i="1"/>
  <c r="W633" i="1" s="1"/>
  <c r="T633" i="1"/>
  <c r="U633" i="1" s="1"/>
  <c r="R633" i="1"/>
  <c r="S633" i="1" s="1"/>
  <c r="P633" i="1"/>
  <c r="Q633" i="1" s="1"/>
  <c r="N633" i="1"/>
  <c r="O633" i="1" s="1"/>
  <c r="L633" i="1"/>
  <c r="M633" i="1" s="1"/>
  <c r="J633" i="1"/>
  <c r="K633" i="1" s="1"/>
  <c r="V632" i="1"/>
  <c r="W632" i="1" s="1"/>
  <c r="T632" i="1"/>
  <c r="U632" i="1" s="1"/>
  <c r="R632" i="1"/>
  <c r="S632" i="1" s="1"/>
  <c r="P632" i="1"/>
  <c r="Q632" i="1" s="1"/>
  <c r="N632" i="1"/>
  <c r="O632" i="1" s="1"/>
  <c r="L632" i="1"/>
  <c r="M632" i="1" s="1"/>
  <c r="J632" i="1"/>
  <c r="K632" i="1" s="1"/>
  <c r="V631" i="1"/>
  <c r="W631" i="1" s="1"/>
  <c r="T631" i="1"/>
  <c r="U631" i="1" s="1"/>
  <c r="R631" i="1"/>
  <c r="S631" i="1" s="1"/>
  <c r="P631" i="1"/>
  <c r="Q631" i="1" s="1"/>
  <c r="N631" i="1"/>
  <c r="O631" i="1" s="1"/>
  <c r="L631" i="1"/>
  <c r="M631" i="1" s="1"/>
  <c r="J631" i="1"/>
  <c r="K631" i="1" s="1"/>
  <c r="V630" i="1"/>
  <c r="W630" i="1" s="1"/>
  <c r="T630" i="1"/>
  <c r="U630" i="1" s="1"/>
  <c r="R630" i="1"/>
  <c r="S630" i="1" s="1"/>
  <c r="P630" i="1"/>
  <c r="Q630" i="1" s="1"/>
  <c r="N630" i="1"/>
  <c r="O630" i="1" s="1"/>
  <c r="L630" i="1"/>
  <c r="M630" i="1" s="1"/>
  <c r="J630" i="1"/>
  <c r="K630" i="1" s="1"/>
  <c r="V629" i="1"/>
  <c r="W629" i="1" s="1"/>
  <c r="T629" i="1"/>
  <c r="U629" i="1" s="1"/>
  <c r="R629" i="1"/>
  <c r="S629" i="1" s="1"/>
  <c r="P629" i="1"/>
  <c r="Q629" i="1" s="1"/>
  <c r="N629" i="1"/>
  <c r="O629" i="1" s="1"/>
  <c r="L629" i="1"/>
  <c r="M629" i="1" s="1"/>
  <c r="J629" i="1"/>
  <c r="K629" i="1" s="1"/>
  <c r="V627" i="1"/>
  <c r="W627" i="1" s="1"/>
  <c r="T627" i="1"/>
  <c r="U627" i="1" s="1"/>
  <c r="R627" i="1"/>
  <c r="S627" i="1" s="1"/>
  <c r="P627" i="1"/>
  <c r="Q627" i="1" s="1"/>
  <c r="N627" i="1"/>
  <c r="O627" i="1" s="1"/>
  <c r="L627" i="1"/>
  <c r="M627" i="1" s="1"/>
  <c r="J627" i="1"/>
  <c r="K627" i="1" s="1"/>
  <c r="T625" i="1"/>
  <c r="R625" i="1"/>
  <c r="P625" i="1"/>
  <c r="L625" i="1"/>
  <c r="V625" i="1"/>
  <c r="N625" i="1"/>
  <c r="J625" i="1"/>
  <c r="V465" i="1"/>
  <c r="W465" i="1" s="1"/>
  <c r="T465" i="1"/>
  <c r="U465" i="1" s="1"/>
  <c r="R465" i="1"/>
  <c r="S465" i="1" s="1"/>
  <c r="P465" i="1"/>
  <c r="Q465" i="1" s="1"/>
  <c r="N465" i="1"/>
  <c r="O465" i="1" s="1"/>
  <c r="L465" i="1"/>
  <c r="M465" i="1" s="1"/>
  <c r="V464" i="1"/>
  <c r="W464" i="1" s="1"/>
  <c r="T464" i="1"/>
  <c r="U464" i="1" s="1"/>
  <c r="R464" i="1"/>
  <c r="S464" i="1" s="1"/>
  <c r="P464" i="1"/>
  <c r="Q464" i="1" s="1"/>
  <c r="N464" i="1"/>
  <c r="O464" i="1" s="1"/>
  <c r="L464" i="1"/>
  <c r="M464" i="1" s="1"/>
  <c r="V463" i="1"/>
  <c r="W463" i="1" s="1"/>
  <c r="T463" i="1"/>
  <c r="U463" i="1" s="1"/>
  <c r="R463" i="1"/>
  <c r="S463" i="1" s="1"/>
  <c r="P463" i="1"/>
  <c r="Q463" i="1" s="1"/>
  <c r="N463" i="1"/>
  <c r="O463" i="1" s="1"/>
  <c r="L463" i="1"/>
  <c r="M463" i="1" s="1"/>
  <c r="V462" i="1"/>
  <c r="W462" i="1" s="1"/>
  <c r="T462" i="1"/>
  <c r="U462" i="1" s="1"/>
  <c r="R462" i="1"/>
  <c r="S462" i="1" s="1"/>
  <c r="P462" i="1"/>
  <c r="Q462" i="1" s="1"/>
  <c r="N462" i="1"/>
  <c r="O462" i="1" s="1"/>
  <c r="L462" i="1"/>
  <c r="M462" i="1" s="1"/>
  <c r="L451" i="1"/>
  <c r="J451" i="1"/>
  <c r="N451" i="1"/>
  <c r="P451" i="1"/>
  <c r="R451" i="1"/>
  <c r="T451" i="1"/>
  <c r="V451" i="1"/>
  <c r="V453" i="1"/>
  <c r="W453" i="1" s="1"/>
  <c r="T453" i="1"/>
  <c r="U453" i="1" s="1"/>
  <c r="R453" i="1"/>
  <c r="S453" i="1" s="1"/>
  <c r="P453" i="1"/>
  <c r="Q453" i="1" s="1"/>
  <c r="N453" i="1"/>
  <c r="O453" i="1" s="1"/>
  <c r="L453" i="1"/>
  <c r="M453" i="1" s="1"/>
  <c r="J453" i="1"/>
  <c r="K453" i="1" s="1"/>
  <c r="H696" i="1"/>
  <c r="H695" i="1"/>
  <c r="J696" i="1"/>
  <c r="J695" i="1"/>
  <c r="V696" i="1"/>
  <c r="W696" i="1" s="1"/>
  <c r="T696" i="1"/>
  <c r="U696" i="1" s="1"/>
  <c r="R696" i="1"/>
  <c r="S696" i="1" s="1"/>
  <c r="P696" i="1"/>
  <c r="Q696" i="1" s="1"/>
  <c r="N696" i="1"/>
  <c r="O696" i="1" s="1"/>
  <c r="L696" i="1"/>
  <c r="M696" i="1" s="1"/>
  <c r="V695" i="1"/>
  <c r="W695" i="1" s="1"/>
  <c r="T695" i="1"/>
  <c r="U695" i="1" s="1"/>
  <c r="R695" i="1"/>
  <c r="S695" i="1" s="1"/>
  <c r="P695" i="1"/>
  <c r="Q695" i="1" s="1"/>
  <c r="N695" i="1"/>
  <c r="O695" i="1" s="1"/>
  <c r="L695" i="1"/>
  <c r="M695" i="1" s="1"/>
  <c r="V694" i="1"/>
  <c r="W694" i="1" s="1"/>
  <c r="T694" i="1"/>
  <c r="U694" i="1" s="1"/>
  <c r="R694" i="1"/>
  <c r="S694" i="1" s="1"/>
  <c r="P694" i="1"/>
  <c r="Q694" i="1" s="1"/>
  <c r="N694" i="1"/>
  <c r="O694" i="1" s="1"/>
  <c r="L694" i="1"/>
  <c r="M694" i="1" s="1"/>
  <c r="V692" i="1"/>
  <c r="W692" i="1" s="1"/>
  <c r="T692" i="1"/>
  <c r="U692" i="1" s="1"/>
  <c r="R692" i="1"/>
  <c r="S692" i="1" s="1"/>
  <c r="P692" i="1"/>
  <c r="Q692" i="1" s="1"/>
  <c r="N692" i="1"/>
  <c r="O692" i="1" s="1"/>
  <c r="L692" i="1"/>
  <c r="M692" i="1" s="1"/>
  <c r="V691" i="1"/>
  <c r="W691" i="1" s="1"/>
  <c r="T691" i="1"/>
  <c r="U691" i="1" s="1"/>
  <c r="R691" i="1"/>
  <c r="S691" i="1" s="1"/>
  <c r="P691" i="1"/>
  <c r="Q691" i="1" s="1"/>
  <c r="N691" i="1"/>
  <c r="O691" i="1" s="1"/>
  <c r="L691" i="1"/>
  <c r="M691" i="1" s="1"/>
  <c r="V663" i="1"/>
  <c r="W663" i="1" s="1"/>
  <c r="T663" i="1"/>
  <c r="U663" i="1" s="1"/>
  <c r="R663" i="1"/>
  <c r="S663" i="1" s="1"/>
  <c r="P663" i="1"/>
  <c r="Q663" i="1" s="1"/>
  <c r="V662" i="1"/>
  <c r="W662" i="1" s="1"/>
  <c r="T662" i="1"/>
  <c r="U662" i="1" s="1"/>
  <c r="R662" i="1"/>
  <c r="S662" i="1" s="1"/>
  <c r="P662" i="1"/>
  <c r="Q662" i="1" s="1"/>
  <c r="V661" i="1"/>
  <c r="W661" i="1" s="1"/>
  <c r="T661" i="1"/>
  <c r="U661" i="1" s="1"/>
  <c r="R661" i="1"/>
  <c r="S661" i="1" s="1"/>
  <c r="P661" i="1"/>
  <c r="Q661" i="1" s="1"/>
  <c r="V660" i="1"/>
  <c r="W660" i="1" s="1"/>
  <c r="T660" i="1"/>
  <c r="U660" i="1" s="1"/>
  <c r="R660" i="1"/>
  <c r="S660" i="1" s="1"/>
  <c r="P660" i="1"/>
  <c r="Q660" i="1" s="1"/>
  <c r="V659" i="1"/>
  <c r="W659" i="1" s="1"/>
  <c r="T659" i="1"/>
  <c r="U659" i="1" s="1"/>
  <c r="R659" i="1"/>
  <c r="S659" i="1" s="1"/>
  <c r="P659" i="1"/>
  <c r="Q659" i="1" s="1"/>
  <c r="V658" i="1"/>
  <c r="W658" i="1" s="1"/>
  <c r="T658" i="1"/>
  <c r="U658" i="1" s="1"/>
  <c r="R658" i="1"/>
  <c r="S658" i="1" s="1"/>
  <c r="P658" i="1"/>
  <c r="Q658" i="1" s="1"/>
  <c r="V657" i="1"/>
  <c r="W657" i="1" s="1"/>
  <c r="T657" i="1"/>
  <c r="U657" i="1" s="1"/>
  <c r="R657" i="1"/>
  <c r="S657" i="1" s="1"/>
  <c r="P657" i="1"/>
  <c r="Q657" i="1" s="1"/>
  <c r="V656" i="1"/>
  <c r="W656" i="1" s="1"/>
  <c r="T656" i="1"/>
  <c r="U656" i="1" s="1"/>
  <c r="R656" i="1"/>
  <c r="S656" i="1" s="1"/>
  <c r="P656" i="1"/>
  <c r="Q656" i="1" s="1"/>
  <c r="V682" i="1"/>
  <c r="W682" i="1" s="1"/>
  <c r="T682" i="1"/>
  <c r="U682" i="1" s="1"/>
  <c r="R682" i="1"/>
  <c r="S682" i="1" s="1"/>
  <c r="P682" i="1"/>
  <c r="Q682" i="1" s="1"/>
  <c r="N682" i="1"/>
  <c r="O682" i="1" s="1"/>
  <c r="L682" i="1"/>
  <c r="M682" i="1" s="1"/>
  <c r="J682" i="1"/>
  <c r="K682" i="1" s="1"/>
  <c r="H682" i="1"/>
  <c r="I682" i="1" s="1"/>
  <c r="V681" i="1"/>
  <c r="W681" i="1" s="1"/>
  <c r="T681" i="1"/>
  <c r="U681" i="1" s="1"/>
  <c r="R681" i="1"/>
  <c r="S681" i="1" s="1"/>
  <c r="P681" i="1"/>
  <c r="Q681" i="1" s="1"/>
  <c r="N681" i="1"/>
  <c r="O681" i="1" s="1"/>
  <c r="L681" i="1"/>
  <c r="M681" i="1" s="1"/>
  <c r="J681" i="1"/>
  <c r="K681" i="1" s="1"/>
  <c r="H681" i="1"/>
  <c r="I681" i="1" s="1"/>
  <c r="V679" i="1"/>
  <c r="W679" i="1" s="1"/>
  <c r="T679" i="1"/>
  <c r="U679" i="1" s="1"/>
  <c r="R679" i="1"/>
  <c r="S679" i="1" s="1"/>
  <c r="V678" i="1"/>
  <c r="W678" i="1" s="1"/>
  <c r="T678" i="1"/>
  <c r="U678" i="1" s="1"/>
  <c r="R678" i="1"/>
  <c r="S678" i="1" s="1"/>
  <c r="V677" i="1"/>
  <c r="W677" i="1" s="1"/>
  <c r="T677" i="1"/>
  <c r="U677" i="1" s="1"/>
  <c r="R677" i="1"/>
  <c r="S677" i="1" s="1"/>
  <c r="V676" i="1"/>
  <c r="W676" i="1" s="1"/>
  <c r="T676" i="1"/>
  <c r="U676" i="1" s="1"/>
  <c r="R676" i="1"/>
  <c r="S676" i="1" s="1"/>
  <c r="V675" i="1"/>
  <c r="W675" i="1" s="1"/>
  <c r="T675" i="1"/>
  <c r="U675" i="1" s="1"/>
  <c r="R675" i="1"/>
  <c r="S675" i="1" s="1"/>
  <c r="P675" i="1"/>
  <c r="Q675" i="1" s="1"/>
  <c r="N675" i="1"/>
  <c r="O675" i="1" s="1"/>
  <c r="L675" i="1"/>
  <c r="M675" i="1" s="1"/>
  <c r="V450" i="1" l="1"/>
  <c r="W450" i="1" s="1"/>
  <c r="T450" i="1"/>
  <c r="U450" i="1" s="1"/>
  <c r="R450" i="1"/>
  <c r="S450" i="1" s="1"/>
  <c r="P450" i="1"/>
  <c r="Q450" i="1" s="1"/>
  <c r="N450" i="1"/>
  <c r="O450" i="1" s="1"/>
  <c r="L450" i="1"/>
  <c r="M450" i="1" s="1"/>
  <c r="J450" i="1"/>
  <c r="K450" i="1" s="1"/>
  <c r="F700" i="1"/>
  <c r="T700" i="1" s="1"/>
  <c r="U700" i="1" s="1"/>
  <c r="F701" i="1"/>
  <c r="T701" i="1" s="1"/>
  <c r="U701" i="1" s="1"/>
  <c r="F699" i="1"/>
  <c r="R699" i="1" s="1"/>
  <c r="S699" i="1" s="1"/>
  <c r="T697" i="1"/>
  <c r="U697" i="1" s="1"/>
  <c r="R697" i="1"/>
  <c r="S697" i="1" s="1"/>
  <c r="P697" i="1"/>
  <c r="Q697" i="1" s="1"/>
  <c r="N697" i="1"/>
  <c r="O697" i="1" s="1"/>
  <c r="L697" i="1"/>
  <c r="M697" i="1" s="1"/>
  <c r="J697" i="1"/>
  <c r="K697" i="1" s="1"/>
  <c r="T693" i="1"/>
  <c r="U693" i="1" s="1"/>
  <c r="R693" i="1"/>
  <c r="S693" i="1" s="1"/>
  <c r="P693" i="1"/>
  <c r="Q693" i="1" s="1"/>
  <c r="N693" i="1"/>
  <c r="O693" i="1" s="1"/>
  <c r="L693" i="1"/>
  <c r="M693" i="1" s="1"/>
  <c r="J693" i="1"/>
  <c r="K693" i="1" s="1"/>
  <c r="F586" i="1"/>
  <c r="F585" i="1"/>
  <c r="L699" i="1" l="1"/>
  <c r="M699" i="1" s="1"/>
  <c r="N699" i="1"/>
  <c r="O699" i="1" s="1"/>
  <c r="N701" i="1"/>
  <c r="O701" i="1" s="1"/>
  <c r="P701" i="1"/>
  <c r="Q701" i="1" s="1"/>
  <c r="T699" i="1"/>
  <c r="U699" i="1" s="1"/>
  <c r="N700" i="1"/>
  <c r="O700" i="1" s="1"/>
  <c r="P700" i="1"/>
  <c r="Q700" i="1" s="1"/>
  <c r="J700" i="1"/>
  <c r="K700" i="1" s="1"/>
  <c r="R700" i="1"/>
  <c r="S700" i="1" s="1"/>
  <c r="L700" i="1"/>
  <c r="M700" i="1" s="1"/>
  <c r="J701" i="1"/>
  <c r="K701" i="1" s="1"/>
  <c r="R701" i="1"/>
  <c r="S701" i="1" s="1"/>
  <c r="L701" i="1"/>
  <c r="M701" i="1" s="1"/>
  <c r="P699" i="1"/>
  <c r="Q699" i="1" s="1"/>
  <c r="J699" i="1"/>
  <c r="K699" i="1" s="1"/>
  <c r="L548" i="1" l="1"/>
  <c r="M548" i="1" s="1"/>
  <c r="J548" i="1"/>
  <c r="K548" i="1" s="1"/>
  <c r="H548" i="1"/>
  <c r="I548" i="1" s="1"/>
  <c r="V544" i="1"/>
  <c r="W544" i="1" s="1"/>
  <c r="T544" i="1"/>
  <c r="U544" i="1" s="1"/>
  <c r="R544" i="1"/>
  <c r="S544" i="1" s="1"/>
  <c r="P544" i="1"/>
  <c r="Q544" i="1" s="1"/>
  <c r="N544" i="1"/>
  <c r="O544" i="1" s="1"/>
  <c r="L544" i="1"/>
  <c r="M544" i="1" s="1"/>
  <c r="J544" i="1"/>
  <c r="K544" i="1" s="1"/>
  <c r="H544" i="1"/>
  <c r="I544" i="1" s="1"/>
  <c r="V549" i="1"/>
  <c r="W549" i="1" s="1"/>
  <c r="T549" i="1"/>
  <c r="U549" i="1" s="1"/>
  <c r="R549" i="1"/>
  <c r="S549" i="1" s="1"/>
  <c r="P549" i="1"/>
  <c r="Q549" i="1" s="1"/>
  <c r="N549" i="1"/>
  <c r="O549" i="1" s="1"/>
  <c r="L549" i="1"/>
  <c r="M549" i="1" s="1"/>
  <c r="J549" i="1"/>
  <c r="K549" i="1" s="1"/>
  <c r="H549" i="1"/>
  <c r="I549" i="1" s="1"/>
  <c r="V576" i="1"/>
  <c r="W576" i="1" s="1"/>
  <c r="T576" i="1"/>
  <c r="U576" i="1" s="1"/>
  <c r="R576" i="1"/>
  <c r="S576" i="1" s="1"/>
  <c r="P576" i="1"/>
  <c r="Q576" i="1" s="1"/>
  <c r="N576" i="1"/>
  <c r="O576" i="1" s="1"/>
  <c r="L576" i="1"/>
  <c r="M576" i="1" s="1"/>
  <c r="V578" i="1"/>
  <c r="W578" i="1" s="1"/>
  <c r="T578" i="1"/>
  <c r="U578" i="1" s="1"/>
  <c r="R578" i="1"/>
  <c r="S578" i="1" s="1"/>
  <c r="P578" i="1"/>
  <c r="Q578" i="1" s="1"/>
  <c r="N578" i="1"/>
  <c r="O578" i="1" s="1"/>
  <c r="L578" i="1"/>
  <c r="M578" i="1" s="1"/>
  <c r="H585" i="1"/>
  <c r="I585" i="1" s="1"/>
  <c r="J585" i="1"/>
  <c r="K585" i="1" s="1"/>
  <c r="L585" i="1"/>
  <c r="M585" i="1" s="1"/>
  <c r="N585" i="1"/>
  <c r="O585" i="1" s="1"/>
  <c r="P585" i="1"/>
  <c r="Q585" i="1" s="1"/>
  <c r="R585" i="1"/>
  <c r="S585" i="1" s="1"/>
  <c r="T585" i="1"/>
  <c r="U585" i="1" s="1"/>
  <c r="V585" i="1"/>
  <c r="W585" i="1" s="1"/>
  <c r="H586" i="1"/>
  <c r="I586" i="1" s="1"/>
  <c r="J586" i="1"/>
  <c r="K586" i="1" s="1"/>
  <c r="L586" i="1"/>
  <c r="M586" i="1" s="1"/>
  <c r="N586" i="1"/>
  <c r="O586" i="1" s="1"/>
  <c r="P586" i="1"/>
  <c r="Q586" i="1" s="1"/>
  <c r="R586" i="1"/>
  <c r="S586" i="1" s="1"/>
  <c r="T586" i="1"/>
  <c r="U586" i="1" s="1"/>
  <c r="V586" i="1"/>
  <c r="W586" i="1" s="1"/>
  <c r="H591" i="1"/>
  <c r="I591" i="1" s="1"/>
  <c r="J591" i="1"/>
  <c r="K591" i="1" s="1"/>
  <c r="L591" i="1"/>
  <c r="M591" i="1" s="1"/>
  <c r="N591" i="1"/>
  <c r="O591" i="1" s="1"/>
  <c r="P591" i="1"/>
  <c r="Q591" i="1" s="1"/>
  <c r="R591" i="1"/>
  <c r="S591" i="1" s="1"/>
  <c r="T591" i="1"/>
  <c r="U591" i="1" s="1"/>
  <c r="V591" i="1"/>
  <c r="W591" i="1" s="1"/>
  <c r="V574" i="1"/>
  <c r="W574" i="1" s="1"/>
  <c r="T574" i="1"/>
  <c r="U574" i="1" s="1"/>
  <c r="R574" i="1"/>
  <c r="S574" i="1" s="1"/>
  <c r="P574" i="1"/>
  <c r="Q574" i="1" s="1"/>
  <c r="N574" i="1"/>
  <c r="O574" i="1" s="1"/>
  <c r="L574" i="1"/>
  <c r="M574" i="1" s="1"/>
  <c r="J574" i="1"/>
  <c r="K574" i="1" s="1"/>
  <c r="H574" i="1"/>
  <c r="I574" i="1" s="1"/>
  <c r="V568" i="1"/>
  <c r="W568" i="1" s="1"/>
  <c r="T568" i="1"/>
  <c r="U568" i="1" s="1"/>
  <c r="R568" i="1"/>
  <c r="S568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H506" i="1"/>
  <c r="H505" i="1"/>
  <c r="V511" i="1"/>
  <c r="W511" i="1" s="1"/>
  <c r="T511" i="1"/>
  <c r="U511" i="1" s="1"/>
  <c r="R511" i="1"/>
  <c r="S511" i="1" s="1"/>
  <c r="P511" i="1"/>
  <c r="Q511" i="1" s="1"/>
  <c r="N511" i="1"/>
  <c r="O511" i="1" s="1"/>
  <c r="L511" i="1"/>
  <c r="M511" i="1" s="1"/>
  <c r="J511" i="1"/>
  <c r="K511" i="1" s="1"/>
  <c r="V510" i="1"/>
  <c r="W510" i="1" s="1"/>
  <c r="T510" i="1"/>
  <c r="U510" i="1" s="1"/>
  <c r="R510" i="1"/>
  <c r="S510" i="1" s="1"/>
  <c r="P510" i="1"/>
  <c r="Q510" i="1" s="1"/>
  <c r="N510" i="1"/>
  <c r="O510" i="1" s="1"/>
  <c r="L510" i="1"/>
  <c r="M510" i="1" s="1"/>
  <c r="J510" i="1"/>
  <c r="K510" i="1" s="1"/>
  <c r="V509" i="1"/>
  <c r="W509" i="1" s="1"/>
  <c r="T509" i="1"/>
  <c r="U509" i="1" s="1"/>
  <c r="R509" i="1"/>
  <c r="S509" i="1" s="1"/>
  <c r="P509" i="1"/>
  <c r="Q509" i="1" s="1"/>
  <c r="N509" i="1"/>
  <c r="O509" i="1" s="1"/>
  <c r="L509" i="1"/>
  <c r="M509" i="1" s="1"/>
  <c r="J509" i="1"/>
  <c r="K509" i="1" s="1"/>
  <c r="V506" i="1"/>
  <c r="W506" i="1" s="1"/>
  <c r="T506" i="1"/>
  <c r="U506" i="1" s="1"/>
  <c r="R506" i="1"/>
  <c r="S506" i="1" s="1"/>
  <c r="P506" i="1"/>
  <c r="Q506" i="1" s="1"/>
  <c r="N506" i="1"/>
  <c r="O506" i="1" s="1"/>
  <c r="L506" i="1"/>
  <c r="M506" i="1" s="1"/>
  <c r="J506" i="1"/>
  <c r="K506" i="1" s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J505" i="1"/>
  <c r="K505" i="1" s="1"/>
  <c r="J496" i="1"/>
  <c r="V496" i="1"/>
  <c r="W496" i="1" s="1"/>
  <c r="T496" i="1"/>
  <c r="U496" i="1" s="1"/>
  <c r="R496" i="1"/>
  <c r="S496" i="1" s="1"/>
  <c r="P496" i="1"/>
  <c r="Q496" i="1" s="1"/>
  <c r="N496" i="1"/>
  <c r="O496" i="1" s="1"/>
  <c r="L496" i="1"/>
  <c r="M496" i="1" s="1"/>
  <c r="V504" i="1"/>
  <c r="W504" i="1" s="1"/>
  <c r="T504" i="1"/>
  <c r="U504" i="1" s="1"/>
  <c r="R504" i="1"/>
  <c r="S504" i="1" s="1"/>
  <c r="P504" i="1"/>
  <c r="Q504" i="1" s="1"/>
  <c r="N504" i="1"/>
  <c r="O504" i="1" s="1"/>
  <c r="L504" i="1"/>
  <c r="M504" i="1" s="1"/>
  <c r="J504" i="1"/>
  <c r="K504" i="1" s="1"/>
  <c r="H504" i="1"/>
  <c r="I504" i="1" s="1"/>
  <c r="V503" i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J503" i="1"/>
  <c r="K503" i="1" s="1"/>
  <c r="H503" i="1"/>
  <c r="I503" i="1" s="1"/>
  <c r="V502" i="1"/>
  <c r="W502" i="1" s="1"/>
  <c r="T502" i="1"/>
  <c r="U502" i="1" s="1"/>
  <c r="R502" i="1"/>
  <c r="S502" i="1" s="1"/>
  <c r="P502" i="1"/>
  <c r="Q502" i="1" s="1"/>
  <c r="N502" i="1"/>
  <c r="O502" i="1" s="1"/>
  <c r="L502" i="1"/>
  <c r="M502" i="1" s="1"/>
  <c r="J502" i="1"/>
  <c r="K502" i="1" s="1"/>
  <c r="H502" i="1"/>
  <c r="I502" i="1" s="1"/>
  <c r="V501" i="1"/>
  <c r="W501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H501" i="1"/>
  <c r="I501" i="1" s="1"/>
  <c r="V500" i="1"/>
  <c r="W500" i="1" s="1"/>
  <c r="T500" i="1"/>
  <c r="U500" i="1" s="1"/>
  <c r="R500" i="1"/>
  <c r="S500" i="1" s="1"/>
  <c r="P500" i="1"/>
  <c r="Q500" i="1" s="1"/>
  <c r="N500" i="1"/>
  <c r="O500" i="1" s="1"/>
  <c r="L500" i="1"/>
  <c r="M500" i="1" s="1"/>
  <c r="J500" i="1"/>
  <c r="K500" i="1" s="1"/>
  <c r="H500" i="1"/>
  <c r="I500" i="1" s="1"/>
  <c r="T499" i="1"/>
  <c r="V499" i="1"/>
  <c r="R499" i="1"/>
  <c r="P499" i="1"/>
  <c r="N499" i="1"/>
  <c r="V492" i="1"/>
  <c r="W492" i="1" s="1"/>
  <c r="T492" i="1"/>
  <c r="U492" i="1" s="1"/>
  <c r="R492" i="1"/>
  <c r="S492" i="1" s="1"/>
  <c r="P492" i="1"/>
  <c r="Q492" i="1" s="1"/>
  <c r="N492" i="1"/>
  <c r="O492" i="1" s="1"/>
  <c r="L492" i="1"/>
  <c r="M492" i="1" s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V494" i="1"/>
  <c r="W494" i="1" s="1"/>
  <c r="T494" i="1"/>
  <c r="U494" i="1" s="1"/>
  <c r="R494" i="1"/>
  <c r="S494" i="1" s="1"/>
  <c r="P494" i="1"/>
  <c r="Q494" i="1" s="1"/>
  <c r="N494" i="1"/>
  <c r="O494" i="1" s="1"/>
  <c r="L494" i="1"/>
  <c r="M494" i="1" s="1"/>
  <c r="V495" i="1"/>
  <c r="W495" i="1" s="1"/>
  <c r="T495" i="1"/>
  <c r="U495" i="1" s="1"/>
  <c r="R495" i="1"/>
  <c r="S495" i="1" s="1"/>
  <c r="P495" i="1"/>
  <c r="Q495" i="1" s="1"/>
  <c r="N495" i="1"/>
  <c r="O495" i="1" s="1"/>
  <c r="L495" i="1"/>
  <c r="M495" i="1" s="1"/>
  <c r="V497" i="1"/>
  <c r="W497" i="1" s="1"/>
  <c r="T497" i="1"/>
  <c r="U497" i="1" s="1"/>
  <c r="R497" i="1"/>
  <c r="S497" i="1" s="1"/>
  <c r="P497" i="1"/>
  <c r="Q497" i="1" s="1"/>
  <c r="N497" i="1"/>
  <c r="O497" i="1" s="1"/>
  <c r="L497" i="1"/>
  <c r="M497" i="1" s="1"/>
  <c r="H499" i="1"/>
  <c r="J499" i="1"/>
  <c r="L499" i="1"/>
  <c r="V498" i="1"/>
  <c r="N498" i="1"/>
  <c r="L498" i="1"/>
  <c r="P498" i="1"/>
  <c r="R498" i="1"/>
  <c r="T498" i="1"/>
  <c r="V444" i="1" l="1"/>
  <c r="W444" i="1" s="1"/>
  <c r="V445" i="1"/>
  <c r="W445" i="1" s="1"/>
  <c r="T444" i="1"/>
  <c r="R444" i="1"/>
  <c r="P444" i="1"/>
  <c r="N444" i="1"/>
  <c r="T445" i="1"/>
  <c r="R445" i="1"/>
  <c r="P445" i="1"/>
  <c r="N445" i="1"/>
  <c r="L445" i="1"/>
  <c r="J445" i="1"/>
  <c r="H445" i="1"/>
  <c r="N358" i="1"/>
  <c r="O358" i="1" s="1"/>
  <c r="L358" i="1"/>
  <c r="M358" i="1" s="1"/>
  <c r="J358" i="1"/>
  <c r="K358" i="1" s="1"/>
  <c r="H358" i="1"/>
  <c r="I358" i="1" s="1"/>
  <c r="L410" i="1"/>
  <c r="M410" i="1" s="1"/>
  <c r="N410" i="1"/>
  <c r="O410" i="1" s="1"/>
  <c r="P410" i="1"/>
  <c r="Q410" i="1" s="1"/>
  <c r="R410" i="1"/>
  <c r="S410" i="1" s="1"/>
  <c r="T410" i="1"/>
  <c r="U410" i="1" s="1"/>
  <c r="V410" i="1"/>
  <c r="W410" i="1" s="1"/>
  <c r="V381" i="1"/>
  <c r="W381" i="1" s="1"/>
  <c r="T381" i="1"/>
  <c r="U381" i="1" s="1"/>
  <c r="R381" i="1"/>
  <c r="S381" i="1" s="1"/>
  <c r="P381" i="1"/>
  <c r="Q381" i="1" s="1"/>
  <c r="N381" i="1"/>
  <c r="O381" i="1" s="1"/>
  <c r="L381" i="1"/>
  <c r="M381" i="1" s="1"/>
  <c r="V375" i="1"/>
  <c r="W375" i="1" s="1"/>
  <c r="T375" i="1"/>
  <c r="U375" i="1" s="1"/>
  <c r="R375" i="1"/>
  <c r="S375" i="1" s="1"/>
  <c r="P375" i="1"/>
  <c r="Q375" i="1" s="1"/>
  <c r="N375" i="1"/>
  <c r="O375" i="1" s="1"/>
  <c r="L375" i="1"/>
  <c r="M375" i="1" s="1"/>
  <c r="J329" i="1"/>
  <c r="V329" i="1"/>
  <c r="W329" i="1" s="1"/>
  <c r="T329" i="1"/>
  <c r="U329" i="1" s="1"/>
  <c r="R329" i="1"/>
  <c r="S329" i="1" s="1"/>
  <c r="P329" i="1"/>
  <c r="Q329" i="1" s="1"/>
  <c r="N329" i="1"/>
  <c r="O329" i="1" s="1"/>
  <c r="L329" i="1"/>
  <c r="M329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H304" i="1"/>
  <c r="I304" i="1" s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J303" i="1"/>
  <c r="K303" i="1" s="1"/>
  <c r="H303" i="1"/>
  <c r="I303" i="1" s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J302" i="1"/>
  <c r="K302" i="1" s="1"/>
  <c r="H302" i="1"/>
  <c r="I302" i="1" s="1"/>
  <c r="V301" i="1"/>
  <c r="W301" i="1" s="1"/>
  <c r="T301" i="1"/>
  <c r="U301" i="1" s="1"/>
  <c r="R301" i="1"/>
  <c r="S301" i="1" s="1"/>
  <c r="P301" i="1"/>
  <c r="Q301" i="1" s="1"/>
  <c r="N301" i="1"/>
  <c r="O301" i="1" s="1"/>
  <c r="L301" i="1"/>
  <c r="M301" i="1" s="1"/>
  <c r="J301" i="1"/>
  <c r="K301" i="1" s="1"/>
  <c r="H301" i="1"/>
  <c r="I301" i="1" s="1"/>
  <c r="V300" i="1"/>
  <c r="W300" i="1" s="1"/>
  <c r="T300" i="1"/>
  <c r="U300" i="1" s="1"/>
  <c r="R300" i="1"/>
  <c r="S300" i="1" s="1"/>
  <c r="P300" i="1"/>
  <c r="Q300" i="1" s="1"/>
  <c r="N300" i="1"/>
  <c r="O300" i="1" s="1"/>
  <c r="L300" i="1"/>
  <c r="M300" i="1" s="1"/>
  <c r="J300" i="1"/>
  <c r="K300" i="1" s="1"/>
  <c r="H300" i="1"/>
  <c r="I300" i="1" s="1"/>
  <c r="V297" i="1"/>
  <c r="W297" i="1" s="1"/>
  <c r="T297" i="1"/>
  <c r="U297" i="1" s="1"/>
  <c r="R297" i="1"/>
  <c r="S297" i="1" s="1"/>
  <c r="P297" i="1"/>
  <c r="Q297" i="1" s="1"/>
  <c r="N297" i="1"/>
  <c r="O297" i="1" s="1"/>
  <c r="L297" i="1"/>
  <c r="M297" i="1" s="1"/>
  <c r="J297" i="1"/>
  <c r="K297" i="1" s="1"/>
  <c r="H297" i="1"/>
  <c r="I297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J311" i="1"/>
  <c r="K311" i="1" s="1"/>
  <c r="H311" i="1"/>
  <c r="I311" i="1" s="1"/>
  <c r="V322" i="1"/>
  <c r="W322" i="1" s="1"/>
  <c r="T322" i="1"/>
  <c r="U322" i="1" s="1"/>
  <c r="R322" i="1"/>
  <c r="S322" i="1" s="1"/>
  <c r="P322" i="1"/>
  <c r="Q322" i="1" s="1"/>
  <c r="N322" i="1"/>
  <c r="O322" i="1" s="1"/>
  <c r="L322" i="1"/>
  <c r="M322" i="1" s="1"/>
  <c r="J322" i="1"/>
  <c r="K322" i="1" s="1"/>
  <c r="H322" i="1"/>
  <c r="I322" i="1" s="1"/>
  <c r="V323" i="1"/>
  <c r="W323" i="1" s="1"/>
  <c r="T323" i="1"/>
  <c r="U323" i="1" s="1"/>
  <c r="R323" i="1"/>
  <c r="S323" i="1" s="1"/>
  <c r="P323" i="1"/>
  <c r="Q323" i="1" s="1"/>
  <c r="N323" i="1"/>
  <c r="O323" i="1" s="1"/>
  <c r="L323" i="1"/>
  <c r="M323" i="1" s="1"/>
  <c r="J323" i="1"/>
  <c r="K323" i="1" s="1"/>
  <c r="H323" i="1"/>
  <c r="I323" i="1" s="1"/>
  <c r="V324" i="1"/>
  <c r="T324" i="1"/>
  <c r="R324" i="1"/>
  <c r="P324" i="1"/>
  <c r="N324" i="1"/>
  <c r="L324" i="1"/>
  <c r="J324" i="1"/>
  <c r="H324" i="1"/>
  <c r="V294" i="1"/>
  <c r="W294" i="1" s="1"/>
  <c r="T294" i="1"/>
  <c r="U294" i="1" s="1"/>
  <c r="R294" i="1"/>
  <c r="S294" i="1" s="1"/>
  <c r="P294" i="1"/>
  <c r="Q294" i="1" s="1"/>
  <c r="N294" i="1"/>
  <c r="O294" i="1" s="1"/>
  <c r="L294" i="1"/>
  <c r="M294" i="1" s="1"/>
  <c r="V293" i="1"/>
  <c r="W293" i="1" s="1"/>
  <c r="T293" i="1"/>
  <c r="U293" i="1" s="1"/>
  <c r="R293" i="1"/>
  <c r="S293" i="1" s="1"/>
  <c r="P293" i="1"/>
  <c r="Q293" i="1" s="1"/>
  <c r="N293" i="1"/>
  <c r="O293" i="1" s="1"/>
  <c r="L293" i="1"/>
  <c r="M293" i="1" s="1"/>
  <c r="V292" i="1"/>
  <c r="W292" i="1" s="1"/>
  <c r="T292" i="1"/>
  <c r="U292" i="1" s="1"/>
  <c r="R292" i="1"/>
  <c r="S292" i="1" s="1"/>
  <c r="P292" i="1"/>
  <c r="Q292" i="1" s="1"/>
  <c r="N292" i="1"/>
  <c r="O292" i="1" s="1"/>
  <c r="L292" i="1"/>
  <c r="M292" i="1" s="1"/>
  <c r="V288" i="1"/>
  <c r="T288" i="1"/>
  <c r="R288" i="1"/>
  <c r="P288" i="1"/>
  <c r="N288" i="1"/>
  <c r="L288" i="1"/>
  <c r="J288" i="1"/>
  <c r="H246" i="1"/>
  <c r="I246" i="1" s="1"/>
  <c r="J246" i="1"/>
  <c r="K246" i="1" s="1"/>
  <c r="L246" i="1"/>
  <c r="M246" i="1" s="1"/>
  <c r="N246" i="1"/>
  <c r="O246" i="1" s="1"/>
  <c r="P246" i="1"/>
  <c r="Q246" i="1" s="1"/>
  <c r="R246" i="1"/>
  <c r="S246" i="1" s="1"/>
  <c r="T246" i="1"/>
  <c r="U246" i="1" s="1"/>
  <c r="V246" i="1"/>
  <c r="W246" i="1" s="1"/>
  <c r="H249" i="1"/>
  <c r="I249" i="1" s="1"/>
  <c r="J249" i="1"/>
  <c r="K249" i="1" s="1"/>
  <c r="L249" i="1"/>
  <c r="M249" i="1" s="1"/>
  <c r="N249" i="1"/>
  <c r="O249" i="1" s="1"/>
  <c r="P249" i="1"/>
  <c r="Q249" i="1" s="1"/>
  <c r="R249" i="1"/>
  <c r="S249" i="1" s="1"/>
  <c r="T249" i="1"/>
  <c r="U249" i="1" s="1"/>
  <c r="V249" i="1"/>
  <c r="W249" i="1" s="1"/>
  <c r="V489" i="1"/>
  <c r="W489" i="1" s="1"/>
  <c r="T489" i="1"/>
  <c r="U489" i="1" s="1"/>
  <c r="R489" i="1"/>
  <c r="S489" i="1" s="1"/>
  <c r="P489" i="1"/>
  <c r="Q489" i="1" s="1"/>
  <c r="N489" i="1"/>
  <c r="O489" i="1" s="1"/>
  <c r="L489" i="1"/>
  <c r="M489" i="1" s="1"/>
  <c r="J489" i="1"/>
  <c r="K489" i="1" s="1"/>
  <c r="G465" i="1"/>
  <c r="G464" i="1"/>
  <c r="G463" i="1"/>
  <c r="G462" i="1" l="1"/>
  <c r="V189" i="1"/>
  <c r="W189" i="1" s="1"/>
  <c r="T189" i="1"/>
  <c r="U189" i="1" s="1"/>
  <c r="R189" i="1"/>
  <c r="S189" i="1" s="1"/>
  <c r="P189" i="1"/>
  <c r="Q189" i="1" s="1"/>
  <c r="N189" i="1"/>
  <c r="O189" i="1" s="1"/>
  <c r="L189" i="1"/>
  <c r="M189" i="1" s="1"/>
  <c r="J228" i="1"/>
  <c r="N228" i="1"/>
  <c r="L228" i="1"/>
  <c r="L229" i="1"/>
  <c r="N243" i="1"/>
  <c r="L243" i="1"/>
  <c r="J243" i="1"/>
  <c r="P243" i="1"/>
  <c r="R243" i="1"/>
  <c r="T243" i="1"/>
  <c r="V243" i="1"/>
  <c r="H243" i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V224" i="1"/>
  <c r="W224" i="1" s="1"/>
  <c r="T224" i="1"/>
  <c r="U224" i="1" s="1"/>
  <c r="R224" i="1"/>
  <c r="S224" i="1" s="1"/>
  <c r="P224" i="1"/>
  <c r="Q224" i="1" s="1"/>
  <c r="N224" i="1"/>
  <c r="O224" i="1" s="1"/>
  <c r="L224" i="1"/>
  <c r="M224" i="1" s="1"/>
  <c r="J224" i="1"/>
  <c r="K224" i="1" s="1"/>
  <c r="V223" i="1"/>
  <c r="W223" i="1" s="1"/>
  <c r="T223" i="1"/>
  <c r="U223" i="1" s="1"/>
  <c r="R223" i="1"/>
  <c r="S223" i="1" s="1"/>
  <c r="P223" i="1"/>
  <c r="Q223" i="1" s="1"/>
  <c r="N223" i="1"/>
  <c r="O223" i="1" s="1"/>
  <c r="L223" i="1"/>
  <c r="M223" i="1" s="1"/>
  <c r="J223" i="1"/>
  <c r="K223" i="1" s="1"/>
  <c r="V222" i="1"/>
  <c r="W222" i="1" s="1"/>
  <c r="T222" i="1"/>
  <c r="U222" i="1" s="1"/>
  <c r="R222" i="1"/>
  <c r="S222" i="1" s="1"/>
  <c r="P222" i="1"/>
  <c r="Q222" i="1" s="1"/>
  <c r="N222" i="1"/>
  <c r="O222" i="1" s="1"/>
  <c r="L222" i="1"/>
  <c r="M222" i="1" s="1"/>
  <c r="J222" i="1"/>
  <c r="K222" i="1" s="1"/>
  <c r="V221" i="1"/>
  <c r="W221" i="1" s="1"/>
  <c r="T221" i="1"/>
  <c r="U221" i="1" s="1"/>
  <c r="R221" i="1"/>
  <c r="S221" i="1" s="1"/>
  <c r="P221" i="1"/>
  <c r="Q221" i="1" s="1"/>
  <c r="N221" i="1"/>
  <c r="O221" i="1" s="1"/>
  <c r="L221" i="1"/>
  <c r="M221" i="1" s="1"/>
  <c r="J221" i="1"/>
  <c r="K221" i="1" s="1"/>
  <c r="V215" i="1"/>
  <c r="W215" i="1" s="1"/>
  <c r="T215" i="1"/>
  <c r="U215" i="1" s="1"/>
  <c r="R215" i="1"/>
  <c r="S215" i="1" s="1"/>
  <c r="P215" i="1"/>
  <c r="Q215" i="1" s="1"/>
  <c r="N215" i="1"/>
  <c r="O215" i="1" s="1"/>
  <c r="V217" i="1"/>
  <c r="W217" i="1" s="1"/>
  <c r="T217" i="1"/>
  <c r="U217" i="1" s="1"/>
  <c r="V216" i="1"/>
  <c r="W216" i="1" s="1"/>
  <c r="T216" i="1"/>
  <c r="U216" i="1" s="1"/>
  <c r="V214" i="1"/>
  <c r="W214" i="1" s="1"/>
  <c r="T214" i="1"/>
  <c r="U214" i="1" s="1"/>
  <c r="R214" i="1"/>
  <c r="S214" i="1" s="1"/>
  <c r="P214" i="1"/>
  <c r="Q214" i="1" s="1"/>
  <c r="N214" i="1"/>
  <c r="O214" i="1" s="1"/>
  <c r="L214" i="1"/>
  <c r="M214" i="1" s="1"/>
  <c r="J214" i="1"/>
  <c r="K214" i="1" s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J212" i="1"/>
  <c r="K212" i="1" s="1"/>
  <c r="V195" i="1"/>
  <c r="T195" i="1"/>
  <c r="T191" i="1"/>
  <c r="T192" i="1"/>
  <c r="T193" i="1"/>
  <c r="T194" i="1"/>
  <c r="V191" i="1"/>
  <c r="V192" i="1"/>
  <c r="V193" i="1"/>
  <c r="V194" i="1"/>
  <c r="V190" i="1"/>
  <c r="T190" i="1"/>
  <c r="R195" i="1"/>
  <c r="R191" i="1"/>
  <c r="R192" i="1"/>
  <c r="R193" i="1"/>
  <c r="R194" i="1"/>
  <c r="R190" i="1"/>
  <c r="P195" i="1"/>
  <c r="P191" i="1"/>
  <c r="Q191" i="1" s="1"/>
  <c r="P192" i="1"/>
  <c r="Q192" i="1" s="1"/>
  <c r="P193" i="1"/>
  <c r="Q193" i="1" s="1"/>
  <c r="P194" i="1"/>
  <c r="Q194" i="1" s="1"/>
  <c r="P190" i="1"/>
  <c r="N195" i="1"/>
  <c r="N191" i="1"/>
  <c r="N192" i="1"/>
  <c r="N193" i="1"/>
  <c r="N194" i="1"/>
  <c r="N190" i="1"/>
  <c r="L195" i="1"/>
  <c r="L191" i="1"/>
  <c r="L192" i="1"/>
  <c r="L193" i="1"/>
  <c r="L194" i="1"/>
  <c r="L190" i="1"/>
  <c r="V188" i="1"/>
  <c r="W188" i="1" s="1"/>
  <c r="T188" i="1"/>
  <c r="U188" i="1" s="1"/>
  <c r="R188" i="1"/>
  <c r="S188" i="1" s="1"/>
  <c r="P188" i="1"/>
  <c r="Q188" i="1" s="1"/>
  <c r="N188" i="1"/>
  <c r="O188" i="1" s="1"/>
  <c r="V187" i="1"/>
  <c r="W187" i="1" s="1"/>
  <c r="T187" i="1"/>
  <c r="U187" i="1" s="1"/>
  <c r="R187" i="1"/>
  <c r="S187" i="1" s="1"/>
  <c r="P187" i="1"/>
  <c r="Q187" i="1" s="1"/>
  <c r="N187" i="1"/>
  <c r="O187" i="1" s="1"/>
  <c r="V186" i="1"/>
  <c r="W186" i="1" s="1"/>
  <c r="T186" i="1"/>
  <c r="U186" i="1" s="1"/>
  <c r="R186" i="1"/>
  <c r="S186" i="1" s="1"/>
  <c r="P186" i="1"/>
  <c r="Q186" i="1" s="1"/>
  <c r="N186" i="1"/>
  <c r="O186" i="1" s="1"/>
  <c r="T185" i="1"/>
  <c r="V185" i="1"/>
  <c r="R185" i="1"/>
  <c r="P185" i="1"/>
  <c r="N185" i="1"/>
  <c r="V128" i="1" l="1"/>
  <c r="T128" i="1"/>
  <c r="R128" i="1"/>
  <c r="P128" i="1"/>
  <c r="N128" i="1"/>
  <c r="L128" i="1"/>
  <c r="V162" i="1"/>
  <c r="W162" i="1" s="1"/>
  <c r="T162" i="1"/>
  <c r="U162" i="1" s="1"/>
  <c r="R162" i="1"/>
  <c r="S162" i="1" s="1"/>
  <c r="P162" i="1"/>
  <c r="Q162" i="1" s="1"/>
  <c r="N162" i="1"/>
  <c r="O162" i="1" s="1"/>
  <c r="L162" i="1"/>
  <c r="M162" i="1" s="1"/>
  <c r="J162" i="1"/>
  <c r="K162" i="1" s="1"/>
  <c r="V127" i="1"/>
  <c r="W127" i="1" s="1"/>
  <c r="T127" i="1"/>
  <c r="U127" i="1" s="1"/>
  <c r="R127" i="1"/>
  <c r="S127" i="1" s="1"/>
  <c r="P127" i="1"/>
  <c r="Q127" i="1" s="1"/>
  <c r="N127" i="1"/>
  <c r="O127" i="1" s="1"/>
  <c r="L127" i="1"/>
  <c r="M127" i="1" s="1"/>
  <c r="J127" i="1"/>
  <c r="K127" i="1" s="1"/>
  <c r="V105" i="1"/>
  <c r="W105" i="1" s="1"/>
  <c r="T105" i="1"/>
  <c r="U105" i="1" s="1"/>
  <c r="R105" i="1"/>
  <c r="S105" i="1" s="1"/>
  <c r="P105" i="1"/>
  <c r="Q105" i="1" s="1"/>
  <c r="N105" i="1"/>
  <c r="O105" i="1" s="1"/>
  <c r="L105" i="1"/>
  <c r="M105" i="1" s="1"/>
  <c r="J105" i="1"/>
  <c r="K105" i="1" s="1"/>
  <c r="L95" i="1"/>
  <c r="J95" i="1"/>
  <c r="J98" i="1"/>
  <c r="T97" i="1"/>
  <c r="V97" i="1"/>
  <c r="R97" i="1"/>
  <c r="P97" i="1"/>
  <c r="N97" i="1"/>
  <c r="J97" i="1"/>
  <c r="L97" i="1"/>
  <c r="G328" i="1" l="1"/>
  <c r="F263" i="1" l="1"/>
  <c r="F264" i="1"/>
  <c r="V263" i="1" l="1"/>
  <c r="W263" i="1" s="1"/>
  <c r="J263" i="1"/>
  <c r="K263" i="1" s="1"/>
  <c r="L263" i="1"/>
  <c r="M263" i="1" s="1"/>
  <c r="N263" i="1"/>
  <c r="O263" i="1" s="1"/>
  <c r="P263" i="1"/>
  <c r="Q263" i="1" s="1"/>
  <c r="H263" i="1"/>
  <c r="I263" i="1" s="1"/>
  <c r="R263" i="1"/>
  <c r="S263" i="1" s="1"/>
  <c r="T263" i="1"/>
  <c r="U263" i="1" s="1"/>
  <c r="V264" i="1"/>
  <c r="W264" i="1" s="1"/>
  <c r="H264" i="1"/>
  <c r="I264" i="1" s="1"/>
  <c r="J264" i="1"/>
  <c r="K264" i="1" s="1"/>
  <c r="L264" i="1"/>
  <c r="M264" i="1" s="1"/>
  <c r="N264" i="1"/>
  <c r="O264" i="1" s="1"/>
  <c r="P264" i="1"/>
  <c r="Q264" i="1" s="1"/>
  <c r="R264" i="1"/>
  <c r="S264" i="1" s="1"/>
  <c r="T264" i="1"/>
  <c r="U264" i="1" s="1"/>
  <c r="G264" i="1"/>
  <c r="G263" i="1"/>
  <c r="F309" i="1"/>
  <c r="F607" i="1"/>
  <c r="F611" i="1"/>
  <c r="H607" i="1" l="1"/>
  <c r="I607" i="1" s="1"/>
  <c r="N607" i="1"/>
  <c r="O607" i="1" s="1"/>
  <c r="L607" i="1"/>
  <c r="M607" i="1" s="1"/>
  <c r="T607" i="1"/>
  <c r="U607" i="1" s="1"/>
  <c r="V607" i="1"/>
  <c r="W607" i="1" s="1"/>
  <c r="P607" i="1"/>
  <c r="Q607" i="1" s="1"/>
  <c r="R607" i="1"/>
  <c r="S607" i="1" s="1"/>
  <c r="J607" i="1"/>
  <c r="K607" i="1" s="1"/>
  <c r="H611" i="1"/>
  <c r="I611" i="1" s="1"/>
  <c r="N611" i="1"/>
  <c r="O611" i="1" s="1"/>
  <c r="L611" i="1"/>
  <c r="M611" i="1" s="1"/>
  <c r="T611" i="1"/>
  <c r="U611" i="1" s="1"/>
  <c r="V611" i="1"/>
  <c r="W611" i="1" s="1"/>
  <c r="J611" i="1"/>
  <c r="K611" i="1" s="1"/>
  <c r="P611" i="1"/>
  <c r="Q611" i="1" s="1"/>
  <c r="R611" i="1"/>
  <c r="S611" i="1" s="1"/>
  <c r="N309" i="1"/>
  <c r="O309" i="1" s="1"/>
  <c r="L309" i="1"/>
  <c r="M309" i="1" s="1"/>
  <c r="J309" i="1"/>
  <c r="K309" i="1" s="1"/>
  <c r="H309" i="1"/>
  <c r="I309" i="1" s="1"/>
  <c r="V309" i="1"/>
  <c r="W309" i="1" s="1"/>
  <c r="T309" i="1"/>
  <c r="U309" i="1" s="1"/>
  <c r="R309" i="1"/>
  <c r="S309" i="1" s="1"/>
  <c r="P309" i="1"/>
  <c r="Q309" i="1" s="1"/>
  <c r="F174" i="1"/>
  <c r="F131" i="1"/>
  <c r="N174" i="1" l="1"/>
  <c r="O174" i="1" s="1"/>
  <c r="L174" i="1"/>
  <c r="M174" i="1" s="1"/>
  <c r="J174" i="1"/>
  <c r="K174" i="1" s="1"/>
  <c r="R174" i="1"/>
  <c r="S174" i="1" s="1"/>
  <c r="H174" i="1"/>
  <c r="I174" i="1" s="1"/>
  <c r="P174" i="1"/>
  <c r="Q174" i="1" s="1"/>
  <c r="V174" i="1"/>
  <c r="W174" i="1" s="1"/>
  <c r="T174" i="1"/>
  <c r="U174" i="1" s="1"/>
  <c r="N131" i="1"/>
  <c r="O131" i="1" s="1"/>
  <c r="L131" i="1"/>
  <c r="M131" i="1" s="1"/>
  <c r="J131" i="1"/>
  <c r="V131" i="1"/>
  <c r="W131" i="1" s="1"/>
  <c r="T131" i="1"/>
  <c r="U131" i="1" s="1"/>
  <c r="R131" i="1"/>
  <c r="S131" i="1" s="1"/>
  <c r="P131" i="1"/>
  <c r="Q131" i="1" s="1"/>
  <c r="G174" i="1"/>
  <c r="L27" i="1" l="1"/>
  <c r="N27" i="1"/>
  <c r="P27" i="1"/>
  <c r="R27" i="1"/>
  <c r="T27" i="1"/>
  <c r="H19" i="1"/>
  <c r="I19" i="1" s="1"/>
  <c r="H20" i="1"/>
  <c r="I20" i="1" s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H67" i="1"/>
  <c r="V67" i="1"/>
  <c r="W67" i="1" s="1"/>
  <c r="T67" i="1"/>
  <c r="U67" i="1" s="1"/>
  <c r="R67" i="1"/>
  <c r="S67" i="1" s="1"/>
  <c r="P67" i="1"/>
  <c r="Q67" i="1" s="1"/>
  <c r="N67" i="1"/>
  <c r="O67" i="1" s="1"/>
  <c r="L67" i="1"/>
  <c r="M67" i="1" s="1"/>
  <c r="J67" i="1"/>
  <c r="K67" i="1" s="1"/>
  <c r="V64" i="1"/>
  <c r="W64" i="1" s="1"/>
  <c r="T64" i="1"/>
  <c r="U64" i="1" s="1"/>
  <c r="R64" i="1"/>
  <c r="S64" i="1" s="1"/>
  <c r="P64" i="1"/>
  <c r="Q64" i="1" s="1"/>
  <c r="N64" i="1"/>
  <c r="O64" i="1" s="1"/>
  <c r="V63" i="1"/>
  <c r="W63" i="1" s="1"/>
  <c r="T63" i="1"/>
  <c r="U63" i="1" s="1"/>
  <c r="R63" i="1"/>
  <c r="S63" i="1" s="1"/>
  <c r="P63" i="1"/>
  <c r="Q63" i="1" s="1"/>
  <c r="N63" i="1"/>
  <c r="O63" i="1" s="1"/>
  <c r="V57" i="1"/>
  <c r="W57" i="1" s="1"/>
  <c r="T57" i="1"/>
  <c r="U57" i="1" s="1"/>
  <c r="R57" i="1"/>
  <c r="S57" i="1" s="1"/>
  <c r="P57" i="1"/>
  <c r="Q57" i="1" s="1"/>
  <c r="N57" i="1"/>
  <c r="O57" i="1" s="1"/>
  <c r="L57" i="1"/>
  <c r="M57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148" i="1"/>
  <c r="W148" i="1" s="1"/>
  <c r="T148" i="1"/>
  <c r="U148" i="1" s="1"/>
  <c r="R148" i="1"/>
  <c r="S148" i="1" s="1"/>
  <c r="P148" i="1"/>
  <c r="Q148" i="1" s="1"/>
  <c r="N148" i="1"/>
  <c r="O148" i="1" s="1"/>
  <c r="L148" i="1"/>
  <c r="M148" i="1" s="1"/>
  <c r="J148" i="1"/>
  <c r="K148" i="1" s="1"/>
  <c r="V147" i="1"/>
  <c r="W147" i="1" s="1"/>
  <c r="T147" i="1"/>
  <c r="U147" i="1" s="1"/>
  <c r="R147" i="1"/>
  <c r="S147" i="1" s="1"/>
  <c r="P147" i="1"/>
  <c r="Q147" i="1" s="1"/>
  <c r="N147" i="1"/>
  <c r="O147" i="1" s="1"/>
  <c r="L147" i="1"/>
  <c r="M147" i="1" s="1"/>
  <c r="J147" i="1"/>
  <c r="K147" i="1" s="1"/>
  <c r="V144" i="1"/>
  <c r="T144" i="1"/>
  <c r="F513" i="1" l="1"/>
  <c r="F512" i="1"/>
  <c r="T512" i="1" l="1"/>
  <c r="U512" i="1" s="1"/>
  <c r="L512" i="1"/>
  <c r="M512" i="1" s="1"/>
  <c r="R512" i="1"/>
  <c r="S512" i="1" s="1"/>
  <c r="J512" i="1"/>
  <c r="K512" i="1" s="1"/>
  <c r="P512" i="1"/>
  <c r="Q512" i="1" s="1"/>
  <c r="N512" i="1"/>
  <c r="O512" i="1" s="1"/>
  <c r="H512" i="1"/>
  <c r="I512" i="1" s="1"/>
  <c r="V512" i="1"/>
  <c r="W512" i="1" s="1"/>
  <c r="V513" i="1"/>
  <c r="W513" i="1" s="1"/>
  <c r="P513" i="1"/>
  <c r="Q513" i="1" s="1"/>
  <c r="T513" i="1"/>
  <c r="U513" i="1" s="1"/>
  <c r="J513" i="1"/>
  <c r="K513" i="1" s="1"/>
  <c r="N513" i="1"/>
  <c r="O513" i="1" s="1"/>
  <c r="R513" i="1"/>
  <c r="S513" i="1" s="1"/>
  <c r="L513" i="1"/>
  <c r="M513" i="1" s="1"/>
  <c r="H513" i="1"/>
  <c r="I513" i="1" s="1"/>
  <c r="G513" i="1"/>
  <c r="G512" i="1"/>
  <c r="R144" i="1"/>
  <c r="P144" i="1"/>
  <c r="N144" i="1"/>
  <c r="L144" i="1"/>
  <c r="V143" i="1"/>
  <c r="T143" i="1"/>
  <c r="R143" i="1"/>
  <c r="P143" i="1"/>
  <c r="N143" i="1"/>
  <c r="L143" i="1"/>
  <c r="J143" i="1"/>
  <c r="J144" i="1"/>
  <c r="V56" i="1"/>
  <c r="T56" i="1"/>
  <c r="R56" i="1"/>
  <c r="P56" i="1"/>
  <c r="N56" i="1"/>
  <c r="L56" i="1"/>
  <c r="J56" i="1"/>
  <c r="G657" i="1" l="1"/>
  <c r="G656" i="1"/>
  <c r="G658" i="1"/>
  <c r="G659" i="1"/>
  <c r="G660" i="1"/>
  <c r="G661" i="1"/>
  <c r="G662" i="1"/>
  <c r="G663" i="1"/>
  <c r="F442" i="1" l="1"/>
  <c r="T442" i="1" l="1"/>
  <c r="U442" i="1" s="1"/>
  <c r="J442" i="1"/>
  <c r="K442" i="1" s="1"/>
  <c r="N442" i="1"/>
  <c r="O442" i="1" s="1"/>
  <c r="H442" i="1"/>
  <c r="I442" i="1" s="1"/>
  <c r="R442" i="1"/>
  <c r="S442" i="1" s="1"/>
  <c r="L442" i="1"/>
  <c r="M442" i="1" s="1"/>
  <c r="V442" i="1"/>
  <c r="W442" i="1" s="1"/>
  <c r="P442" i="1"/>
  <c r="Q442" i="1" s="1"/>
  <c r="G442" i="1"/>
  <c r="F619" i="1"/>
  <c r="L619" i="1" l="1"/>
  <c r="M619" i="1" s="1"/>
  <c r="R619" i="1"/>
  <c r="S619" i="1" s="1"/>
  <c r="H619" i="1"/>
  <c r="I619" i="1" s="1"/>
  <c r="N619" i="1"/>
  <c r="O619" i="1" s="1"/>
  <c r="J619" i="1"/>
  <c r="K619" i="1" s="1"/>
  <c r="P619" i="1"/>
  <c r="Q619" i="1" s="1"/>
  <c r="T619" i="1"/>
  <c r="U619" i="1" s="1"/>
  <c r="V619" i="1"/>
  <c r="W619" i="1" s="1"/>
  <c r="G619" i="1"/>
  <c r="F368" i="1"/>
  <c r="F443" i="1"/>
  <c r="F441" i="1"/>
  <c r="F438" i="1"/>
  <c r="R443" i="1" l="1"/>
  <c r="S443" i="1" s="1"/>
  <c r="L443" i="1"/>
  <c r="M443" i="1" s="1"/>
  <c r="V443" i="1"/>
  <c r="W443" i="1" s="1"/>
  <c r="J443" i="1"/>
  <c r="K443" i="1" s="1"/>
  <c r="T443" i="1"/>
  <c r="U443" i="1" s="1"/>
  <c r="P443" i="1"/>
  <c r="Q443" i="1" s="1"/>
  <c r="N443" i="1"/>
  <c r="O443" i="1" s="1"/>
  <c r="L441" i="1"/>
  <c r="M441" i="1" s="1"/>
  <c r="H441" i="1"/>
  <c r="I441" i="1" s="1"/>
  <c r="R441" i="1"/>
  <c r="S441" i="1" s="1"/>
  <c r="J441" i="1"/>
  <c r="K441" i="1" s="1"/>
  <c r="V441" i="1"/>
  <c r="W441" i="1" s="1"/>
  <c r="P441" i="1"/>
  <c r="Q441" i="1" s="1"/>
  <c r="T441" i="1"/>
  <c r="U441" i="1" s="1"/>
  <c r="N441" i="1"/>
  <c r="O441" i="1" s="1"/>
  <c r="T438" i="1"/>
  <c r="U438" i="1" s="1"/>
  <c r="N438" i="1"/>
  <c r="O438" i="1" s="1"/>
  <c r="H438" i="1"/>
  <c r="I438" i="1" s="1"/>
  <c r="L438" i="1"/>
  <c r="M438" i="1" s="1"/>
  <c r="R438" i="1"/>
  <c r="S438" i="1" s="1"/>
  <c r="V438" i="1"/>
  <c r="W438" i="1" s="1"/>
  <c r="P438" i="1"/>
  <c r="Q438" i="1" s="1"/>
  <c r="J438" i="1"/>
  <c r="K438" i="1" s="1"/>
  <c r="L368" i="1"/>
  <c r="M368" i="1" s="1"/>
  <c r="V368" i="1"/>
  <c r="W368" i="1" s="1"/>
  <c r="T368" i="1"/>
  <c r="U368" i="1" s="1"/>
  <c r="R368" i="1"/>
  <c r="S368" i="1" s="1"/>
  <c r="P368" i="1"/>
  <c r="Q368" i="1" s="1"/>
  <c r="N368" i="1"/>
  <c r="O368" i="1" s="1"/>
  <c r="G368" i="1"/>
  <c r="G441" i="1"/>
  <c r="G438" i="1"/>
  <c r="F242" i="1" l="1"/>
  <c r="F372" i="1"/>
  <c r="P372" i="1" l="1"/>
  <c r="Q372" i="1" s="1"/>
  <c r="N372" i="1"/>
  <c r="O372" i="1" s="1"/>
  <c r="L372" i="1"/>
  <c r="M372" i="1" s="1"/>
  <c r="V372" i="1"/>
  <c r="W372" i="1" s="1"/>
  <c r="T372" i="1"/>
  <c r="U372" i="1" s="1"/>
  <c r="R372" i="1"/>
  <c r="S372" i="1" s="1"/>
  <c r="R242" i="1"/>
  <c r="S242" i="1" s="1"/>
  <c r="V242" i="1"/>
  <c r="W242" i="1" s="1"/>
  <c r="T242" i="1"/>
  <c r="U242" i="1" s="1"/>
  <c r="P242" i="1"/>
  <c r="Q242" i="1" s="1"/>
  <c r="N242" i="1"/>
  <c r="O242" i="1" s="1"/>
  <c r="L242" i="1"/>
  <c r="M242" i="1" s="1"/>
  <c r="J242" i="1"/>
  <c r="K242" i="1" s="1"/>
  <c r="H242" i="1"/>
  <c r="I242" i="1" s="1"/>
  <c r="F618" i="1"/>
  <c r="L618" i="1" l="1"/>
  <c r="M618" i="1" s="1"/>
  <c r="R618" i="1"/>
  <c r="S618" i="1" s="1"/>
  <c r="H618" i="1"/>
  <c r="I618" i="1" s="1"/>
  <c r="N618" i="1"/>
  <c r="O618" i="1" s="1"/>
  <c r="J618" i="1"/>
  <c r="K618" i="1" s="1"/>
  <c r="T618" i="1"/>
  <c r="U618" i="1" s="1"/>
  <c r="V618" i="1"/>
  <c r="W618" i="1" s="1"/>
  <c r="P618" i="1"/>
  <c r="Q618" i="1" s="1"/>
  <c r="G618" i="1"/>
  <c r="F352" i="1"/>
  <c r="N352" i="1" l="1"/>
  <c r="O352" i="1" s="1"/>
  <c r="P352" i="1"/>
  <c r="Q352" i="1" s="1"/>
  <c r="R352" i="1"/>
  <c r="S352" i="1" s="1"/>
  <c r="T352" i="1"/>
  <c r="U352" i="1" s="1"/>
  <c r="V352" i="1"/>
  <c r="W352" i="1" s="1"/>
  <c r="L352" i="1"/>
  <c r="M352" i="1" s="1"/>
  <c r="F103" i="1"/>
  <c r="R103" i="1" l="1"/>
  <c r="S103" i="1" s="1"/>
  <c r="P103" i="1"/>
  <c r="Q103" i="1" s="1"/>
  <c r="N103" i="1"/>
  <c r="O103" i="1" s="1"/>
  <c r="L103" i="1"/>
  <c r="M103" i="1" s="1"/>
  <c r="J103" i="1"/>
  <c r="K103" i="1" s="1"/>
  <c r="V103" i="1"/>
  <c r="W103" i="1" s="1"/>
  <c r="T103" i="1"/>
  <c r="U103" i="1" s="1"/>
  <c r="G103" i="1"/>
  <c r="F177" i="1"/>
  <c r="F178" i="1"/>
  <c r="G178" i="1" l="1"/>
  <c r="T178" i="1"/>
  <c r="U178" i="1" s="1"/>
  <c r="R178" i="1"/>
  <c r="S178" i="1" s="1"/>
  <c r="P178" i="1"/>
  <c r="Q178" i="1" s="1"/>
  <c r="N178" i="1"/>
  <c r="O178" i="1" s="1"/>
  <c r="L178" i="1"/>
  <c r="M178" i="1" s="1"/>
  <c r="J178" i="1"/>
  <c r="K178" i="1" s="1"/>
  <c r="H178" i="1"/>
  <c r="I178" i="1" s="1"/>
  <c r="V178" i="1"/>
  <c r="W178" i="1" s="1"/>
  <c r="R177" i="1"/>
  <c r="S177" i="1" s="1"/>
  <c r="P177" i="1"/>
  <c r="Q177" i="1" s="1"/>
  <c r="N177" i="1"/>
  <c r="O177" i="1" s="1"/>
  <c r="L177" i="1"/>
  <c r="M177" i="1" s="1"/>
  <c r="J177" i="1"/>
  <c r="K177" i="1" s="1"/>
  <c r="H177" i="1"/>
  <c r="I177" i="1" s="1"/>
  <c r="T177" i="1"/>
  <c r="U177" i="1" s="1"/>
  <c r="V177" i="1"/>
  <c r="W177" i="1" s="1"/>
  <c r="F171" i="1"/>
  <c r="R171" i="1" l="1"/>
  <c r="S171" i="1" s="1"/>
  <c r="P171" i="1"/>
  <c r="Q171" i="1" s="1"/>
  <c r="N171" i="1"/>
  <c r="O171" i="1" s="1"/>
  <c r="L171" i="1"/>
  <c r="M171" i="1" s="1"/>
  <c r="T171" i="1"/>
  <c r="U171" i="1" s="1"/>
  <c r="J171" i="1"/>
  <c r="K171" i="1" s="1"/>
  <c r="H171" i="1"/>
  <c r="I171" i="1" s="1"/>
  <c r="V171" i="1"/>
  <c r="W171" i="1" s="1"/>
  <c r="G171" i="1"/>
  <c r="F172" i="1"/>
  <c r="V172" i="1" l="1"/>
  <c r="W172" i="1" s="1"/>
  <c r="T172" i="1"/>
  <c r="U172" i="1" s="1"/>
  <c r="R172" i="1"/>
  <c r="S172" i="1" s="1"/>
  <c r="P172" i="1"/>
  <c r="Q172" i="1" s="1"/>
  <c r="N172" i="1"/>
  <c r="O172" i="1" s="1"/>
  <c r="L172" i="1"/>
  <c r="M172" i="1" s="1"/>
  <c r="J172" i="1"/>
  <c r="K172" i="1" s="1"/>
  <c r="H172" i="1"/>
  <c r="I172" i="1" s="1"/>
  <c r="G177" i="1"/>
  <c r="G172" i="1"/>
  <c r="F563" i="1"/>
  <c r="G303" i="1"/>
  <c r="F227" i="1"/>
  <c r="P563" i="1" l="1"/>
  <c r="Q563" i="1" s="1"/>
  <c r="T563" i="1"/>
  <c r="U563" i="1" s="1"/>
  <c r="N563" i="1"/>
  <c r="O563" i="1" s="1"/>
  <c r="V563" i="1"/>
  <c r="W563" i="1" s="1"/>
  <c r="L563" i="1"/>
  <c r="M563" i="1" s="1"/>
  <c r="R563" i="1"/>
  <c r="S563" i="1" s="1"/>
  <c r="R227" i="1"/>
  <c r="P227" i="1"/>
  <c r="N227" i="1"/>
  <c r="L227" i="1"/>
  <c r="J227" i="1"/>
  <c r="H227" i="1"/>
  <c r="V227" i="1"/>
  <c r="T227" i="1"/>
  <c r="G563" i="1"/>
  <c r="F565" i="1" l="1"/>
  <c r="T565" i="1" l="1"/>
  <c r="U565" i="1" s="1"/>
  <c r="L565" i="1"/>
  <c r="M565" i="1" s="1"/>
  <c r="R565" i="1"/>
  <c r="S565" i="1" s="1"/>
  <c r="N565" i="1"/>
  <c r="O565" i="1" s="1"/>
  <c r="V565" i="1"/>
  <c r="W565" i="1" s="1"/>
  <c r="P565" i="1"/>
  <c r="Q565" i="1" s="1"/>
  <c r="F413" i="1"/>
  <c r="F423" i="1"/>
  <c r="T423" i="1" l="1"/>
  <c r="U423" i="1" s="1"/>
  <c r="N423" i="1"/>
  <c r="O423" i="1" s="1"/>
  <c r="J423" i="1"/>
  <c r="K423" i="1" s="1"/>
  <c r="V423" i="1"/>
  <c r="W423" i="1" s="1"/>
  <c r="H423" i="1"/>
  <c r="I423" i="1" s="1"/>
  <c r="L423" i="1"/>
  <c r="M423" i="1" s="1"/>
  <c r="R423" i="1"/>
  <c r="S423" i="1" s="1"/>
  <c r="P423" i="1"/>
  <c r="Q423" i="1" s="1"/>
  <c r="L413" i="1"/>
  <c r="M413" i="1" s="1"/>
  <c r="N413" i="1"/>
  <c r="O413" i="1" s="1"/>
  <c r="P413" i="1"/>
  <c r="Q413" i="1" s="1"/>
  <c r="R413" i="1"/>
  <c r="S413" i="1" s="1"/>
  <c r="T413" i="1"/>
  <c r="U413" i="1" s="1"/>
  <c r="V413" i="1"/>
  <c r="W413" i="1" s="1"/>
  <c r="F601" i="1"/>
  <c r="H601" i="1" l="1"/>
  <c r="I601" i="1" s="1"/>
  <c r="L601" i="1"/>
  <c r="M601" i="1" s="1"/>
  <c r="P601" i="1"/>
  <c r="Q601" i="1" s="1"/>
  <c r="T601" i="1"/>
  <c r="U601" i="1" s="1"/>
  <c r="J601" i="1"/>
  <c r="K601" i="1" s="1"/>
  <c r="V601" i="1"/>
  <c r="W601" i="1" s="1"/>
  <c r="N601" i="1"/>
  <c r="O601" i="1" s="1"/>
  <c r="R601" i="1"/>
  <c r="S601" i="1" s="1"/>
  <c r="G601" i="1"/>
  <c r="F569" i="1" l="1"/>
  <c r="F437" i="1"/>
  <c r="F436" i="1"/>
  <c r="F201" i="1"/>
  <c r="V436" i="1" l="1"/>
  <c r="W436" i="1" s="1"/>
  <c r="P436" i="1"/>
  <c r="Q436" i="1" s="1"/>
  <c r="H436" i="1"/>
  <c r="I436" i="1" s="1"/>
  <c r="L436" i="1"/>
  <c r="M436" i="1" s="1"/>
  <c r="R436" i="1"/>
  <c r="S436" i="1" s="1"/>
  <c r="T436" i="1"/>
  <c r="U436" i="1" s="1"/>
  <c r="N436" i="1"/>
  <c r="O436" i="1" s="1"/>
  <c r="J436" i="1"/>
  <c r="K436" i="1" s="1"/>
  <c r="V437" i="1"/>
  <c r="W437" i="1" s="1"/>
  <c r="N437" i="1"/>
  <c r="O437" i="1" s="1"/>
  <c r="J437" i="1"/>
  <c r="K437" i="1" s="1"/>
  <c r="P437" i="1"/>
  <c r="Q437" i="1" s="1"/>
  <c r="T437" i="1"/>
  <c r="U437" i="1" s="1"/>
  <c r="L437" i="1"/>
  <c r="M437" i="1" s="1"/>
  <c r="R437" i="1"/>
  <c r="S437" i="1" s="1"/>
  <c r="H437" i="1"/>
  <c r="I437" i="1" s="1"/>
  <c r="R569" i="1"/>
  <c r="S569" i="1" s="1"/>
  <c r="V569" i="1"/>
  <c r="W569" i="1" s="1"/>
  <c r="P569" i="1"/>
  <c r="Q569" i="1" s="1"/>
  <c r="N569" i="1"/>
  <c r="O569" i="1" s="1"/>
  <c r="T569" i="1"/>
  <c r="U569" i="1" s="1"/>
  <c r="V201" i="1"/>
  <c r="W201" i="1" s="1"/>
  <c r="T201" i="1"/>
  <c r="U201" i="1" s="1"/>
  <c r="R201" i="1"/>
  <c r="S201" i="1" s="1"/>
  <c r="P201" i="1"/>
  <c r="Q201" i="1" s="1"/>
  <c r="N201" i="1"/>
  <c r="O201" i="1" s="1"/>
  <c r="L201" i="1"/>
  <c r="M201" i="1" s="1"/>
  <c r="J201" i="1"/>
  <c r="K201" i="1" s="1"/>
  <c r="H201" i="1"/>
  <c r="I201" i="1" s="1"/>
  <c r="G568" i="1"/>
  <c r="G437" i="1"/>
  <c r="G436" i="1"/>
  <c r="G201" i="1"/>
  <c r="F200" i="1"/>
  <c r="F272" i="1"/>
  <c r="F169" i="1"/>
  <c r="F170" i="1"/>
  <c r="L272" i="1" l="1"/>
  <c r="M272" i="1" s="1"/>
  <c r="N272" i="1"/>
  <c r="O272" i="1" s="1"/>
  <c r="P272" i="1"/>
  <c r="Q272" i="1" s="1"/>
  <c r="R272" i="1"/>
  <c r="S272" i="1" s="1"/>
  <c r="T272" i="1"/>
  <c r="U272" i="1" s="1"/>
  <c r="J272" i="1"/>
  <c r="K272" i="1" s="1"/>
  <c r="H272" i="1"/>
  <c r="I272" i="1" s="1"/>
  <c r="V272" i="1"/>
  <c r="W272" i="1" s="1"/>
  <c r="L170" i="1"/>
  <c r="M170" i="1" s="1"/>
  <c r="J170" i="1"/>
  <c r="K170" i="1" s="1"/>
  <c r="H170" i="1"/>
  <c r="I170" i="1" s="1"/>
  <c r="V170" i="1"/>
  <c r="W170" i="1" s="1"/>
  <c r="P170" i="1"/>
  <c r="Q170" i="1" s="1"/>
  <c r="T170" i="1"/>
  <c r="U170" i="1" s="1"/>
  <c r="R170" i="1"/>
  <c r="S170" i="1" s="1"/>
  <c r="N170" i="1"/>
  <c r="O170" i="1" s="1"/>
  <c r="N200" i="1"/>
  <c r="O200" i="1" s="1"/>
  <c r="V200" i="1"/>
  <c r="W200" i="1" s="1"/>
  <c r="T200" i="1"/>
  <c r="U200" i="1" s="1"/>
  <c r="R200" i="1"/>
  <c r="S200" i="1" s="1"/>
  <c r="P200" i="1"/>
  <c r="Q200" i="1" s="1"/>
  <c r="H200" i="1"/>
  <c r="I200" i="1" s="1"/>
  <c r="L200" i="1"/>
  <c r="M200" i="1" s="1"/>
  <c r="J200" i="1"/>
  <c r="K200" i="1" s="1"/>
  <c r="N169" i="1"/>
  <c r="O169" i="1" s="1"/>
  <c r="L169" i="1"/>
  <c r="M169" i="1" s="1"/>
  <c r="J169" i="1"/>
  <c r="K169" i="1" s="1"/>
  <c r="H169" i="1"/>
  <c r="I169" i="1" s="1"/>
  <c r="R169" i="1"/>
  <c r="S169" i="1" s="1"/>
  <c r="P169" i="1"/>
  <c r="Q169" i="1" s="1"/>
  <c r="V169" i="1"/>
  <c r="W169" i="1" s="1"/>
  <c r="T169" i="1"/>
  <c r="U169" i="1" s="1"/>
  <c r="G200" i="1"/>
  <c r="G272" i="1"/>
  <c r="G169" i="1"/>
  <c r="F683" i="1"/>
  <c r="F670" i="1"/>
  <c r="F687" i="1"/>
  <c r="F244" i="1"/>
  <c r="F245" i="1"/>
  <c r="F262" i="1"/>
  <c r="T683" i="1" l="1"/>
  <c r="L683" i="1"/>
  <c r="R683" i="1"/>
  <c r="J683" i="1"/>
  <c r="K683" i="1" s="1"/>
  <c r="P683" i="1"/>
  <c r="Q683" i="1" s="1"/>
  <c r="V683" i="1"/>
  <c r="W683" i="1" s="1"/>
  <c r="N683" i="1"/>
  <c r="O683" i="1" s="1"/>
  <c r="T687" i="1"/>
  <c r="U687" i="1" s="1"/>
  <c r="J687" i="1"/>
  <c r="K687" i="1" s="1"/>
  <c r="N687" i="1"/>
  <c r="O687" i="1" s="1"/>
  <c r="H687" i="1"/>
  <c r="I687" i="1" s="1"/>
  <c r="P687" i="1"/>
  <c r="Q687" i="1" s="1"/>
  <c r="R687" i="1"/>
  <c r="S687" i="1" s="1"/>
  <c r="L687" i="1"/>
  <c r="M687" i="1" s="1"/>
  <c r="V687" i="1"/>
  <c r="W687" i="1" s="1"/>
  <c r="V670" i="1"/>
  <c r="W670" i="1" s="1"/>
  <c r="J670" i="1"/>
  <c r="K670" i="1" s="1"/>
  <c r="T670" i="1"/>
  <c r="U670" i="1" s="1"/>
  <c r="L670" i="1"/>
  <c r="M670" i="1" s="1"/>
  <c r="P670" i="1"/>
  <c r="Q670" i="1" s="1"/>
  <c r="R670" i="1"/>
  <c r="N670" i="1"/>
  <c r="O670" i="1" s="1"/>
  <c r="V244" i="1"/>
  <c r="W244" i="1" s="1"/>
  <c r="T244" i="1"/>
  <c r="U244" i="1" s="1"/>
  <c r="R244" i="1"/>
  <c r="S244" i="1" s="1"/>
  <c r="P244" i="1"/>
  <c r="Q244" i="1" s="1"/>
  <c r="N244" i="1"/>
  <c r="O244" i="1" s="1"/>
  <c r="L244" i="1"/>
  <c r="M244" i="1" s="1"/>
  <c r="J244" i="1"/>
  <c r="K244" i="1" s="1"/>
  <c r="H244" i="1"/>
  <c r="I244" i="1" s="1"/>
  <c r="R262" i="1"/>
  <c r="S262" i="1" s="1"/>
  <c r="V262" i="1"/>
  <c r="W262" i="1" s="1"/>
  <c r="H262" i="1"/>
  <c r="I262" i="1" s="1"/>
  <c r="J262" i="1"/>
  <c r="K262" i="1" s="1"/>
  <c r="L262" i="1"/>
  <c r="M262" i="1" s="1"/>
  <c r="N262" i="1"/>
  <c r="O262" i="1" s="1"/>
  <c r="T262" i="1"/>
  <c r="U262" i="1" s="1"/>
  <c r="P262" i="1"/>
  <c r="Q262" i="1" s="1"/>
  <c r="V245" i="1"/>
  <c r="W245" i="1" s="1"/>
  <c r="T245" i="1"/>
  <c r="U245" i="1" s="1"/>
  <c r="R245" i="1"/>
  <c r="S245" i="1" s="1"/>
  <c r="P245" i="1"/>
  <c r="Q245" i="1" s="1"/>
  <c r="N245" i="1"/>
  <c r="O245" i="1" s="1"/>
  <c r="J245" i="1"/>
  <c r="K245" i="1" s="1"/>
  <c r="L245" i="1"/>
  <c r="M245" i="1" s="1"/>
  <c r="H245" i="1"/>
  <c r="I245" i="1" s="1"/>
  <c r="S683" i="1"/>
  <c r="U683" i="1"/>
  <c r="M683" i="1"/>
  <c r="G683" i="1"/>
  <c r="S670" i="1"/>
  <c r="G670" i="1"/>
  <c r="H670" i="1"/>
  <c r="I670" i="1" s="1"/>
  <c r="G687" i="1"/>
  <c r="G244" i="1"/>
  <c r="G245" i="1"/>
  <c r="J265" i="1" l="1"/>
  <c r="K265" i="1" s="1"/>
  <c r="N265" i="1"/>
  <c r="O265" i="1" s="1"/>
  <c r="P265" i="1"/>
  <c r="Q265" i="1" s="1"/>
  <c r="R265" i="1"/>
  <c r="S265" i="1" s="1"/>
  <c r="T265" i="1"/>
  <c r="U265" i="1" s="1"/>
  <c r="H265" i="1"/>
  <c r="I265" i="1" s="1"/>
  <c r="L265" i="1"/>
  <c r="M265" i="1" s="1"/>
  <c r="V265" i="1"/>
  <c r="W265" i="1" s="1"/>
  <c r="G262" i="1"/>
  <c r="F166" i="1"/>
  <c r="V166" i="1" l="1"/>
  <c r="W166" i="1" s="1"/>
  <c r="T166" i="1"/>
  <c r="U166" i="1" s="1"/>
  <c r="R166" i="1"/>
  <c r="S166" i="1" s="1"/>
  <c r="P166" i="1"/>
  <c r="Q166" i="1" s="1"/>
  <c r="N166" i="1"/>
  <c r="O166" i="1" s="1"/>
  <c r="L166" i="1"/>
  <c r="M166" i="1" s="1"/>
  <c r="J166" i="1"/>
  <c r="K166" i="1" s="1"/>
  <c r="H166" i="1"/>
  <c r="I166" i="1" s="1"/>
  <c r="G166" i="1"/>
  <c r="F616" i="1" l="1"/>
  <c r="F615" i="1"/>
  <c r="F614" i="1"/>
  <c r="F610" i="1"/>
  <c r="F609" i="1"/>
  <c r="F603" i="1"/>
  <c r="F598" i="1"/>
  <c r="F590" i="1"/>
  <c r="F587" i="1"/>
  <c r="F573" i="1"/>
  <c r="F570" i="1"/>
  <c r="F564" i="1"/>
  <c r="F543" i="1"/>
  <c r="F542" i="1"/>
  <c r="F541" i="1"/>
  <c r="F523" i="1"/>
  <c r="F522" i="1"/>
  <c r="F473" i="1"/>
  <c r="F461" i="1"/>
  <c r="F460" i="1"/>
  <c r="F456" i="1"/>
  <c r="F455" i="1"/>
  <c r="F440" i="1"/>
  <c r="F167" i="1"/>
  <c r="F602" i="1"/>
  <c r="P473" i="1" l="1"/>
  <c r="Q473" i="1" s="1"/>
  <c r="V473" i="1"/>
  <c r="W473" i="1" s="1"/>
  <c r="N473" i="1"/>
  <c r="O473" i="1" s="1"/>
  <c r="T473" i="1"/>
  <c r="U473" i="1" s="1"/>
  <c r="L473" i="1"/>
  <c r="M473" i="1" s="1"/>
  <c r="R473" i="1"/>
  <c r="S473" i="1" s="1"/>
  <c r="J473" i="1"/>
  <c r="K473" i="1" s="1"/>
  <c r="P573" i="1"/>
  <c r="Q573" i="1" s="1"/>
  <c r="H573" i="1"/>
  <c r="I573" i="1" s="1"/>
  <c r="V573" i="1"/>
  <c r="W573" i="1" s="1"/>
  <c r="N573" i="1"/>
  <c r="O573" i="1" s="1"/>
  <c r="T573" i="1"/>
  <c r="U573" i="1" s="1"/>
  <c r="L573" i="1"/>
  <c r="M573" i="1" s="1"/>
  <c r="R573" i="1"/>
  <c r="S573" i="1" s="1"/>
  <c r="J573" i="1"/>
  <c r="K573" i="1" s="1"/>
  <c r="H598" i="1"/>
  <c r="I598" i="1" s="1"/>
  <c r="L598" i="1"/>
  <c r="M598" i="1" s="1"/>
  <c r="P598" i="1"/>
  <c r="Q598" i="1" s="1"/>
  <c r="T598" i="1"/>
  <c r="U598" i="1" s="1"/>
  <c r="N598" i="1"/>
  <c r="O598" i="1" s="1"/>
  <c r="V598" i="1"/>
  <c r="W598" i="1" s="1"/>
  <c r="R598" i="1"/>
  <c r="S598" i="1" s="1"/>
  <c r="J598" i="1"/>
  <c r="K598" i="1" s="1"/>
  <c r="H602" i="1"/>
  <c r="I602" i="1" s="1"/>
  <c r="L602" i="1"/>
  <c r="M602" i="1" s="1"/>
  <c r="P602" i="1"/>
  <c r="Q602" i="1" s="1"/>
  <c r="T602" i="1"/>
  <c r="U602" i="1" s="1"/>
  <c r="J602" i="1"/>
  <c r="K602" i="1" s="1"/>
  <c r="V602" i="1"/>
  <c r="W602" i="1" s="1"/>
  <c r="R602" i="1"/>
  <c r="S602" i="1" s="1"/>
  <c r="N602" i="1"/>
  <c r="O602" i="1" s="1"/>
  <c r="V522" i="1"/>
  <c r="L522" i="1"/>
  <c r="R522" i="1"/>
  <c r="J522" i="1"/>
  <c r="P522" i="1"/>
  <c r="N522" i="1"/>
  <c r="T522" i="1"/>
  <c r="H522" i="1"/>
  <c r="T543" i="1"/>
  <c r="U543" i="1" s="1"/>
  <c r="L543" i="1"/>
  <c r="M543" i="1" s="1"/>
  <c r="R543" i="1"/>
  <c r="S543" i="1" s="1"/>
  <c r="J543" i="1"/>
  <c r="K543" i="1" s="1"/>
  <c r="H543" i="1"/>
  <c r="I543" i="1" s="1"/>
  <c r="V543" i="1"/>
  <c r="W543" i="1" s="1"/>
  <c r="P543" i="1"/>
  <c r="Q543" i="1" s="1"/>
  <c r="N543" i="1"/>
  <c r="O543" i="1" s="1"/>
  <c r="H603" i="1"/>
  <c r="I603" i="1" s="1"/>
  <c r="L603" i="1"/>
  <c r="M603" i="1" s="1"/>
  <c r="P603" i="1"/>
  <c r="Q603" i="1" s="1"/>
  <c r="T603" i="1"/>
  <c r="U603" i="1" s="1"/>
  <c r="J603" i="1"/>
  <c r="K603" i="1" s="1"/>
  <c r="V603" i="1"/>
  <c r="W603" i="1" s="1"/>
  <c r="N603" i="1"/>
  <c r="O603" i="1" s="1"/>
  <c r="R603" i="1"/>
  <c r="S603" i="1" s="1"/>
  <c r="L614" i="1"/>
  <c r="M614" i="1" s="1"/>
  <c r="R614" i="1"/>
  <c r="S614" i="1" s="1"/>
  <c r="H614" i="1"/>
  <c r="I614" i="1" s="1"/>
  <c r="N614" i="1"/>
  <c r="O614" i="1" s="1"/>
  <c r="J614" i="1"/>
  <c r="K614" i="1" s="1"/>
  <c r="T614" i="1"/>
  <c r="U614" i="1" s="1"/>
  <c r="V614" i="1"/>
  <c r="W614" i="1" s="1"/>
  <c r="P614" i="1"/>
  <c r="Q614" i="1" s="1"/>
  <c r="P523" i="1"/>
  <c r="R523" i="1"/>
  <c r="N523" i="1"/>
  <c r="T523" i="1"/>
  <c r="L523" i="1"/>
  <c r="J523" i="1"/>
  <c r="H523" i="1"/>
  <c r="V523" i="1"/>
  <c r="P564" i="1"/>
  <c r="Q564" i="1" s="1"/>
  <c r="V564" i="1"/>
  <c r="W564" i="1" s="1"/>
  <c r="N564" i="1"/>
  <c r="O564" i="1" s="1"/>
  <c r="R564" i="1"/>
  <c r="S564" i="1" s="1"/>
  <c r="L564" i="1"/>
  <c r="M564" i="1" s="1"/>
  <c r="T564" i="1"/>
  <c r="U564" i="1" s="1"/>
  <c r="J587" i="1"/>
  <c r="K587" i="1" s="1"/>
  <c r="T587" i="1"/>
  <c r="U587" i="1" s="1"/>
  <c r="P587" i="1"/>
  <c r="Q587" i="1" s="1"/>
  <c r="V587" i="1"/>
  <c r="W587" i="1" s="1"/>
  <c r="L587" i="1"/>
  <c r="M587" i="1" s="1"/>
  <c r="N587" i="1"/>
  <c r="O587" i="1" s="1"/>
  <c r="R587" i="1"/>
  <c r="S587" i="1" s="1"/>
  <c r="H587" i="1"/>
  <c r="I587" i="1" s="1"/>
  <c r="H608" i="1"/>
  <c r="I608" i="1" s="1"/>
  <c r="N608" i="1"/>
  <c r="O608" i="1" s="1"/>
  <c r="R608" i="1"/>
  <c r="S608" i="1" s="1"/>
  <c r="L608" i="1"/>
  <c r="M608" i="1" s="1"/>
  <c r="T608" i="1"/>
  <c r="U608" i="1" s="1"/>
  <c r="J608" i="1"/>
  <c r="K608" i="1" s="1"/>
  <c r="P608" i="1"/>
  <c r="Q608" i="1" s="1"/>
  <c r="V608" i="1"/>
  <c r="W608" i="1" s="1"/>
  <c r="L615" i="1"/>
  <c r="M615" i="1" s="1"/>
  <c r="R615" i="1"/>
  <c r="S615" i="1" s="1"/>
  <c r="H615" i="1"/>
  <c r="I615" i="1" s="1"/>
  <c r="N615" i="1"/>
  <c r="O615" i="1" s="1"/>
  <c r="P615" i="1"/>
  <c r="Q615" i="1" s="1"/>
  <c r="J615" i="1"/>
  <c r="K615" i="1" s="1"/>
  <c r="T615" i="1"/>
  <c r="U615" i="1" s="1"/>
  <c r="V615" i="1"/>
  <c r="W615" i="1" s="1"/>
  <c r="T542" i="1"/>
  <c r="U542" i="1" s="1"/>
  <c r="L542" i="1"/>
  <c r="M542" i="1" s="1"/>
  <c r="R542" i="1"/>
  <c r="S542" i="1" s="1"/>
  <c r="J542" i="1"/>
  <c r="K542" i="1" s="1"/>
  <c r="P542" i="1"/>
  <c r="Q542" i="1" s="1"/>
  <c r="N542" i="1"/>
  <c r="O542" i="1" s="1"/>
  <c r="V542" i="1"/>
  <c r="W542" i="1" s="1"/>
  <c r="H542" i="1"/>
  <c r="I542" i="1" s="1"/>
  <c r="H610" i="1"/>
  <c r="I610" i="1" s="1"/>
  <c r="N610" i="1"/>
  <c r="O610" i="1" s="1"/>
  <c r="V610" i="1"/>
  <c r="W610" i="1" s="1"/>
  <c r="J610" i="1"/>
  <c r="K610" i="1" s="1"/>
  <c r="P610" i="1"/>
  <c r="Q610" i="1" s="1"/>
  <c r="T610" i="1"/>
  <c r="U610" i="1" s="1"/>
  <c r="L610" i="1"/>
  <c r="M610" i="1" s="1"/>
  <c r="R610" i="1"/>
  <c r="S610" i="1" s="1"/>
  <c r="P579" i="1"/>
  <c r="Q579" i="1" s="1"/>
  <c r="H579" i="1"/>
  <c r="I579" i="1" s="1"/>
  <c r="V579" i="1"/>
  <c r="W579" i="1" s="1"/>
  <c r="N579" i="1"/>
  <c r="O579" i="1" s="1"/>
  <c r="T579" i="1"/>
  <c r="U579" i="1" s="1"/>
  <c r="R579" i="1"/>
  <c r="S579" i="1" s="1"/>
  <c r="L579" i="1"/>
  <c r="M579" i="1" s="1"/>
  <c r="J579" i="1"/>
  <c r="K579" i="1" s="1"/>
  <c r="T440" i="1"/>
  <c r="U440" i="1" s="1"/>
  <c r="H440" i="1"/>
  <c r="I440" i="1" s="1"/>
  <c r="N440" i="1"/>
  <c r="O440" i="1" s="1"/>
  <c r="R440" i="1"/>
  <c r="S440" i="1" s="1"/>
  <c r="L440" i="1"/>
  <c r="M440" i="1" s="1"/>
  <c r="V440" i="1"/>
  <c r="W440" i="1" s="1"/>
  <c r="P440" i="1"/>
  <c r="Q440" i="1" s="1"/>
  <c r="J440" i="1"/>
  <c r="K440" i="1" s="1"/>
  <c r="T541" i="1"/>
  <c r="U541" i="1" s="1"/>
  <c r="L541" i="1"/>
  <c r="M541" i="1" s="1"/>
  <c r="R541" i="1"/>
  <c r="S541" i="1" s="1"/>
  <c r="J541" i="1"/>
  <c r="K541" i="1" s="1"/>
  <c r="H541" i="1"/>
  <c r="I541" i="1" s="1"/>
  <c r="V541" i="1"/>
  <c r="W541" i="1" s="1"/>
  <c r="P541" i="1"/>
  <c r="Q541" i="1" s="1"/>
  <c r="N541" i="1"/>
  <c r="O541" i="1" s="1"/>
  <c r="R570" i="1"/>
  <c r="S570" i="1" s="1"/>
  <c r="V570" i="1"/>
  <c r="W570" i="1" s="1"/>
  <c r="P570" i="1"/>
  <c r="Q570" i="1" s="1"/>
  <c r="T570" i="1"/>
  <c r="U570" i="1" s="1"/>
  <c r="N570" i="1"/>
  <c r="O570" i="1" s="1"/>
  <c r="H590" i="1"/>
  <c r="I590" i="1" s="1"/>
  <c r="L590" i="1"/>
  <c r="M590" i="1" s="1"/>
  <c r="P590" i="1"/>
  <c r="Q590" i="1" s="1"/>
  <c r="T590" i="1"/>
  <c r="U590" i="1" s="1"/>
  <c r="N590" i="1"/>
  <c r="O590" i="1" s="1"/>
  <c r="V590" i="1"/>
  <c r="W590" i="1" s="1"/>
  <c r="J590" i="1"/>
  <c r="K590" i="1" s="1"/>
  <c r="R590" i="1"/>
  <c r="S590" i="1" s="1"/>
  <c r="H609" i="1"/>
  <c r="I609" i="1" s="1"/>
  <c r="N609" i="1"/>
  <c r="O609" i="1" s="1"/>
  <c r="J609" i="1"/>
  <c r="K609" i="1" s="1"/>
  <c r="P609" i="1"/>
  <c r="Q609" i="1" s="1"/>
  <c r="R609" i="1"/>
  <c r="S609" i="1" s="1"/>
  <c r="L609" i="1"/>
  <c r="M609" i="1" s="1"/>
  <c r="T609" i="1"/>
  <c r="U609" i="1" s="1"/>
  <c r="V609" i="1"/>
  <c r="W609" i="1" s="1"/>
  <c r="L616" i="1"/>
  <c r="M616" i="1" s="1"/>
  <c r="R616" i="1"/>
  <c r="S616" i="1" s="1"/>
  <c r="H616" i="1"/>
  <c r="I616" i="1" s="1"/>
  <c r="N616" i="1"/>
  <c r="O616" i="1" s="1"/>
  <c r="J616" i="1"/>
  <c r="K616" i="1" s="1"/>
  <c r="T616" i="1"/>
  <c r="U616" i="1" s="1"/>
  <c r="P616" i="1"/>
  <c r="Q616" i="1" s="1"/>
  <c r="V616" i="1"/>
  <c r="W616" i="1" s="1"/>
  <c r="V460" i="1"/>
  <c r="W460" i="1" s="1"/>
  <c r="P460" i="1"/>
  <c r="Q460" i="1" s="1"/>
  <c r="T460" i="1"/>
  <c r="U460" i="1" s="1"/>
  <c r="N460" i="1"/>
  <c r="O460" i="1" s="1"/>
  <c r="R460" i="1"/>
  <c r="S460" i="1" s="1"/>
  <c r="L460" i="1"/>
  <c r="M460" i="1" s="1"/>
  <c r="J460" i="1"/>
  <c r="K460" i="1" s="1"/>
  <c r="H460" i="1"/>
  <c r="I460" i="1" s="1"/>
  <c r="R456" i="1"/>
  <c r="S456" i="1" s="1"/>
  <c r="P456" i="1"/>
  <c r="Q456" i="1" s="1"/>
  <c r="V456" i="1"/>
  <c r="W456" i="1" s="1"/>
  <c r="T456" i="1"/>
  <c r="U456" i="1" s="1"/>
  <c r="L456" i="1"/>
  <c r="M456" i="1" s="1"/>
  <c r="H456" i="1"/>
  <c r="I456" i="1" s="1"/>
  <c r="N456" i="1"/>
  <c r="O456" i="1" s="1"/>
  <c r="J456" i="1"/>
  <c r="K456" i="1" s="1"/>
  <c r="H455" i="1"/>
  <c r="I455" i="1" s="1"/>
  <c r="V455" i="1"/>
  <c r="W455" i="1" s="1"/>
  <c r="J455" i="1"/>
  <c r="K455" i="1" s="1"/>
  <c r="T455" i="1"/>
  <c r="U455" i="1" s="1"/>
  <c r="R455" i="1"/>
  <c r="S455" i="1" s="1"/>
  <c r="P455" i="1"/>
  <c r="Q455" i="1" s="1"/>
  <c r="N455" i="1"/>
  <c r="O455" i="1" s="1"/>
  <c r="L455" i="1"/>
  <c r="M455" i="1" s="1"/>
  <c r="P461" i="1"/>
  <c r="Q461" i="1" s="1"/>
  <c r="L461" i="1"/>
  <c r="M461" i="1" s="1"/>
  <c r="J461" i="1"/>
  <c r="K461" i="1" s="1"/>
  <c r="H461" i="1"/>
  <c r="I461" i="1" s="1"/>
  <c r="R461" i="1"/>
  <c r="S461" i="1" s="1"/>
  <c r="V461" i="1"/>
  <c r="W461" i="1" s="1"/>
  <c r="N461" i="1"/>
  <c r="O461" i="1" s="1"/>
  <c r="T461" i="1"/>
  <c r="U461" i="1" s="1"/>
  <c r="J167" i="1"/>
  <c r="K167" i="1" s="1"/>
  <c r="H167" i="1"/>
  <c r="I167" i="1" s="1"/>
  <c r="V167" i="1"/>
  <c r="W167" i="1" s="1"/>
  <c r="T167" i="1"/>
  <c r="U167" i="1" s="1"/>
  <c r="R167" i="1"/>
  <c r="S167" i="1" s="1"/>
  <c r="P167" i="1"/>
  <c r="Q167" i="1" s="1"/>
  <c r="N167" i="1"/>
  <c r="O167" i="1" s="1"/>
  <c r="L167" i="1"/>
  <c r="M167" i="1" s="1"/>
  <c r="G167" i="1"/>
  <c r="G602" i="1"/>
  <c r="F424" i="1" l="1"/>
  <c r="F414" i="1"/>
  <c r="F408" i="1"/>
  <c r="F407" i="1"/>
  <c r="F380" i="1"/>
  <c r="F378" i="1"/>
  <c r="F377" i="1"/>
  <c r="F376" i="1"/>
  <c r="F331" i="1"/>
  <c r="F277" i="1"/>
  <c r="F274" i="1"/>
  <c r="F273" i="1"/>
  <c r="F267" i="1"/>
  <c r="F266" i="1"/>
  <c r="F259" i="1"/>
  <c r="F258" i="1"/>
  <c r="F257" i="1"/>
  <c r="F256" i="1"/>
  <c r="F252" i="1"/>
  <c r="F235" i="1"/>
  <c r="F234" i="1"/>
  <c r="F233" i="1"/>
  <c r="J220" i="1"/>
  <c r="F196" i="1"/>
  <c r="F197" i="1"/>
  <c r="F202" i="1"/>
  <c r="F175" i="1"/>
  <c r="F176" i="1"/>
  <c r="F168" i="1"/>
  <c r="F104" i="1"/>
  <c r="F102" i="1"/>
  <c r="F101" i="1"/>
  <c r="F100" i="1"/>
  <c r="F99" i="1"/>
  <c r="F29" i="1"/>
  <c r="F15" i="1"/>
  <c r="F25" i="1"/>
  <c r="F28" i="1"/>
  <c r="W46" i="1"/>
  <c r="U46" i="1"/>
  <c r="S46" i="1"/>
  <c r="Q46" i="1"/>
  <c r="O46" i="1"/>
  <c r="W45" i="1"/>
  <c r="U45" i="1"/>
  <c r="S45" i="1"/>
  <c r="Q45" i="1"/>
  <c r="O45" i="1"/>
  <c r="W130" i="1"/>
  <c r="U130" i="1"/>
  <c r="S130" i="1"/>
  <c r="Q130" i="1"/>
  <c r="O130" i="1"/>
  <c r="W49" i="1"/>
  <c r="U49" i="1"/>
  <c r="S49" i="1"/>
  <c r="Q49" i="1"/>
  <c r="O49" i="1"/>
  <c r="W48" i="1"/>
  <c r="U48" i="1"/>
  <c r="S48" i="1"/>
  <c r="Q48" i="1"/>
  <c r="O48" i="1"/>
  <c r="W43" i="1"/>
  <c r="U43" i="1"/>
  <c r="S43" i="1"/>
  <c r="Q43" i="1"/>
  <c r="O43" i="1"/>
  <c r="W42" i="1"/>
  <c r="U42" i="1"/>
  <c r="S42" i="1"/>
  <c r="Q42" i="1"/>
  <c r="O42" i="1"/>
  <c r="W37" i="1"/>
  <c r="U37" i="1"/>
  <c r="S37" i="1"/>
  <c r="Q37" i="1"/>
  <c r="O37" i="1"/>
  <c r="W40" i="1"/>
  <c r="U40" i="1"/>
  <c r="S40" i="1"/>
  <c r="Q40" i="1"/>
  <c r="O40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P25" i="1" l="1"/>
  <c r="Q25" i="1" s="1"/>
  <c r="T25" i="1"/>
  <c r="U25" i="1" s="1"/>
  <c r="N25" i="1"/>
  <c r="O25" i="1" s="1"/>
  <c r="R25" i="1"/>
  <c r="S25" i="1" s="1"/>
  <c r="L25" i="1"/>
  <c r="M25" i="1" s="1"/>
  <c r="V414" i="1"/>
  <c r="W414" i="1" s="1"/>
  <c r="N414" i="1"/>
  <c r="O414" i="1" s="1"/>
  <c r="J414" i="1"/>
  <c r="K414" i="1" s="1"/>
  <c r="H414" i="1"/>
  <c r="I414" i="1" s="1"/>
  <c r="T414" i="1"/>
  <c r="U414" i="1" s="1"/>
  <c r="L414" i="1"/>
  <c r="M414" i="1" s="1"/>
  <c r="R414" i="1"/>
  <c r="S414" i="1" s="1"/>
  <c r="P414" i="1"/>
  <c r="Q414" i="1" s="1"/>
  <c r="R424" i="1"/>
  <c r="S424" i="1" s="1"/>
  <c r="L424" i="1"/>
  <c r="M424" i="1" s="1"/>
  <c r="T424" i="1"/>
  <c r="U424" i="1" s="1"/>
  <c r="H424" i="1"/>
  <c r="I424" i="1" s="1"/>
  <c r="V424" i="1"/>
  <c r="W424" i="1" s="1"/>
  <c r="P424" i="1"/>
  <c r="Q424" i="1" s="1"/>
  <c r="J424" i="1"/>
  <c r="K424" i="1" s="1"/>
  <c r="N424" i="1"/>
  <c r="O424" i="1" s="1"/>
  <c r="L408" i="1"/>
  <c r="M408" i="1" s="1"/>
  <c r="N408" i="1"/>
  <c r="O408" i="1" s="1"/>
  <c r="P408" i="1"/>
  <c r="Q408" i="1" s="1"/>
  <c r="R408" i="1"/>
  <c r="S408" i="1" s="1"/>
  <c r="T408" i="1"/>
  <c r="U408" i="1" s="1"/>
  <c r="V408" i="1"/>
  <c r="W408" i="1" s="1"/>
  <c r="L407" i="1"/>
  <c r="M407" i="1" s="1"/>
  <c r="N407" i="1"/>
  <c r="O407" i="1" s="1"/>
  <c r="P407" i="1"/>
  <c r="Q407" i="1" s="1"/>
  <c r="R407" i="1"/>
  <c r="S407" i="1" s="1"/>
  <c r="T407" i="1"/>
  <c r="U407" i="1" s="1"/>
  <c r="V407" i="1"/>
  <c r="W407" i="1" s="1"/>
  <c r="J99" i="1"/>
  <c r="K99" i="1" s="1"/>
  <c r="L99" i="1"/>
  <c r="M99" i="1" s="1"/>
  <c r="V99" i="1"/>
  <c r="W99" i="1" s="1"/>
  <c r="T99" i="1"/>
  <c r="U99" i="1" s="1"/>
  <c r="R99" i="1"/>
  <c r="S99" i="1" s="1"/>
  <c r="H99" i="1"/>
  <c r="P99" i="1"/>
  <c r="Q99" i="1" s="1"/>
  <c r="N99" i="1"/>
  <c r="O99" i="1" s="1"/>
  <c r="J168" i="1"/>
  <c r="K168" i="1" s="1"/>
  <c r="H168" i="1"/>
  <c r="I168" i="1" s="1"/>
  <c r="V168" i="1"/>
  <c r="W168" i="1" s="1"/>
  <c r="T168" i="1"/>
  <c r="U168" i="1" s="1"/>
  <c r="N168" i="1"/>
  <c r="O168" i="1" s="1"/>
  <c r="L168" i="1"/>
  <c r="M168" i="1" s="1"/>
  <c r="R168" i="1"/>
  <c r="S168" i="1" s="1"/>
  <c r="P168" i="1"/>
  <c r="Q168" i="1" s="1"/>
  <c r="P235" i="1"/>
  <c r="Q235" i="1" s="1"/>
  <c r="N235" i="1"/>
  <c r="O235" i="1" s="1"/>
  <c r="L235" i="1"/>
  <c r="M235" i="1" s="1"/>
  <c r="J235" i="1"/>
  <c r="K235" i="1" s="1"/>
  <c r="V235" i="1"/>
  <c r="W235" i="1" s="1"/>
  <c r="T235" i="1"/>
  <c r="U235" i="1" s="1"/>
  <c r="R235" i="1"/>
  <c r="S235" i="1" s="1"/>
  <c r="P376" i="1"/>
  <c r="Q376" i="1" s="1"/>
  <c r="L376" i="1"/>
  <c r="M376" i="1" s="1"/>
  <c r="J376" i="1"/>
  <c r="V376" i="1"/>
  <c r="W376" i="1" s="1"/>
  <c r="T376" i="1"/>
  <c r="U376" i="1" s="1"/>
  <c r="R376" i="1"/>
  <c r="S376" i="1" s="1"/>
  <c r="N376" i="1"/>
  <c r="O376" i="1" s="1"/>
  <c r="P100" i="1"/>
  <c r="Q100" i="1" s="1"/>
  <c r="T100" i="1"/>
  <c r="U100" i="1" s="1"/>
  <c r="N100" i="1"/>
  <c r="O100" i="1" s="1"/>
  <c r="L100" i="1"/>
  <c r="M100" i="1" s="1"/>
  <c r="R100" i="1"/>
  <c r="S100" i="1" s="1"/>
  <c r="J100" i="1"/>
  <c r="K100" i="1" s="1"/>
  <c r="V100" i="1"/>
  <c r="W100" i="1" s="1"/>
  <c r="H100" i="1"/>
  <c r="V176" i="1"/>
  <c r="W176" i="1" s="1"/>
  <c r="T176" i="1"/>
  <c r="U176" i="1" s="1"/>
  <c r="R176" i="1"/>
  <c r="S176" i="1" s="1"/>
  <c r="P176" i="1"/>
  <c r="Q176" i="1" s="1"/>
  <c r="N176" i="1"/>
  <c r="O176" i="1" s="1"/>
  <c r="J176" i="1"/>
  <c r="K176" i="1" s="1"/>
  <c r="L176" i="1"/>
  <c r="M176" i="1" s="1"/>
  <c r="H176" i="1"/>
  <c r="I176" i="1" s="1"/>
  <c r="R252" i="1"/>
  <c r="S252" i="1" s="1"/>
  <c r="T252" i="1"/>
  <c r="U252" i="1" s="1"/>
  <c r="V252" i="1"/>
  <c r="W252" i="1" s="1"/>
  <c r="H252" i="1"/>
  <c r="I252" i="1" s="1"/>
  <c r="J252" i="1"/>
  <c r="K252" i="1" s="1"/>
  <c r="L252" i="1"/>
  <c r="M252" i="1" s="1"/>
  <c r="N252" i="1"/>
  <c r="O252" i="1" s="1"/>
  <c r="P252" i="1"/>
  <c r="Q252" i="1" s="1"/>
  <c r="T377" i="1"/>
  <c r="U377" i="1" s="1"/>
  <c r="R377" i="1"/>
  <c r="S377" i="1" s="1"/>
  <c r="P377" i="1"/>
  <c r="Q377" i="1" s="1"/>
  <c r="N377" i="1"/>
  <c r="O377" i="1" s="1"/>
  <c r="L377" i="1"/>
  <c r="M377" i="1" s="1"/>
  <c r="V377" i="1"/>
  <c r="W377" i="1" s="1"/>
  <c r="V233" i="1"/>
  <c r="W233" i="1" s="1"/>
  <c r="T233" i="1"/>
  <c r="U233" i="1" s="1"/>
  <c r="R233" i="1"/>
  <c r="S233" i="1" s="1"/>
  <c r="P233" i="1"/>
  <c r="Q233" i="1" s="1"/>
  <c r="N233" i="1"/>
  <c r="O233" i="1" s="1"/>
  <c r="L233" i="1"/>
  <c r="M233" i="1" s="1"/>
  <c r="J233" i="1"/>
  <c r="K233" i="1" s="1"/>
  <c r="G175" i="1"/>
  <c r="R175" i="1"/>
  <c r="S175" i="1" s="1"/>
  <c r="P175" i="1"/>
  <c r="Q175" i="1" s="1"/>
  <c r="N175" i="1"/>
  <c r="O175" i="1" s="1"/>
  <c r="J175" i="1"/>
  <c r="K175" i="1" s="1"/>
  <c r="H175" i="1"/>
  <c r="I175" i="1" s="1"/>
  <c r="T175" i="1"/>
  <c r="U175" i="1" s="1"/>
  <c r="L175" i="1"/>
  <c r="M175" i="1" s="1"/>
  <c r="V175" i="1"/>
  <c r="W175" i="1" s="1"/>
  <c r="J256" i="1"/>
  <c r="K256" i="1" s="1"/>
  <c r="N256" i="1"/>
  <c r="O256" i="1" s="1"/>
  <c r="P256" i="1"/>
  <c r="Q256" i="1" s="1"/>
  <c r="R256" i="1"/>
  <c r="S256" i="1" s="1"/>
  <c r="T256" i="1"/>
  <c r="U256" i="1" s="1"/>
  <c r="H256" i="1"/>
  <c r="I256" i="1" s="1"/>
  <c r="L256" i="1"/>
  <c r="M256" i="1" s="1"/>
  <c r="V256" i="1"/>
  <c r="W256" i="1" s="1"/>
  <c r="V378" i="1"/>
  <c r="W378" i="1" s="1"/>
  <c r="T378" i="1"/>
  <c r="U378" i="1" s="1"/>
  <c r="R378" i="1"/>
  <c r="S378" i="1" s="1"/>
  <c r="P378" i="1"/>
  <c r="Q378" i="1" s="1"/>
  <c r="N378" i="1"/>
  <c r="O378" i="1" s="1"/>
  <c r="L378" i="1"/>
  <c r="M378" i="1" s="1"/>
  <c r="V102" i="1"/>
  <c r="W102" i="1" s="1"/>
  <c r="T102" i="1"/>
  <c r="U102" i="1" s="1"/>
  <c r="R102" i="1"/>
  <c r="S102" i="1" s="1"/>
  <c r="P102" i="1"/>
  <c r="Q102" i="1" s="1"/>
  <c r="L102" i="1"/>
  <c r="M102" i="1" s="1"/>
  <c r="N102" i="1"/>
  <c r="O102" i="1" s="1"/>
  <c r="J102" i="1"/>
  <c r="K102" i="1" s="1"/>
  <c r="H102" i="1"/>
  <c r="L202" i="1"/>
  <c r="M202" i="1" s="1"/>
  <c r="J202" i="1"/>
  <c r="K202" i="1" s="1"/>
  <c r="H202" i="1"/>
  <c r="I202" i="1" s="1"/>
  <c r="N202" i="1"/>
  <c r="O202" i="1" s="1"/>
  <c r="R202" i="1"/>
  <c r="S202" i="1" s="1"/>
  <c r="V202" i="1"/>
  <c r="W202" i="1" s="1"/>
  <c r="T202" i="1"/>
  <c r="U202" i="1" s="1"/>
  <c r="P202" i="1"/>
  <c r="Q202" i="1" s="1"/>
  <c r="J257" i="1"/>
  <c r="K257" i="1" s="1"/>
  <c r="L257" i="1"/>
  <c r="M257" i="1" s="1"/>
  <c r="N257" i="1"/>
  <c r="O257" i="1" s="1"/>
  <c r="P257" i="1"/>
  <c r="Q257" i="1" s="1"/>
  <c r="R257" i="1"/>
  <c r="S257" i="1" s="1"/>
  <c r="T257" i="1"/>
  <c r="U257" i="1" s="1"/>
  <c r="V257" i="1"/>
  <c r="W257" i="1" s="1"/>
  <c r="H257" i="1"/>
  <c r="I257" i="1" s="1"/>
  <c r="V380" i="1"/>
  <c r="W380" i="1" s="1"/>
  <c r="T380" i="1"/>
  <c r="U380" i="1" s="1"/>
  <c r="R380" i="1"/>
  <c r="S380" i="1" s="1"/>
  <c r="P380" i="1"/>
  <c r="Q380" i="1" s="1"/>
  <c r="N380" i="1"/>
  <c r="O380" i="1" s="1"/>
  <c r="L380" i="1"/>
  <c r="M380" i="1" s="1"/>
  <c r="T277" i="1"/>
  <c r="U277" i="1" s="1"/>
  <c r="R277" i="1"/>
  <c r="S277" i="1" s="1"/>
  <c r="N277" i="1"/>
  <c r="O277" i="1" s="1"/>
  <c r="L277" i="1"/>
  <c r="M277" i="1" s="1"/>
  <c r="J277" i="1"/>
  <c r="K277" i="1" s="1"/>
  <c r="H277" i="1"/>
  <c r="I277" i="1" s="1"/>
  <c r="P277" i="1"/>
  <c r="Q277" i="1" s="1"/>
  <c r="V277" i="1"/>
  <c r="W277" i="1" s="1"/>
  <c r="V104" i="1"/>
  <c r="W104" i="1" s="1"/>
  <c r="H104" i="1"/>
  <c r="T104" i="1"/>
  <c r="U104" i="1" s="1"/>
  <c r="R104" i="1"/>
  <c r="S104" i="1" s="1"/>
  <c r="P104" i="1"/>
  <c r="Q104" i="1" s="1"/>
  <c r="N104" i="1"/>
  <c r="O104" i="1" s="1"/>
  <c r="J104" i="1"/>
  <c r="K104" i="1" s="1"/>
  <c r="L104" i="1"/>
  <c r="M104" i="1" s="1"/>
  <c r="T199" i="1"/>
  <c r="U199" i="1" s="1"/>
  <c r="R199" i="1"/>
  <c r="S199" i="1" s="1"/>
  <c r="P199" i="1"/>
  <c r="Q199" i="1" s="1"/>
  <c r="N199" i="1"/>
  <c r="O199" i="1" s="1"/>
  <c r="L199" i="1"/>
  <c r="M199" i="1" s="1"/>
  <c r="V199" i="1"/>
  <c r="W199" i="1" s="1"/>
  <c r="J258" i="1"/>
  <c r="K258" i="1" s="1"/>
  <c r="N258" i="1"/>
  <c r="O258" i="1" s="1"/>
  <c r="R258" i="1"/>
  <c r="S258" i="1" s="1"/>
  <c r="T258" i="1"/>
  <c r="U258" i="1" s="1"/>
  <c r="V258" i="1"/>
  <c r="W258" i="1" s="1"/>
  <c r="L258" i="1"/>
  <c r="M258" i="1" s="1"/>
  <c r="P258" i="1"/>
  <c r="Q258" i="1" s="1"/>
  <c r="H258" i="1"/>
  <c r="I258" i="1" s="1"/>
  <c r="J274" i="1"/>
  <c r="K274" i="1" s="1"/>
  <c r="P274" i="1"/>
  <c r="Q274" i="1" s="1"/>
  <c r="R274" i="1"/>
  <c r="S274" i="1" s="1"/>
  <c r="T274" i="1"/>
  <c r="U274" i="1" s="1"/>
  <c r="N274" i="1"/>
  <c r="O274" i="1" s="1"/>
  <c r="H274" i="1"/>
  <c r="I274" i="1" s="1"/>
  <c r="V274" i="1"/>
  <c r="W274" i="1" s="1"/>
  <c r="L274" i="1"/>
  <c r="M274" i="1" s="1"/>
  <c r="V197" i="1"/>
  <c r="W197" i="1" s="1"/>
  <c r="T197" i="1"/>
  <c r="U197" i="1" s="1"/>
  <c r="R197" i="1"/>
  <c r="S197" i="1" s="1"/>
  <c r="P197" i="1"/>
  <c r="Q197" i="1" s="1"/>
  <c r="N197" i="1"/>
  <c r="O197" i="1" s="1"/>
  <c r="L197" i="1"/>
  <c r="M197" i="1" s="1"/>
  <c r="N259" i="1"/>
  <c r="O259" i="1" s="1"/>
  <c r="P259" i="1"/>
  <c r="Q259" i="1" s="1"/>
  <c r="R259" i="1"/>
  <c r="S259" i="1" s="1"/>
  <c r="T259" i="1"/>
  <c r="U259" i="1" s="1"/>
  <c r="V259" i="1"/>
  <c r="W259" i="1" s="1"/>
  <c r="H259" i="1"/>
  <c r="I259" i="1" s="1"/>
  <c r="L259" i="1"/>
  <c r="M259" i="1" s="1"/>
  <c r="J259" i="1"/>
  <c r="K259" i="1" s="1"/>
  <c r="N196" i="1"/>
  <c r="O196" i="1" s="1"/>
  <c r="L196" i="1"/>
  <c r="M196" i="1" s="1"/>
  <c r="R196" i="1"/>
  <c r="S196" i="1" s="1"/>
  <c r="P196" i="1"/>
  <c r="Q196" i="1" s="1"/>
  <c r="V196" i="1"/>
  <c r="W196" i="1" s="1"/>
  <c r="T196" i="1"/>
  <c r="U196" i="1" s="1"/>
  <c r="J266" i="1"/>
  <c r="K266" i="1" s="1"/>
  <c r="L266" i="1"/>
  <c r="M266" i="1" s="1"/>
  <c r="N266" i="1"/>
  <c r="O266" i="1" s="1"/>
  <c r="P266" i="1"/>
  <c r="Q266" i="1" s="1"/>
  <c r="R266" i="1"/>
  <c r="S266" i="1" s="1"/>
  <c r="T266" i="1"/>
  <c r="U266" i="1" s="1"/>
  <c r="V266" i="1"/>
  <c r="W266" i="1" s="1"/>
  <c r="H266" i="1"/>
  <c r="I266" i="1" s="1"/>
  <c r="J234" i="1"/>
  <c r="K234" i="1" s="1"/>
  <c r="V234" i="1"/>
  <c r="W234" i="1" s="1"/>
  <c r="T234" i="1"/>
  <c r="U234" i="1" s="1"/>
  <c r="R234" i="1"/>
  <c r="S234" i="1" s="1"/>
  <c r="N234" i="1"/>
  <c r="O234" i="1" s="1"/>
  <c r="L234" i="1"/>
  <c r="M234" i="1" s="1"/>
  <c r="P234" i="1"/>
  <c r="Q234" i="1" s="1"/>
  <c r="N101" i="1"/>
  <c r="O101" i="1" s="1"/>
  <c r="R101" i="1"/>
  <c r="S101" i="1" s="1"/>
  <c r="V101" i="1"/>
  <c r="W101" i="1" s="1"/>
  <c r="P101" i="1"/>
  <c r="Q101" i="1" s="1"/>
  <c r="L101" i="1"/>
  <c r="M101" i="1" s="1"/>
  <c r="J101" i="1"/>
  <c r="K101" i="1" s="1"/>
  <c r="H101" i="1"/>
  <c r="T101" i="1"/>
  <c r="U101" i="1" s="1"/>
  <c r="J267" i="1"/>
  <c r="K267" i="1" s="1"/>
  <c r="N267" i="1"/>
  <c r="O267" i="1" s="1"/>
  <c r="R267" i="1"/>
  <c r="S267" i="1" s="1"/>
  <c r="T267" i="1"/>
  <c r="U267" i="1" s="1"/>
  <c r="V267" i="1"/>
  <c r="W267" i="1" s="1"/>
  <c r="H267" i="1"/>
  <c r="I267" i="1" s="1"/>
  <c r="L267" i="1"/>
  <c r="M267" i="1" s="1"/>
  <c r="P267" i="1"/>
  <c r="Q267" i="1" s="1"/>
  <c r="H273" i="1"/>
  <c r="I273" i="1" s="1"/>
  <c r="L273" i="1"/>
  <c r="M273" i="1" s="1"/>
  <c r="N273" i="1"/>
  <c r="O273" i="1" s="1"/>
  <c r="P273" i="1"/>
  <c r="Q273" i="1" s="1"/>
  <c r="R273" i="1"/>
  <c r="S273" i="1" s="1"/>
  <c r="V273" i="1"/>
  <c r="W273" i="1" s="1"/>
  <c r="T273" i="1"/>
  <c r="U273" i="1" s="1"/>
  <c r="J273" i="1"/>
  <c r="K273" i="1" s="1"/>
  <c r="T28" i="1"/>
  <c r="U28" i="1" s="1"/>
  <c r="R28" i="1"/>
  <c r="S28" i="1" s="1"/>
  <c r="P28" i="1"/>
  <c r="Q28" i="1" s="1"/>
  <c r="N28" i="1"/>
  <c r="O28" i="1" s="1"/>
  <c r="L28" i="1"/>
  <c r="M28" i="1" s="1"/>
  <c r="T15" i="1"/>
  <c r="U15" i="1" s="1"/>
  <c r="P15" i="1"/>
  <c r="Q15" i="1" s="1"/>
  <c r="R15" i="1"/>
  <c r="S15" i="1" s="1"/>
  <c r="N15" i="1"/>
  <c r="O15" i="1" s="1"/>
  <c r="L15" i="1"/>
  <c r="M15" i="1" s="1"/>
  <c r="L29" i="1"/>
  <c r="M29" i="1" s="1"/>
  <c r="T29" i="1"/>
  <c r="U29" i="1" s="1"/>
  <c r="R29" i="1"/>
  <c r="S29" i="1" s="1"/>
  <c r="P29" i="1"/>
  <c r="Q29" i="1" s="1"/>
  <c r="N29" i="1"/>
  <c r="O29" i="1" s="1"/>
  <c r="V29" i="1"/>
  <c r="W29" i="1" s="1"/>
  <c r="G15" i="1"/>
  <c r="F211" i="1" l="1"/>
  <c r="F210" i="1"/>
  <c r="F133" i="1"/>
  <c r="F132" i="1"/>
  <c r="J133" i="1" l="1"/>
  <c r="V133" i="1"/>
  <c r="W133" i="1" s="1"/>
  <c r="T133" i="1"/>
  <c r="U133" i="1" s="1"/>
  <c r="N133" i="1"/>
  <c r="O133" i="1" s="1"/>
  <c r="R133" i="1"/>
  <c r="S133" i="1" s="1"/>
  <c r="P133" i="1"/>
  <c r="Q133" i="1" s="1"/>
  <c r="L133" i="1"/>
  <c r="M133" i="1" s="1"/>
  <c r="R132" i="1"/>
  <c r="S132" i="1" s="1"/>
  <c r="P132" i="1"/>
  <c r="Q132" i="1" s="1"/>
  <c r="J132" i="1"/>
  <c r="N132" i="1"/>
  <c r="O132" i="1" s="1"/>
  <c r="L132" i="1"/>
  <c r="M132" i="1" s="1"/>
  <c r="T132" i="1"/>
  <c r="U132" i="1" s="1"/>
  <c r="V132" i="1"/>
  <c r="W132" i="1" s="1"/>
  <c r="V210" i="1"/>
  <c r="W210" i="1" s="1"/>
  <c r="T210" i="1"/>
  <c r="U210" i="1" s="1"/>
  <c r="R210" i="1"/>
  <c r="S210" i="1" s="1"/>
  <c r="P210" i="1"/>
  <c r="Q210" i="1" s="1"/>
  <c r="L210" i="1"/>
  <c r="M210" i="1" s="1"/>
  <c r="N210" i="1"/>
  <c r="O210" i="1" s="1"/>
  <c r="J210" i="1"/>
  <c r="K210" i="1" s="1"/>
  <c r="J211" i="1"/>
  <c r="K211" i="1" s="1"/>
  <c r="V211" i="1"/>
  <c r="W211" i="1" s="1"/>
  <c r="T211" i="1"/>
  <c r="U211" i="1" s="1"/>
  <c r="N211" i="1"/>
  <c r="O211" i="1" s="1"/>
  <c r="R211" i="1"/>
  <c r="S211" i="1" s="1"/>
  <c r="P211" i="1"/>
  <c r="Q211" i="1" s="1"/>
  <c r="L211" i="1"/>
  <c r="M211" i="1" s="1"/>
  <c r="F534" i="1"/>
  <c r="F531" i="1"/>
  <c r="F530" i="1"/>
  <c r="F539" i="1"/>
  <c r="F538" i="1"/>
  <c r="F537" i="1"/>
  <c r="F536" i="1"/>
  <c r="F432" i="1"/>
  <c r="F431" i="1"/>
  <c r="F429" i="1"/>
  <c r="F430" i="1"/>
  <c r="F428" i="1"/>
  <c r="F427" i="1"/>
  <c r="F416" i="1"/>
  <c r="F415" i="1"/>
  <c r="F425" i="1"/>
  <c r="F361" i="1"/>
  <c r="F409" i="1"/>
  <c r="F365" i="1"/>
  <c r="F383" i="1"/>
  <c r="F392" i="1"/>
  <c r="F394" i="1"/>
  <c r="F382" i="1"/>
  <c r="F326" i="1"/>
  <c r="F295" i="1"/>
  <c r="F313" i="1"/>
  <c r="F310" i="1"/>
  <c r="F275" i="1"/>
  <c r="F389" i="1"/>
  <c r="F390" i="1"/>
  <c r="F395" i="1"/>
  <c r="F421" i="1"/>
  <c r="F422" i="1"/>
  <c r="F426" i="1"/>
  <c r="T421" i="1" l="1"/>
  <c r="U421" i="1" s="1"/>
  <c r="H421" i="1"/>
  <c r="I421" i="1" s="1"/>
  <c r="L421" i="1"/>
  <c r="M421" i="1" s="1"/>
  <c r="P421" i="1"/>
  <c r="Q421" i="1" s="1"/>
  <c r="N421" i="1"/>
  <c r="O421" i="1" s="1"/>
  <c r="R421" i="1"/>
  <c r="S421" i="1" s="1"/>
  <c r="V421" i="1"/>
  <c r="W421" i="1" s="1"/>
  <c r="J421" i="1"/>
  <c r="K421" i="1" s="1"/>
  <c r="T326" i="1"/>
  <c r="U326" i="1" s="1"/>
  <c r="H326" i="1"/>
  <c r="I326" i="1" s="1"/>
  <c r="V326" i="1"/>
  <c r="W326" i="1" s="1"/>
  <c r="N326" i="1"/>
  <c r="O326" i="1" s="1"/>
  <c r="R326" i="1"/>
  <c r="S326" i="1" s="1"/>
  <c r="L326" i="1"/>
  <c r="M326" i="1" s="1"/>
  <c r="P326" i="1"/>
  <c r="Q326" i="1" s="1"/>
  <c r="J326" i="1"/>
  <c r="K326" i="1" s="1"/>
  <c r="P425" i="1"/>
  <c r="Q425" i="1" s="1"/>
  <c r="H425" i="1"/>
  <c r="I425" i="1" s="1"/>
  <c r="T425" i="1"/>
  <c r="U425" i="1" s="1"/>
  <c r="J425" i="1"/>
  <c r="K425" i="1" s="1"/>
  <c r="V425" i="1"/>
  <c r="W425" i="1" s="1"/>
  <c r="N425" i="1"/>
  <c r="O425" i="1" s="1"/>
  <c r="L425" i="1"/>
  <c r="M425" i="1" s="1"/>
  <c r="R425" i="1"/>
  <c r="S425" i="1" s="1"/>
  <c r="T432" i="1"/>
  <c r="U432" i="1" s="1"/>
  <c r="P432" i="1"/>
  <c r="Q432" i="1" s="1"/>
  <c r="H432" i="1"/>
  <c r="I432" i="1" s="1"/>
  <c r="R432" i="1"/>
  <c r="S432" i="1" s="1"/>
  <c r="N432" i="1"/>
  <c r="O432" i="1" s="1"/>
  <c r="L432" i="1"/>
  <c r="M432" i="1" s="1"/>
  <c r="V432" i="1"/>
  <c r="W432" i="1" s="1"/>
  <c r="J432" i="1"/>
  <c r="K432" i="1" s="1"/>
  <c r="T430" i="1"/>
  <c r="U430" i="1" s="1"/>
  <c r="P430" i="1"/>
  <c r="Q430" i="1" s="1"/>
  <c r="H430" i="1"/>
  <c r="I430" i="1" s="1"/>
  <c r="L430" i="1"/>
  <c r="M430" i="1" s="1"/>
  <c r="N430" i="1"/>
  <c r="O430" i="1" s="1"/>
  <c r="R430" i="1"/>
  <c r="S430" i="1" s="1"/>
  <c r="V430" i="1"/>
  <c r="W430" i="1" s="1"/>
  <c r="J430" i="1"/>
  <c r="K430" i="1" s="1"/>
  <c r="V416" i="1"/>
  <c r="W416" i="1" s="1"/>
  <c r="P416" i="1"/>
  <c r="Q416" i="1" s="1"/>
  <c r="J416" i="1"/>
  <c r="K416" i="1" s="1"/>
  <c r="N416" i="1"/>
  <c r="O416" i="1" s="1"/>
  <c r="R416" i="1"/>
  <c r="S416" i="1" s="1"/>
  <c r="T416" i="1"/>
  <c r="U416" i="1" s="1"/>
  <c r="H416" i="1"/>
  <c r="I416" i="1" s="1"/>
  <c r="L416" i="1"/>
  <c r="M416" i="1" s="1"/>
  <c r="T428" i="1"/>
  <c r="U428" i="1" s="1"/>
  <c r="L428" i="1"/>
  <c r="M428" i="1" s="1"/>
  <c r="P428" i="1"/>
  <c r="Q428" i="1" s="1"/>
  <c r="V428" i="1"/>
  <c r="W428" i="1" s="1"/>
  <c r="R428" i="1"/>
  <c r="S428" i="1" s="1"/>
  <c r="J428" i="1"/>
  <c r="K428" i="1" s="1"/>
  <c r="H428" i="1"/>
  <c r="I428" i="1" s="1"/>
  <c r="N428" i="1"/>
  <c r="O428" i="1" s="1"/>
  <c r="T539" i="1"/>
  <c r="U539" i="1" s="1"/>
  <c r="L539" i="1"/>
  <c r="M539" i="1" s="1"/>
  <c r="R539" i="1"/>
  <c r="S539" i="1" s="1"/>
  <c r="J539" i="1"/>
  <c r="K539" i="1" s="1"/>
  <c r="H539" i="1"/>
  <c r="I539" i="1" s="1"/>
  <c r="V539" i="1"/>
  <c r="W539" i="1" s="1"/>
  <c r="P539" i="1"/>
  <c r="Q539" i="1" s="1"/>
  <c r="N539" i="1"/>
  <c r="O539" i="1" s="1"/>
  <c r="N415" i="1"/>
  <c r="O415" i="1" s="1"/>
  <c r="P415" i="1"/>
  <c r="Q415" i="1" s="1"/>
  <c r="T415" i="1"/>
  <c r="U415" i="1" s="1"/>
  <c r="H415" i="1"/>
  <c r="I415" i="1" s="1"/>
  <c r="R415" i="1"/>
  <c r="S415" i="1" s="1"/>
  <c r="L415" i="1"/>
  <c r="M415" i="1" s="1"/>
  <c r="V415" i="1"/>
  <c r="W415" i="1" s="1"/>
  <c r="J415" i="1"/>
  <c r="K415" i="1" s="1"/>
  <c r="T536" i="1"/>
  <c r="U536" i="1" s="1"/>
  <c r="L536" i="1"/>
  <c r="M536" i="1" s="1"/>
  <c r="R536" i="1"/>
  <c r="S536" i="1" s="1"/>
  <c r="J536" i="1"/>
  <c r="K536" i="1" s="1"/>
  <c r="H536" i="1"/>
  <c r="I536" i="1" s="1"/>
  <c r="V536" i="1"/>
  <c r="W536" i="1" s="1"/>
  <c r="P536" i="1"/>
  <c r="Q536" i="1" s="1"/>
  <c r="N536" i="1"/>
  <c r="O536" i="1" s="1"/>
  <c r="T530" i="1"/>
  <c r="U530" i="1" s="1"/>
  <c r="L530" i="1"/>
  <c r="M530" i="1" s="1"/>
  <c r="R530" i="1"/>
  <c r="S530" i="1" s="1"/>
  <c r="J530" i="1"/>
  <c r="K530" i="1" s="1"/>
  <c r="H530" i="1"/>
  <c r="I530" i="1" s="1"/>
  <c r="V530" i="1"/>
  <c r="W530" i="1" s="1"/>
  <c r="P530" i="1"/>
  <c r="Q530" i="1" s="1"/>
  <c r="N530" i="1"/>
  <c r="O530" i="1" s="1"/>
  <c r="V426" i="1"/>
  <c r="W426" i="1" s="1"/>
  <c r="N426" i="1"/>
  <c r="O426" i="1" s="1"/>
  <c r="J426" i="1"/>
  <c r="K426" i="1" s="1"/>
  <c r="H426" i="1"/>
  <c r="I426" i="1" s="1"/>
  <c r="T426" i="1"/>
  <c r="U426" i="1" s="1"/>
  <c r="L426" i="1"/>
  <c r="M426" i="1" s="1"/>
  <c r="R426" i="1"/>
  <c r="S426" i="1" s="1"/>
  <c r="P426" i="1"/>
  <c r="Q426" i="1" s="1"/>
  <c r="R429" i="1"/>
  <c r="S429" i="1" s="1"/>
  <c r="L429" i="1"/>
  <c r="M429" i="1" s="1"/>
  <c r="V429" i="1"/>
  <c r="W429" i="1" s="1"/>
  <c r="P429" i="1"/>
  <c r="Q429" i="1" s="1"/>
  <c r="J429" i="1"/>
  <c r="K429" i="1" s="1"/>
  <c r="T429" i="1"/>
  <c r="U429" i="1" s="1"/>
  <c r="H429" i="1"/>
  <c r="I429" i="1" s="1"/>
  <c r="N429" i="1"/>
  <c r="O429" i="1" s="1"/>
  <c r="T537" i="1"/>
  <c r="U537" i="1" s="1"/>
  <c r="L537" i="1"/>
  <c r="M537" i="1" s="1"/>
  <c r="R537" i="1"/>
  <c r="S537" i="1" s="1"/>
  <c r="J537" i="1"/>
  <c r="K537" i="1" s="1"/>
  <c r="H537" i="1"/>
  <c r="I537" i="1" s="1"/>
  <c r="V537" i="1"/>
  <c r="W537" i="1" s="1"/>
  <c r="P537" i="1"/>
  <c r="Q537" i="1" s="1"/>
  <c r="N537" i="1"/>
  <c r="O537" i="1" s="1"/>
  <c r="T531" i="1"/>
  <c r="U531" i="1" s="1"/>
  <c r="L531" i="1"/>
  <c r="M531" i="1" s="1"/>
  <c r="R531" i="1"/>
  <c r="S531" i="1" s="1"/>
  <c r="J531" i="1"/>
  <c r="K531" i="1" s="1"/>
  <c r="P531" i="1"/>
  <c r="Q531" i="1" s="1"/>
  <c r="N531" i="1"/>
  <c r="O531" i="1" s="1"/>
  <c r="V531" i="1"/>
  <c r="W531" i="1" s="1"/>
  <c r="H531" i="1"/>
  <c r="I531" i="1" s="1"/>
  <c r="R422" i="1"/>
  <c r="S422" i="1" s="1"/>
  <c r="L422" i="1"/>
  <c r="M422" i="1" s="1"/>
  <c r="N422" i="1"/>
  <c r="O422" i="1" s="1"/>
  <c r="V422" i="1"/>
  <c r="W422" i="1" s="1"/>
  <c r="P422" i="1"/>
  <c r="Q422" i="1" s="1"/>
  <c r="J422" i="1"/>
  <c r="K422" i="1" s="1"/>
  <c r="T422" i="1"/>
  <c r="U422" i="1" s="1"/>
  <c r="H422" i="1"/>
  <c r="I422" i="1" s="1"/>
  <c r="N427" i="1"/>
  <c r="O427" i="1" s="1"/>
  <c r="H427" i="1"/>
  <c r="I427" i="1" s="1"/>
  <c r="R427" i="1"/>
  <c r="S427" i="1" s="1"/>
  <c r="V427" i="1"/>
  <c r="W427" i="1" s="1"/>
  <c r="T427" i="1"/>
  <c r="U427" i="1" s="1"/>
  <c r="L427" i="1"/>
  <c r="M427" i="1" s="1"/>
  <c r="J427" i="1"/>
  <c r="K427" i="1" s="1"/>
  <c r="P427" i="1"/>
  <c r="Q427" i="1" s="1"/>
  <c r="R431" i="1"/>
  <c r="S431" i="1" s="1"/>
  <c r="L431" i="1"/>
  <c r="M431" i="1" s="1"/>
  <c r="T431" i="1"/>
  <c r="U431" i="1" s="1"/>
  <c r="H431" i="1"/>
  <c r="I431" i="1" s="1"/>
  <c r="N431" i="1"/>
  <c r="O431" i="1" s="1"/>
  <c r="V431" i="1"/>
  <c r="W431" i="1" s="1"/>
  <c r="J431" i="1"/>
  <c r="K431" i="1" s="1"/>
  <c r="P431" i="1"/>
  <c r="Q431" i="1" s="1"/>
  <c r="V538" i="1"/>
  <c r="W538" i="1" s="1"/>
  <c r="P538" i="1"/>
  <c r="Q538" i="1" s="1"/>
  <c r="T538" i="1"/>
  <c r="U538" i="1" s="1"/>
  <c r="J538" i="1"/>
  <c r="K538" i="1" s="1"/>
  <c r="H538" i="1"/>
  <c r="I538" i="1" s="1"/>
  <c r="R538" i="1"/>
  <c r="S538" i="1" s="1"/>
  <c r="N538" i="1"/>
  <c r="O538" i="1" s="1"/>
  <c r="L538" i="1"/>
  <c r="M538" i="1" s="1"/>
  <c r="V534" i="1"/>
  <c r="W534" i="1" s="1"/>
  <c r="P534" i="1"/>
  <c r="Q534" i="1" s="1"/>
  <c r="T534" i="1"/>
  <c r="U534" i="1" s="1"/>
  <c r="J534" i="1"/>
  <c r="K534" i="1" s="1"/>
  <c r="N534" i="1"/>
  <c r="O534" i="1" s="1"/>
  <c r="L534" i="1"/>
  <c r="M534" i="1" s="1"/>
  <c r="R534" i="1"/>
  <c r="S534" i="1" s="1"/>
  <c r="H534" i="1"/>
  <c r="I534" i="1" s="1"/>
  <c r="P395" i="1"/>
  <c r="Q395" i="1" s="1"/>
  <c r="N395" i="1"/>
  <c r="O395" i="1" s="1"/>
  <c r="L395" i="1"/>
  <c r="M395" i="1" s="1"/>
  <c r="R395" i="1"/>
  <c r="S395" i="1" s="1"/>
  <c r="V395" i="1"/>
  <c r="W395" i="1" s="1"/>
  <c r="T395" i="1"/>
  <c r="U395" i="1" s="1"/>
  <c r="T390" i="1"/>
  <c r="U390" i="1" s="1"/>
  <c r="R390" i="1"/>
  <c r="S390" i="1" s="1"/>
  <c r="P390" i="1"/>
  <c r="Q390" i="1" s="1"/>
  <c r="L390" i="1"/>
  <c r="M390" i="1" s="1"/>
  <c r="N390" i="1"/>
  <c r="O390" i="1" s="1"/>
  <c r="V390" i="1"/>
  <c r="W390" i="1" s="1"/>
  <c r="N409" i="1"/>
  <c r="O409" i="1" s="1"/>
  <c r="P409" i="1"/>
  <c r="Q409" i="1" s="1"/>
  <c r="R409" i="1"/>
  <c r="S409" i="1" s="1"/>
  <c r="V409" i="1"/>
  <c r="W409" i="1" s="1"/>
  <c r="T409" i="1"/>
  <c r="U409" i="1" s="1"/>
  <c r="L409" i="1"/>
  <c r="M409" i="1" s="1"/>
  <c r="V389" i="1"/>
  <c r="W389" i="1" s="1"/>
  <c r="N389" i="1"/>
  <c r="O389" i="1" s="1"/>
  <c r="T389" i="1"/>
  <c r="U389" i="1" s="1"/>
  <c r="R389" i="1"/>
  <c r="S389" i="1" s="1"/>
  <c r="L389" i="1"/>
  <c r="M389" i="1" s="1"/>
  <c r="P389" i="1"/>
  <c r="Q389" i="1" s="1"/>
  <c r="V394" i="1"/>
  <c r="W394" i="1" s="1"/>
  <c r="T394" i="1"/>
  <c r="U394" i="1" s="1"/>
  <c r="R394" i="1"/>
  <c r="S394" i="1" s="1"/>
  <c r="P394" i="1"/>
  <c r="Q394" i="1" s="1"/>
  <c r="N394" i="1"/>
  <c r="O394" i="1" s="1"/>
  <c r="L394" i="1"/>
  <c r="M394" i="1" s="1"/>
  <c r="N392" i="1"/>
  <c r="O392" i="1" s="1"/>
  <c r="V392" i="1"/>
  <c r="W392" i="1" s="1"/>
  <c r="L392" i="1"/>
  <c r="M392" i="1" s="1"/>
  <c r="T392" i="1"/>
  <c r="U392" i="1" s="1"/>
  <c r="R392" i="1"/>
  <c r="S392" i="1" s="1"/>
  <c r="P392" i="1"/>
  <c r="Q392" i="1" s="1"/>
  <c r="V365" i="1"/>
  <c r="W365" i="1" s="1"/>
  <c r="T365" i="1"/>
  <c r="U365" i="1" s="1"/>
  <c r="R365" i="1"/>
  <c r="S365" i="1" s="1"/>
  <c r="P365" i="1"/>
  <c r="Q365" i="1" s="1"/>
  <c r="N365" i="1"/>
  <c r="O365" i="1" s="1"/>
  <c r="L365" i="1"/>
  <c r="M365" i="1" s="1"/>
  <c r="V361" i="1"/>
  <c r="W361" i="1" s="1"/>
  <c r="R361" i="1"/>
  <c r="S361" i="1" s="1"/>
  <c r="P361" i="1"/>
  <c r="Q361" i="1" s="1"/>
  <c r="N361" i="1"/>
  <c r="O361" i="1" s="1"/>
  <c r="L361" i="1"/>
  <c r="M361" i="1" s="1"/>
  <c r="T361" i="1"/>
  <c r="U361" i="1" s="1"/>
  <c r="P310" i="1"/>
  <c r="Q310" i="1" s="1"/>
  <c r="N310" i="1"/>
  <c r="O310" i="1" s="1"/>
  <c r="L310" i="1"/>
  <c r="M310" i="1" s="1"/>
  <c r="J310" i="1"/>
  <c r="K310" i="1" s="1"/>
  <c r="H310" i="1"/>
  <c r="I310" i="1" s="1"/>
  <c r="V310" i="1"/>
  <c r="W310" i="1" s="1"/>
  <c r="T310" i="1"/>
  <c r="U310" i="1" s="1"/>
  <c r="R310" i="1"/>
  <c r="S310" i="1" s="1"/>
  <c r="L313" i="1"/>
  <c r="M313" i="1" s="1"/>
  <c r="J313" i="1"/>
  <c r="K313" i="1" s="1"/>
  <c r="H313" i="1"/>
  <c r="I313" i="1" s="1"/>
  <c r="V313" i="1"/>
  <c r="W313" i="1" s="1"/>
  <c r="T313" i="1"/>
  <c r="U313" i="1" s="1"/>
  <c r="R313" i="1"/>
  <c r="S313" i="1" s="1"/>
  <c r="P313" i="1"/>
  <c r="Q313" i="1" s="1"/>
  <c r="N313" i="1"/>
  <c r="O313" i="1" s="1"/>
  <c r="L275" i="1"/>
  <c r="M275" i="1" s="1"/>
  <c r="V275" i="1"/>
  <c r="W275" i="1" s="1"/>
  <c r="T275" i="1"/>
  <c r="U275" i="1" s="1"/>
  <c r="R275" i="1"/>
  <c r="S275" i="1" s="1"/>
  <c r="P275" i="1"/>
  <c r="Q275" i="1" s="1"/>
  <c r="N275" i="1"/>
  <c r="O275" i="1" s="1"/>
  <c r="J275" i="1"/>
  <c r="K275" i="1" s="1"/>
  <c r="V295" i="1"/>
  <c r="W295" i="1" s="1"/>
  <c r="T295" i="1"/>
  <c r="U295" i="1" s="1"/>
  <c r="R295" i="1"/>
  <c r="S295" i="1" s="1"/>
  <c r="P295" i="1"/>
  <c r="Q295" i="1" s="1"/>
  <c r="N295" i="1"/>
  <c r="O295" i="1" s="1"/>
  <c r="L295" i="1"/>
  <c r="M295" i="1" s="1"/>
  <c r="J295" i="1"/>
  <c r="K295" i="1" s="1"/>
  <c r="H295" i="1"/>
  <c r="I295" i="1" s="1"/>
  <c r="T383" i="1"/>
  <c r="U383" i="1" s="1"/>
  <c r="R383" i="1"/>
  <c r="S383" i="1" s="1"/>
  <c r="P383" i="1"/>
  <c r="Q383" i="1" s="1"/>
  <c r="N383" i="1"/>
  <c r="O383" i="1" s="1"/>
  <c r="L383" i="1"/>
  <c r="M383" i="1" s="1"/>
  <c r="V383" i="1"/>
  <c r="W383" i="1" s="1"/>
  <c r="P382" i="1"/>
  <c r="Q382" i="1" s="1"/>
  <c r="N382" i="1"/>
  <c r="O382" i="1" s="1"/>
  <c r="L382" i="1"/>
  <c r="M382" i="1" s="1"/>
  <c r="V382" i="1"/>
  <c r="W382" i="1" s="1"/>
  <c r="T382" i="1"/>
  <c r="U382" i="1" s="1"/>
  <c r="R382" i="1"/>
  <c r="S382" i="1" s="1"/>
  <c r="G313" i="1"/>
  <c r="G310" i="1"/>
  <c r="G275" i="1"/>
  <c r="G389" i="1"/>
  <c r="G390" i="1"/>
  <c r="G426" i="1" l="1"/>
  <c r="F466" i="1" l="1"/>
  <c r="F488" i="1"/>
  <c r="F487" i="1"/>
  <c r="F491" i="1"/>
  <c r="F517" i="1"/>
  <c r="G511" i="1"/>
  <c r="F508" i="1"/>
  <c r="F507" i="1"/>
  <c r="F672" i="1"/>
  <c r="F689" i="1"/>
  <c r="F688" i="1"/>
  <c r="F686" i="1"/>
  <c r="T689" i="1" l="1"/>
  <c r="N689" i="1"/>
  <c r="L689" i="1"/>
  <c r="P689" i="1"/>
  <c r="J689" i="1"/>
  <c r="R689" i="1"/>
  <c r="R686" i="1"/>
  <c r="P686" i="1"/>
  <c r="T686" i="1"/>
  <c r="J686" i="1"/>
  <c r="V686" i="1"/>
  <c r="L686" i="1"/>
  <c r="N686" i="1"/>
  <c r="R688" i="1"/>
  <c r="S688" i="1" s="1"/>
  <c r="J688" i="1"/>
  <c r="K688" i="1" s="1"/>
  <c r="P688" i="1"/>
  <c r="Q688" i="1" s="1"/>
  <c r="H688" i="1"/>
  <c r="I688" i="1" s="1"/>
  <c r="T688" i="1"/>
  <c r="U688" i="1" s="1"/>
  <c r="V688" i="1"/>
  <c r="W688" i="1" s="1"/>
  <c r="N688" i="1"/>
  <c r="O688" i="1" s="1"/>
  <c r="L688" i="1"/>
  <c r="M688" i="1" s="1"/>
  <c r="R672" i="1"/>
  <c r="S672" i="1" s="1"/>
  <c r="J672" i="1"/>
  <c r="K672" i="1" s="1"/>
  <c r="T672" i="1"/>
  <c r="U672" i="1" s="1"/>
  <c r="L672" i="1"/>
  <c r="M672" i="1" s="1"/>
  <c r="P672" i="1"/>
  <c r="Q672" i="1" s="1"/>
  <c r="H672" i="1"/>
  <c r="I672" i="1" s="1"/>
  <c r="V672" i="1"/>
  <c r="W672" i="1" s="1"/>
  <c r="N672" i="1"/>
  <c r="O672" i="1" s="1"/>
  <c r="R507" i="1"/>
  <c r="S507" i="1" s="1"/>
  <c r="L507" i="1"/>
  <c r="M507" i="1" s="1"/>
  <c r="H507" i="1"/>
  <c r="I507" i="1" s="1"/>
  <c r="V507" i="1"/>
  <c r="W507" i="1" s="1"/>
  <c r="P507" i="1"/>
  <c r="Q507" i="1" s="1"/>
  <c r="N507" i="1"/>
  <c r="O507" i="1" s="1"/>
  <c r="T507" i="1"/>
  <c r="U507" i="1" s="1"/>
  <c r="J507" i="1"/>
  <c r="K507" i="1" s="1"/>
  <c r="H508" i="1"/>
  <c r="I508" i="1" s="1"/>
  <c r="N508" i="1"/>
  <c r="O508" i="1" s="1"/>
  <c r="R508" i="1"/>
  <c r="S508" i="1" s="1"/>
  <c r="L508" i="1"/>
  <c r="M508" i="1" s="1"/>
  <c r="T508" i="1"/>
  <c r="U508" i="1" s="1"/>
  <c r="J508" i="1"/>
  <c r="K508" i="1" s="1"/>
  <c r="V508" i="1"/>
  <c r="W508" i="1" s="1"/>
  <c r="P508" i="1"/>
  <c r="Q508" i="1" s="1"/>
  <c r="T517" i="1"/>
  <c r="U517" i="1" s="1"/>
  <c r="L517" i="1"/>
  <c r="M517" i="1" s="1"/>
  <c r="R517" i="1"/>
  <c r="S517" i="1" s="1"/>
  <c r="J517" i="1"/>
  <c r="K517" i="1" s="1"/>
  <c r="H517" i="1"/>
  <c r="I517" i="1" s="1"/>
  <c r="N517" i="1"/>
  <c r="O517" i="1" s="1"/>
  <c r="V517" i="1"/>
  <c r="W517" i="1" s="1"/>
  <c r="P517" i="1"/>
  <c r="Q517" i="1" s="1"/>
  <c r="R491" i="1"/>
  <c r="S491" i="1" s="1"/>
  <c r="H491" i="1"/>
  <c r="I491" i="1" s="1"/>
  <c r="V491" i="1"/>
  <c r="W491" i="1" s="1"/>
  <c r="T491" i="1"/>
  <c r="U491" i="1" s="1"/>
  <c r="P491" i="1"/>
  <c r="Q491" i="1" s="1"/>
  <c r="L491" i="1"/>
  <c r="M491" i="1" s="1"/>
  <c r="N491" i="1"/>
  <c r="O491" i="1" s="1"/>
  <c r="J491" i="1"/>
  <c r="K491" i="1" s="1"/>
  <c r="L487" i="1"/>
  <c r="M487" i="1" s="1"/>
  <c r="J487" i="1"/>
  <c r="K487" i="1" s="1"/>
  <c r="N487" i="1"/>
  <c r="O487" i="1" s="1"/>
  <c r="H487" i="1"/>
  <c r="I487" i="1" s="1"/>
  <c r="V487" i="1"/>
  <c r="W487" i="1" s="1"/>
  <c r="R487" i="1"/>
  <c r="S487" i="1" s="1"/>
  <c r="P487" i="1"/>
  <c r="Q487" i="1" s="1"/>
  <c r="T487" i="1"/>
  <c r="U487" i="1" s="1"/>
  <c r="L488" i="1"/>
  <c r="M488" i="1" s="1"/>
  <c r="J488" i="1"/>
  <c r="K488" i="1" s="1"/>
  <c r="H488" i="1"/>
  <c r="I488" i="1" s="1"/>
  <c r="K689" i="1"/>
  <c r="K686" i="1"/>
  <c r="G508" i="1"/>
  <c r="G507" i="1"/>
  <c r="G672" i="1"/>
  <c r="G688" i="1"/>
  <c r="F617" i="1" l="1"/>
  <c r="F312" i="1"/>
  <c r="F14" i="1"/>
  <c r="L617" i="1" l="1"/>
  <c r="M617" i="1" s="1"/>
  <c r="R617" i="1"/>
  <c r="S617" i="1" s="1"/>
  <c r="H617" i="1"/>
  <c r="I617" i="1" s="1"/>
  <c r="N617" i="1"/>
  <c r="O617" i="1" s="1"/>
  <c r="J617" i="1"/>
  <c r="K617" i="1" s="1"/>
  <c r="V617" i="1"/>
  <c r="W617" i="1" s="1"/>
  <c r="P617" i="1"/>
  <c r="Q617" i="1" s="1"/>
  <c r="T617" i="1"/>
  <c r="U617" i="1" s="1"/>
  <c r="L312" i="1"/>
  <c r="M312" i="1" s="1"/>
  <c r="H312" i="1"/>
  <c r="I312" i="1" s="1"/>
  <c r="V312" i="1"/>
  <c r="W312" i="1" s="1"/>
  <c r="T312" i="1"/>
  <c r="U312" i="1" s="1"/>
  <c r="R312" i="1"/>
  <c r="S312" i="1" s="1"/>
  <c r="P312" i="1"/>
  <c r="Q312" i="1" s="1"/>
  <c r="J312" i="1"/>
  <c r="K312" i="1" s="1"/>
  <c r="N312" i="1"/>
  <c r="O312" i="1" s="1"/>
  <c r="H14" i="1"/>
  <c r="R14" i="1"/>
  <c r="J14" i="1"/>
  <c r="T14" i="1"/>
  <c r="L14" i="1"/>
  <c r="P14" i="1"/>
  <c r="N14" i="1"/>
  <c r="G617" i="1"/>
  <c r="G468" i="1"/>
  <c r="G416" i="1" l="1"/>
  <c r="G467" i="1"/>
  <c r="F330" i="1"/>
  <c r="G330" i="1" l="1"/>
  <c r="G235" i="1" l="1"/>
  <c r="F213" i="1"/>
  <c r="P213" i="1" l="1"/>
  <c r="Q213" i="1" s="1"/>
  <c r="N213" i="1"/>
  <c r="O213" i="1" s="1"/>
  <c r="L213" i="1"/>
  <c r="M213" i="1" s="1"/>
  <c r="J213" i="1"/>
  <c r="K213" i="1" s="1"/>
  <c r="H213" i="1"/>
  <c r="I213" i="1" s="1"/>
  <c r="V213" i="1"/>
  <c r="W213" i="1" s="1"/>
  <c r="R213" i="1"/>
  <c r="S213" i="1" s="1"/>
  <c r="T213" i="1"/>
  <c r="U213" i="1" s="1"/>
  <c r="G544" i="1" l="1"/>
  <c r="F289" i="1"/>
  <c r="R289" i="1" l="1"/>
  <c r="S289" i="1" s="1"/>
  <c r="N289" i="1"/>
  <c r="O289" i="1" s="1"/>
  <c r="L289" i="1"/>
  <c r="M289" i="1" s="1"/>
  <c r="J289" i="1"/>
  <c r="K289" i="1" s="1"/>
  <c r="H289" i="1"/>
  <c r="I289" i="1" s="1"/>
  <c r="V289" i="1"/>
  <c r="W289" i="1" s="1"/>
  <c r="T289" i="1"/>
  <c r="U289" i="1" s="1"/>
  <c r="P289" i="1"/>
  <c r="Q289" i="1" s="1"/>
  <c r="G289" i="1"/>
  <c r="G273" i="1" l="1"/>
  <c r="L444" i="1"/>
  <c r="F435" i="1" l="1"/>
  <c r="F419" i="1"/>
  <c r="V419" i="1" l="1"/>
  <c r="N419" i="1"/>
  <c r="O419" i="1" s="1"/>
  <c r="J419" i="1"/>
  <c r="K419" i="1" s="1"/>
  <c r="H419" i="1"/>
  <c r="I419" i="1" s="1"/>
  <c r="T419" i="1"/>
  <c r="U419" i="1" s="1"/>
  <c r="L419" i="1"/>
  <c r="R419" i="1"/>
  <c r="S419" i="1" s="1"/>
  <c r="P419" i="1"/>
  <c r="Q419" i="1" s="1"/>
  <c r="P435" i="1"/>
  <c r="Q435" i="1" s="1"/>
  <c r="H435" i="1"/>
  <c r="I435" i="1" s="1"/>
  <c r="L435" i="1"/>
  <c r="M435" i="1" s="1"/>
  <c r="R435" i="1"/>
  <c r="S435" i="1" s="1"/>
  <c r="V435" i="1"/>
  <c r="W435" i="1" s="1"/>
  <c r="N435" i="1"/>
  <c r="O435" i="1" s="1"/>
  <c r="T435" i="1"/>
  <c r="U435" i="1" s="1"/>
  <c r="J435" i="1"/>
  <c r="K435" i="1" s="1"/>
  <c r="G435" i="1"/>
  <c r="G419" i="1"/>
  <c r="W419" i="1"/>
  <c r="M419" i="1"/>
  <c r="F250" i="1"/>
  <c r="K496" i="1"/>
  <c r="G496" i="1"/>
  <c r="F420" i="1"/>
  <c r="I631" i="1"/>
  <c r="I632" i="1"/>
  <c r="W498" i="1"/>
  <c r="U498" i="1"/>
  <c r="S498" i="1"/>
  <c r="Q498" i="1"/>
  <c r="O498" i="1"/>
  <c r="M498" i="1"/>
  <c r="F457" i="1"/>
  <c r="N457" i="1" l="1"/>
  <c r="O457" i="1" s="1"/>
  <c r="H457" i="1"/>
  <c r="I457" i="1" s="1"/>
  <c r="R457" i="1"/>
  <c r="S457" i="1" s="1"/>
  <c r="L457" i="1"/>
  <c r="M457" i="1" s="1"/>
  <c r="V457" i="1"/>
  <c r="W457" i="1" s="1"/>
  <c r="P457" i="1"/>
  <c r="Q457" i="1" s="1"/>
  <c r="T457" i="1"/>
  <c r="U457" i="1" s="1"/>
  <c r="J457" i="1"/>
  <c r="K457" i="1" s="1"/>
  <c r="P420" i="1"/>
  <c r="Q420" i="1" s="1"/>
  <c r="H420" i="1"/>
  <c r="I420" i="1" s="1"/>
  <c r="J420" i="1"/>
  <c r="K420" i="1" s="1"/>
  <c r="V420" i="1"/>
  <c r="W420" i="1" s="1"/>
  <c r="N420" i="1"/>
  <c r="O420" i="1" s="1"/>
  <c r="T420" i="1"/>
  <c r="U420" i="1" s="1"/>
  <c r="L420" i="1"/>
  <c r="M420" i="1" s="1"/>
  <c r="R420" i="1"/>
  <c r="S420" i="1" s="1"/>
  <c r="N250" i="1"/>
  <c r="O250" i="1" s="1"/>
  <c r="P250" i="1"/>
  <c r="Q250" i="1" s="1"/>
  <c r="R250" i="1"/>
  <c r="S250" i="1" s="1"/>
  <c r="T250" i="1"/>
  <c r="U250" i="1" s="1"/>
  <c r="V250" i="1"/>
  <c r="W250" i="1" s="1"/>
  <c r="H250" i="1"/>
  <c r="I250" i="1" s="1"/>
  <c r="J250" i="1"/>
  <c r="K250" i="1" s="1"/>
  <c r="L250" i="1"/>
  <c r="M250" i="1" s="1"/>
  <c r="G570" i="1"/>
  <c r="G250" i="1"/>
  <c r="G420" i="1"/>
  <c r="G457" i="1"/>
  <c r="P466" i="1"/>
  <c r="J466" i="1" l="1"/>
  <c r="K466" i="1" s="1"/>
  <c r="L466" i="1"/>
  <c r="M466" i="1" s="1"/>
  <c r="N466" i="1"/>
  <c r="O466" i="1" s="1"/>
  <c r="V466" i="1"/>
  <c r="W466" i="1" s="1"/>
  <c r="T466" i="1"/>
  <c r="U466" i="1" s="1"/>
  <c r="R466" i="1"/>
  <c r="S466" i="1" s="1"/>
  <c r="G170" i="1"/>
  <c r="Q466" i="1"/>
  <c r="G466" i="1"/>
  <c r="G257" i="1" l="1"/>
  <c r="F369" i="1"/>
  <c r="V369" i="1" l="1"/>
  <c r="W369" i="1" s="1"/>
  <c r="R369" i="1"/>
  <c r="S369" i="1" s="1"/>
  <c r="P369" i="1"/>
  <c r="Q369" i="1" s="1"/>
  <c r="N369" i="1"/>
  <c r="O369" i="1" s="1"/>
  <c r="L369" i="1"/>
  <c r="M369" i="1" s="1"/>
  <c r="T369" i="1"/>
  <c r="U369" i="1" s="1"/>
  <c r="G369" i="1"/>
  <c r="F388" i="1"/>
  <c r="F359" i="1"/>
  <c r="V388" i="1" l="1"/>
  <c r="W388" i="1" s="1"/>
  <c r="T388" i="1"/>
  <c r="U388" i="1" s="1"/>
  <c r="R388" i="1"/>
  <c r="S388" i="1" s="1"/>
  <c r="L388" i="1"/>
  <c r="M388" i="1" s="1"/>
  <c r="P388" i="1"/>
  <c r="Q388" i="1" s="1"/>
  <c r="N388" i="1"/>
  <c r="O388" i="1" s="1"/>
  <c r="V359" i="1"/>
  <c r="W359" i="1" s="1"/>
  <c r="T359" i="1"/>
  <c r="U359" i="1" s="1"/>
  <c r="R359" i="1"/>
  <c r="S359" i="1" s="1"/>
  <c r="P359" i="1"/>
  <c r="Q359" i="1" s="1"/>
  <c r="N359" i="1"/>
  <c r="O359" i="1" s="1"/>
  <c r="L359" i="1"/>
  <c r="M359" i="1" s="1"/>
  <c r="G603" i="1"/>
  <c r="F577" i="1"/>
  <c r="F580" i="1"/>
  <c r="F575" i="1"/>
  <c r="F582" i="1"/>
  <c r="F583" i="1"/>
  <c r="F593" i="1"/>
  <c r="F599" i="1"/>
  <c r="F584" i="1"/>
  <c r="F595" i="1"/>
  <c r="P577" i="1" l="1"/>
  <c r="Q577" i="1" s="1"/>
  <c r="H577" i="1"/>
  <c r="I577" i="1" s="1"/>
  <c r="V577" i="1"/>
  <c r="W577" i="1" s="1"/>
  <c r="N577" i="1"/>
  <c r="O577" i="1" s="1"/>
  <c r="T577" i="1"/>
  <c r="U577" i="1" s="1"/>
  <c r="L577" i="1"/>
  <c r="M577" i="1" s="1"/>
  <c r="J577" i="1"/>
  <c r="K577" i="1" s="1"/>
  <c r="R577" i="1"/>
  <c r="S577" i="1" s="1"/>
  <c r="H599" i="1"/>
  <c r="I599" i="1" s="1"/>
  <c r="L599" i="1"/>
  <c r="M599" i="1" s="1"/>
  <c r="P599" i="1"/>
  <c r="Q599" i="1" s="1"/>
  <c r="T599" i="1"/>
  <c r="U599" i="1" s="1"/>
  <c r="N599" i="1"/>
  <c r="O599" i="1" s="1"/>
  <c r="V599" i="1"/>
  <c r="W599" i="1" s="1"/>
  <c r="J599" i="1"/>
  <c r="K599" i="1" s="1"/>
  <c r="R599" i="1"/>
  <c r="S599" i="1" s="1"/>
  <c r="P575" i="1"/>
  <c r="Q575" i="1" s="1"/>
  <c r="H575" i="1"/>
  <c r="I575" i="1" s="1"/>
  <c r="V575" i="1"/>
  <c r="W575" i="1" s="1"/>
  <c r="N575" i="1"/>
  <c r="O575" i="1" s="1"/>
  <c r="T575" i="1"/>
  <c r="U575" i="1" s="1"/>
  <c r="R575" i="1"/>
  <c r="S575" i="1" s="1"/>
  <c r="L575" i="1"/>
  <c r="M575" i="1" s="1"/>
  <c r="J575" i="1"/>
  <c r="K575" i="1" s="1"/>
  <c r="H593" i="1"/>
  <c r="I593" i="1" s="1"/>
  <c r="L593" i="1"/>
  <c r="M593" i="1" s="1"/>
  <c r="P593" i="1"/>
  <c r="Q593" i="1" s="1"/>
  <c r="T593" i="1"/>
  <c r="U593" i="1" s="1"/>
  <c r="N593" i="1"/>
  <c r="O593" i="1" s="1"/>
  <c r="V593" i="1"/>
  <c r="W593" i="1" s="1"/>
  <c r="J593" i="1"/>
  <c r="K593" i="1" s="1"/>
  <c r="R593" i="1"/>
  <c r="S593" i="1" s="1"/>
  <c r="P580" i="1"/>
  <c r="Q580" i="1" s="1"/>
  <c r="H580" i="1"/>
  <c r="I580" i="1" s="1"/>
  <c r="V580" i="1"/>
  <c r="W580" i="1" s="1"/>
  <c r="N580" i="1"/>
  <c r="O580" i="1" s="1"/>
  <c r="T580" i="1"/>
  <c r="U580" i="1" s="1"/>
  <c r="L580" i="1"/>
  <c r="M580" i="1" s="1"/>
  <c r="J580" i="1"/>
  <c r="K580" i="1" s="1"/>
  <c r="R580" i="1"/>
  <c r="S580" i="1" s="1"/>
  <c r="H595" i="1"/>
  <c r="I595" i="1" s="1"/>
  <c r="L595" i="1"/>
  <c r="M595" i="1" s="1"/>
  <c r="P595" i="1"/>
  <c r="Q595" i="1" s="1"/>
  <c r="T595" i="1"/>
  <c r="U595" i="1" s="1"/>
  <c r="N595" i="1"/>
  <c r="O595" i="1" s="1"/>
  <c r="V595" i="1"/>
  <c r="W595" i="1" s="1"/>
  <c r="J595" i="1"/>
  <c r="K595" i="1" s="1"/>
  <c r="R595" i="1"/>
  <c r="S595" i="1" s="1"/>
  <c r="H583" i="1"/>
  <c r="I583" i="1" s="1"/>
  <c r="L583" i="1"/>
  <c r="M583" i="1" s="1"/>
  <c r="P583" i="1"/>
  <c r="Q583" i="1" s="1"/>
  <c r="T583" i="1"/>
  <c r="U583" i="1" s="1"/>
  <c r="J583" i="1"/>
  <c r="K583" i="1" s="1"/>
  <c r="R583" i="1"/>
  <c r="S583" i="1" s="1"/>
  <c r="V583" i="1"/>
  <c r="W583" i="1" s="1"/>
  <c r="N583" i="1"/>
  <c r="O583" i="1" s="1"/>
  <c r="H584" i="1"/>
  <c r="I584" i="1" s="1"/>
  <c r="L584" i="1"/>
  <c r="M584" i="1" s="1"/>
  <c r="P584" i="1"/>
  <c r="Q584" i="1" s="1"/>
  <c r="T584" i="1"/>
  <c r="U584" i="1" s="1"/>
  <c r="J584" i="1"/>
  <c r="K584" i="1" s="1"/>
  <c r="R584" i="1"/>
  <c r="S584" i="1" s="1"/>
  <c r="V584" i="1"/>
  <c r="W584" i="1" s="1"/>
  <c r="N584" i="1"/>
  <c r="O584" i="1" s="1"/>
  <c r="P582" i="1"/>
  <c r="Q582" i="1" s="1"/>
  <c r="H582" i="1"/>
  <c r="I582" i="1" s="1"/>
  <c r="V582" i="1"/>
  <c r="W582" i="1" s="1"/>
  <c r="N582" i="1"/>
  <c r="O582" i="1" s="1"/>
  <c r="T582" i="1"/>
  <c r="U582" i="1" s="1"/>
  <c r="L582" i="1"/>
  <c r="M582" i="1" s="1"/>
  <c r="J582" i="1"/>
  <c r="K582" i="1" s="1"/>
  <c r="R582" i="1"/>
  <c r="S582" i="1" s="1"/>
  <c r="G599" i="1"/>
  <c r="G584" i="1"/>
  <c r="G580" i="1"/>
  <c r="G577" i="1"/>
  <c r="G595" i="1" l="1"/>
  <c r="F314" i="1" l="1"/>
  <c r="F296" i="1"/>
  <c r="F291" i="1"/>
  <c r="F290" i="1"/>
  <c r="F283" i="1"/>
  <c r="F287" i="1"/>
  <c r="F248" i="1"/>
  <c r="F279" i="1"/>
  <c r="F270" i="1"/>
  <c r="F269" i="1"/>
  <c r="F261" i="1"/>
  <c r="F260" i="1"/>
  <c r="F251" i="1"/>
  <c r="F592" i="1"/>
  <c r="F232" i="1"/>
  <c r="F198" i="1"/>
  <c r="F173" i="1"/>
  <c r="F165" i="1"/>
  <c r="F164" i="1"/>
  <c r="F163" i="1"/>
  <c r="F562" i="1"/>
  <c r="H592" i="1" l="1"/>
  <c r="I592" i="1" s="1"/>
  <c r="L592" i="1"/>
  <c r="M592" i="1" s="1"/>
  <c r="P592" i="1"/>
  <c r="Q592" i="1" s="1"/>
  <c r="T592" i="1"/>
  <c r="U592" i="1" s="1"/>
  <c r="N592" i="1"/>
  <c r="O592" i="1" s="1"/>
  <c r="V592" i="1"/>
  <c r="W592" i="1" s="1"/>
  <c r="R592" i="1"/>
  <c r="S592" i="1" s="1"/>
  <c r="J592" i="1"/>
  <c r="K592" i="1" s="1"/>
  <c r="N269" i="1"/>
  <c r="O269" i="1" s="1"/>
  <c r="R269" i="1"/>
  <c r="S269" i="1" s="1"/>
  <c r="V269" i="1"/>
  <c r="W269" i="1" s="1"/>
  <c r="H269" i="1"/>
  <c r="I269" i="1" s="1"/>
  <c r="J269" i="1"/>
  <c r="K269" i="1" s="1"/>
  <c r="L269" i="1"/>
  <c r="M269" i="1" s="1"/>
  <c r="P269" i="1"/>
  <c r="Q269" i="1" s="1"/>
  <c r="T269" i="1"/>
  <c r="U269" i="1" s="1"/>
  <c r="R270" i="1"/>
  <c r="S270" i="1" s="1"/>
  <c r="T270" i="1"/>
  <c r="U270" i="1" s="1"/>
  <c r="V270" i="1"/>
  <c r="W270" i="1" s="1"/>
  <c r="H270" i="1"/>
  <c r="I270" i="1" s="1"/>
  <c r="J270" i="1"/>
  <c r="K270" i="1" s="1"/>
  <c r="L270" i="1"/>
  <c r="M270" i="1" s="1"/>
  <c r="N270" i="1"/>
  <c r="O270" i="1" s="1"/>
  <c r="P270" i="1"/>
  <c r="Q270" i="1" s="1"/>
  <c r="L198" i="1"/>
  <c r="M198" i="1" s="1"/>
  <c r="V198" i="1"/>
  <c r="W198" i="1" s="1"/>
  <c r="T198" i="1"/>
  <c r="U198" i="1" s="1"/>
  <c r="R198" i="1"/>
  <c r="S198" i="1" s="1"/>
  <c r="P198" i="1"/>
  <c r="Q198" i="1" s="1"/>
  <c r="N198" i="1"/>
  <c r="O198" i="1" s="1"/>
  <c r="R163" i="1"/>
  <c r="S163" i="1" s="1"/>
  <c r="N163" i="1"/>
  <c r="O163" i="1" s="1"/>
  <c r="P163" i="1"/>
  <c r="Q163" i="1" s="1"/>
  <c r="T163" i="1"/>
  <c r="U163" i="1" s="1"/>
  <c r="L163" i="1"/>
  <c r="M163" i="1" s="1"/>
  <c r="J163" i="1"/>
  <c r="K163" i="1" s="1"/>
  <c r="V163" i="1"/>
  <c r="W163" i="1" s="1"/>
  <c r="J287" i="1"/>
  <c r="K287" i="1" s="1"/>
  <c r="L287" i="1"/>
  <c r="M287" i="1" s="1"/>
  <c r="P287" i="1"/>
  <c r="Q287" i="1" s="1"/>
  <c r="R287" i="1"/>
  <c r="S287" i="1" s="1"/>
  <c r="T287" i="1"/>
  <c r="U287" i="1" s="1"/>
  <c r="H287" i="1"/>
  <c r="I287" i="1" s="1"/>
  <c r="N287" i="1"/>
  <c r="O287" i="1" s="1"/>
  <c r="V287" i="1"/>
  <c r="W287" i="1" s="1"/>
  <c r="H291" i="1"/>
  <c r="I291" i="1" s="1"/>
  <c r="V291" i="1"/>
  <c r="W291" i="1" s="1"/>
  <c r="T291" i="1"/>
  <c r="U291" i="1" s="1"/>
  <c r="R291" i="1"/>
  <c r="S291" i="1" s="1"/>
  <c r="P291" i="1"/>
  <c r="Q291" i="1" s="1"/>
  <c r="N291" i="1"/>
  <c r="O291" i="1" s="1"/>
  <c r="L291" i="1"/>
  <c r="M291" i="1" s="1"/>
  <c r="J291" i="1"/>
  <c r="K291" i="1" s="1"/>
  <c r="R261" i="1"/>
  <c r="S261" i="1" s="1"/>
  <c r="T261" i="1"/>
  <c r="U261" i="1" s="1"/>
  <c r="V261" i="1"/>
  <c r="W261" i="1" s="1"/>
  <c r="H261" i="1"/>
  <c r="I261" i="1" s="1"/>
  <c r="J261" i="1"/>
  <c r="K261" i="1" s="1"/>
  <c r="L261" i="1"/>
  <c r="M261" i="1" s="1"/>
  <c r="P261" i="1"/>
  <c r="Q261" i="1" s="1"/>
  <c r="N261" i="1"/>
  <c r="O261" i="1" s="1"/>
  <c r="T562" i="1"/>
  <c r="J562" i="1"/>
  <c r="K562" i="1" s="1"/>
  <c r="V562" i="1"/>
  <c r="W562" i="1" s="1"/>
  <c r="N562" i="1"/>
  <c r="P562" i="1"/>
  <c r="Q562" i="1" s="1"/>
  <c r="L562" i="1"/>
  <c r="M562" i="1" s="1"/>
  <c r="R562" i="1"/>
  <c r="S562" i="1" s="1"/>
  <c r="J248" i="1"/>
  <c r="K248" i="1" s="1"/>
  <c r="L248" i="1"/>
  <c r="M248" i="1" s="1"/>
  <c r="N248" i="1"/>
  <c r="O248" i="1" s="1"/>
  <c r="P248" i="1"/>
  <c r="Q248" i="1" s="1"/>
  <c r="R248" i="1"/>
  <c r="S248" i="1" s="1"/>
  <c r="T248" i="1"/>
  <c r="U248" i="1" s="1"/>
  <c r="V248" i="1"/>
  <c r="W248" i="1" s="1"/>
  <c r="H248" i="1"/>
  <c r="I248" i="1" s="1"/>
  <c r="H283" i="1"/>
  <c r="I283" i="1" s="1"/>
  <c r="J283" i="1"/>
  <c r="K283" i="1" s="1"/>
  <c r="L283" i="1"/>
  <c r="M283" i="1" s="1"/>
  <c r="N283" i="1"/>
  <c r="O283" i="1" s="1"/>
  <c r="P283" i="1"/>
  <c r="Q283" i="1" s="1"/>
  <c r="R283" i="1"/>
  <c r="S283" i="1" s="1"/>
  <c r="V283" i="1"/>
  <c r="W283" i="1" s="1"/>
  <c r="T283" i="1"/>
  <c r="U283" i="1" s="1"/>
  <c r="T296" i="1"/>
  <c r="U296" i="1" s="1"/>
  <c r="R296" i="1"/>
  <c r="S296" i="1" s="1"/>
  <c r="P296" i="1"/>
  <c r="Q296" i="1" s="1"/>
  <c r="N296" i="1"/>
  <c r="O296" i="1" s="1"/>
  <c r="L296" i="1"/>
  <c r="M296" i="1" s="1"/>
  <c r="J296" i="1"/>
  <c r="K296" i="1" s="1"/>
  <c r="H296" i="1"/>
  <c r="I296" i="1" s="1"/>
  <c r="V296" i="1"/>
  <c r="W296" i="1" s="1"/>
  <c r="N260" i="1"/>
  <c r="O260" i="1" s="1"/>
  <c r="R260" i="1"/>
  <c r="S260" i="1" s="1"/>
  <c r="V260" i="1"/>
  <c r="W260" i="1" s="1"/>
  <c r="H260" i="1"/>
  <c r="I260" i="1" s="1"/>
  <c r="J260" i="1"/>
  <c r="K260" i="1" s="1"/>
  <c r="L260" i="1"/>
  <c r="M260" i="1" s="1"/>
  <c r="P260" i="1"/>
  <c r="Q260" i="1" s="1"/>
  <c r="T260" i="1"/>
  <c r="U260" i="1" s="1"/>
  <c r="H279" i="1"/>
  <c r="I279" i="1" s="1"/>
  <c r="V279" i="1"/>
  <c r="W279" i="1" s="1"/>
  <c r="J279" i="1"/>
  <c r="K279" i="1" s="1"/>
  <c r="L279" i="1"/>
  <c r="M279" i="1" s="1"/>
  <c r="N279" i="1"/>
  <c r="O279" i="1" s="1"/>
  <c r="P279" i="1"/>
  <c r="Q279" i="1" s="1"/>
  <c r="R279" i="1"/>
  <c r="S279" i="1" s="1"/>
  <c r="T279" i="1"/>
  <c r="U279" i="1" s="1"/>
  <c r="J164" i="1"/>
  <c r="K164" i="1" s="1"/>
  <c r="H164" i="1"/>
  <c r="V164" i="1"/>
  <c r="W164" i="1" s="1"/>
  <c r="T164" i="1"/>
  <c r="U164" i="1" s="1"/>
  <c r="R164" i="1"/>
  <c r="S164" i="1" s="1"/>
  <c r="L164" i="1"/>
  <c r="M164" i="1" s="1"/>
  <c r="P164" i="1"/>
  <c r="Q164" i="1" s="1"/>
  <c r="N164" i="1"/>
  <c r="O164" i="1" s="1"/>
  <c r="L165" i="1"/>
  <c r="M165" i="1" s="1"/>
  <c r="N165" i="1"/>
  <c r="O165" i="1" s="1"/>
  <c r="J165" i="1"/>
  <c r="K165" i="1" s="1"/>
  <c r="J173" i="1"/>
  <c r="K173" i="1" s="1"/>
  <c r="T173" i="1"/>
  <c r="U173" i="1" s="1"/>
  <c r="H173" i="1"/>
  <c r="I173" i="1" s="1"/>
  <c r="V173" i="1"/>
  <c r="W173" i="1" s="1"/>
  <c r="R173" i="1"/>
  <c r="S173" i="1" s="1"/>
  <c r="N173" i="1"/>
  <c r="O173" i="1" s="1"/>
  <c r="L173" i="1"/>
  <c r="M173" i="1" s="1"/>
  <c r="P173" i="1"/>
  <c r="Q173" i="1" s="1"/>
  <c r="T290" i="1"/>
  <c r="U290" i="1" s="1"/>
  <c r="R290" i="1"/>
  <c r="S290" i="1" s="1"/>
  <c r="P290" i="1"/>
  <c r="Q290" i="1" s="1"/>
  <c r="N290" i="1"/>
  <c r="O290" i="1" s="1"/>
  <c r="L290" i="1"/>
  <c r="M290" i="1" s="1"/>
  <c r="J290" i="1"/>
  <c r="K290" i="1" s="1"/>
  <c r="H290" i="1"/>
  <c r="I290" i="1" s="1"/>
  <c r="V290" i="1"/>
  <c r="W290" i="1" s="1"/>
  <c r="R232" i="1"/>
  <c r="S232" i="1" s="1"/>
  <c r="P232" i="1"/>
  <c r="Q232" i="1" s="1"/>
  <c r="N232" i="1"/>
  <c r="O232" i="1" s="1"/>
  <c r="L232" i="1"/>
  <c r="M232" i="1" s="1"/>
  <c r="J232" i="1"/>
  <c r="K232" i="1" s="1"/>
  <c r="V232" i="1"/>
  <c r="W232" i="1" s="1"/>
  <c r="T232" i="1"/>
  <c r="U232" i="1" s="1"/>
  <c r="N251" i="1"/>
  <c r="O251" i="1" s="1"/>
  <c r="R251" i="1"/>
  <c r="S251" i="1" s="1"/>
  <c r="V251" i="1"/>
  <c r="W251" i="1" s="1"/>
  <c r="H251" i="1"/>
  <c r="I251" i="1" s="1"/>
  <c r="J251" i="1"/>
  <c r="K251" i="1" s="1"/>
  <c r="P251" i="1"/>
  <c r="Q251" i="1" s="1"/>
  <c r="T251" i="1"/>
  <c r="U251" i="1" s="1"/>
  <c r="L251" i="1"/>
  <c r="M251" i="1" s="1"/>
  <c r="P314" i="1"/>
  <c r="Q314" i="1" s="1"/>
  <c r="N314" i="1"/>
  <c r="O314" i="1" s="1"/>
  <c r="L314" i="1"/>
  <c r="M314" i="1" s="1"/>
  <c r="J314" i="1"/>
  <c r="K314" i="1" s="1"/>
  <c r="H314" i="1"/>
  <c r="I314" i="1" s="1"/>
  <c r="V314" i="1"/>
  <c r="W314" i="1" s="1"/>
  <c r="R314" i="1"/>
  <c r="S314" i="1" s="1"/>
  <c r="T314" i="1"/>
  <c r="U314" i="1" s="1"/>
  <c r="U562" i="1"/>
  <c r="O562" i="1"/>
  <c r="G287" i="1"/>
  <c r="G248" i="1"/>
  <c r="G562" i="1"/>
  <c r="G382" i="1" l="1"/>
  <c r="F567" i="1" l="1"/>
  <c r="H567" i="1" l="1"/>
  <c r="T567" i="1"/>
  <c r="U567" i="1" s="1"/>
  <c r="L567" i="1"/>
  <c r="M567" i="1" s="1"/>
  <c r="R567" i="1"/>
  <c r="S567" i="1" s="1"/>
  <c r="J567" i="1"/>
  <c r="K567" i="1" s="1"/>
  <c r="N567" i="1"/>
  <c r="O567" i="1" s="1"/>
  <c r="V567" i="1"/>
  <c r="W567" i="1" s="1"/>
  <c r="P567" i="1"/>
  <c r="Q567" i="1" s="1"/>
  <c r="F698" i="1"/>
  <c r="W625" i="1"/>
  <c r="U625" i="1"/>
  <c r="S625" i="1"/>
  <c r="Q625" i="1"/>
  <c r="O625" i="1"/>
  <c r="M625" i="1"/>
  <c r="K625" i="1"/>
  <c r="N698" i="1" l="1"/>
  <c r="O698" i="1" s="1"/>
  <c r="P698" i="1"/>
  <c r="Q698" i="1" s="1"/>
  <c r="T698" i="1"/>
  <c r="U698" i="1" s="1"/>
  <c r="L698" i="1"/>
  <c r="M698" i="1" s="1"/>
  <c r="R698" i="1"/>
  <c r="S698" i="1" s="1"/>
  <c r="J698" i="1"/>
  <c r="K698" i="1" s="1"/>
  <c r="G312" i="1"/>
  <c r="F315" i="1"/>
  <c r="W324" i="1"/>
  <c r="U324" i="1"/>
  <c r="S324" i="1"/>
  <c r="Q324" i="1"/>
  <c r="O324" i="1"/>
  <c r="M324" i="1"/>
  <c r="K324" i="1"/>
  <c r="I324" i="1"/>
  <c r="W288" i="1"/>
  <c r="U288" i="1"/>
  <c r="S288" i="1"/>
  <c r="Q288" i="1"/>
  <c r="O288" i="1"/>
  <c r="M288" i="1"/>
  <c r="K288" i="1"/>
  <c r="O228" i="1"/>
  <c r="M228" i="1"/>
  <c r="K228" i="1"/>
  <c r="W194" i="1"/>
  <c r="U194" i="1"/>
  <c r="S194" i="1"/>
  <c r="O194" i="1"/>
  <c r="M194" i="1"/>
  <c r="W193" i="1"/>
  <c r="U193" i="1"/>
  <c r="S193" i="1"/>
  <c r="O193" i="1"/>
  <c r="M193" i="1"/>
  <c r="W192" i="1"/>
  <c r="U192" i="1"/>
  <c r="S192" i="1"/>
  <c r="O192" i="1"/>
  <c r="M192" i="1"/>
  <c r="W191" i="1"/>
  <c r="U191" i="1"/>
  <c r="S191" i="1"/>
  <c r="O191" i="1"/>
  <c r="M191" i="1"/>
  <c r="T315" i="1" l="1"/>
  <c r="U315" i="1" s="1"/>
  <c r="R315" i="1"/>
  <c r="S315" i="1" s="1"/>
  <c r="P315" i="1"/>
  <c r="Q315" i="1" s="1"/>
  <c r="N315" i="1"/>
  <c r="O315" i="1" s="1"/>
  <c r="L315" i="1"/>
  <c r="M315" i="1" s="1"/>
  <c r="J315" i="1"/>
  <c r="K315" i="1" s="1"/>
  <c r="H315" i="1"/>
  <c r="I315" i="1" s="1"/>
  <c r="V315" i="1"/>
  <c r="W315" i="1" s="1"/>
  <c r="G315" i="1"/>
  <c r="F490" i="1" l="1"/>
  <c r="F161" i="1"/>
  <c r="P161" i="1" l="1"/>
  <c r="Q161" i="1" s="1"/>
  <c r="N161" i="1"/>
  <c r="O161" i="1" s="1"/>
  <c r="L161" i="1"/>
  <c r="M161" i="1" s="1"/>
  <c r="R161" i="1"/>
  <c r="S161" i="1" s="1"/>
  <c r="V161" i="1"/>
  <c r="W161" i="1" s="1"/>
  <c r="T161" i="1"/>
  <c r="U161" i="1" s="1"/>
  <c r="V490" i="1"/>
  <c r="W490" i="1" s="1"/>
  <c r="T490" i="1"/>
  <c r="U490" i="1" s="1"/>
  <c r="P490" i="1"/>
  <c r="Q490" i="1" s="1"/>
  <c r="J490" i="1"/>
  <c r="K490" i="1" s="1"/>
  <c r="L490" i="1"/>
  <c r="M490" i="1" s="1"/>
  <c r="N490" i="1"/>
  <c r="O490" i="1" s="1"/>
  <c r="H490" i="1"/>
  <c r="I490" i="1" s="1"/>
  <c r="R490" i="1"/>
  <c r="S490" i="1" s="1"/>
  <c r="G414" i="1"/>
  <c r="F515" i="1" l="1"/>
  <c r="F514" i="1"/>
  <c r="V514" i="1" l="1"/>
  <c r="P514" i="1"/>
  <c r="T514" i="1"/>
  <c r="R514" i="1"/>
  <c r="H514" i="1"/>
  <c r="N514" i="1"/>
  <c r="J514" i="1"/>
  <c r="L514" i="1"/>
  <c r="T515" i="1"/>
  <c r="U515" i="1" s="1"/>
  <c r="L515" i="1"/>
  <c r="M515" i="1" s="1"/>
  <c r="R515" i="1"/>
  <c r="S515" i="1" s="1"/>
  <c r="J515" i="1"/>
  <c r="K515" i="1" s="1"/>
  <c r="H515" i="1"/>
  <c r="I515" i="1" s="1"/>
  <c r="V515" i="1"/>
  <c r="W515" i="1" s="1"/>
  <c r="P515" i="1"/>
  <c r="Q515" i="1" s="1"/>
  <c r="N515" i="1"/>
  <c r="O515" i="1" s="1"/>
  <c r="G576" i="1" l="1"/>
  <c r="F566" i="1"/>
  <c r="T566" i="1" l="1"/>
  <c r="U566" i="1" s="1"/>
  <c r="N566" i="1"/>
  <c r="O566" i="1" s="1"/>
  <c r="P566" i="1"/>
  <c r="Q566" i="1" s="1"/>
  <c r="V566" i="1"/>
  <c r="W566" i="1" s="1"/>
  <c r="L566" i="1"/>
  <c r="M566" i="1" s="1"/>
  <c r="R566" i="1"/>
  <c r="S566" i="1" s="1"/>
  <c r="G566" i="1"/>
  <c r="G565" i="1"/>
  <c r="G564" i="1"/>
  <c r="W484" i="1"/>
  <c r="U484" i="1"/>
  <c r="S484" i="1"/>
  <c r="Q484" i="1"/>
  <c r="O484" i="1"/>
  <c r="W483" i="1"/>
  <c r="U483" i="1"/>
  <c r="S483" i="1"/>
  <c r="Q483" i="1"/>
  <c r="O483" i="1"/>
  <c r="W471" i="1"/>
  <c r="U471" i="1"/>
  <c r="S471" i="1"/>
  <c r="Q471" i="1"/>
  <c r="O471" i="1"/>
  <c r="W470" i="1"/>
  <c r="U470" i="1"/>
  <c r="S470" i="1"/>
  <c r="Q470" i="1"/>
  <c r="O470" i="1"/>
  <c r="F581" i="1"/>
  <c r="P581" i="1" l="1"/>
  <c r="Q581" i="1" s="1"/>
  <c r="H581" i="1"/>
  <c r="I581" i="1" s="1"/>
  <c r="V581" i="1"/>
  <c r="W581" i="1" s="1"/>
  <c r="N581" i="1"/>
  <c r="O581" i="1" s="1"/>
  <c r="T581" i="1"/>
  <c r="U581" i="1" s="1"/>
  <c r="R581" i="1"/>
  <c r="S581" i="1" s="1"/>
  <c r="L581" i="1"/>
  <c r="M581" i="1" s="1"/>
  <c r="J581" i="1"/>
  <c r="K581" i="1" s="1"/>
  <c r="G581" i="1"/>
  <c r="F655" i="1" l="1"/>
  <c r="F671" i="1"/>
  <c r="V671" i="1" l="1"/>
  <c r="N671" i="1"/>
  <c r="T671" i="1"/>
  <c r="L671" i="1"/>
  <c r="R671" i="1"/>
  <c r="J671" i="1"/>
  <c r="P671" i="1"/>
  <c r="H671" i="1"/>
  <c r="I671" i="1" s="1"/>
  <c r="T655" i="1"/>
  <c r="U655" i="1" s="1"/>
  <c r="J655" i="1"/>
  <c r="K655" i="1" s="1"/>
  <c r="R655" i="1"/>
  <c r="S655" i="1" s="1"/>
  <c r="V655" i="1"/>
  <c r="W655" i="1" s="1"/>
  <c r="N655" i="1"/>
  <c r="O655" i="1" s="1"/>
  <c r="H655" i="1"/>
  <c r="I655" i="1" s="1"/>
  <c r="L655" i="1"/>
  <c r="M655" i="1" s="1"/>
  <c r="P655" i="1"/>
  <c r="Q655" i="1" s="1"/>
  <c r="F401" i="1"/>
  <c r="F253" i="1"/>
  <c r="F281" i="1"/>
  <c r="F458" i="1"/>
  <c r="F673" i="1"/>
  <c r="F649" i="1"/>
  <c r="G162" i="1"/>
  <c r="V673" i="1" l="1"/>
  <c r="N673" i="1"/>
  <c r="T673" i="1"/>
  <c r="U673" i="1" s="1"/>
  <c r="L673" i="1"/>
  <c r="M673" i="1" s="1"/>
  <c r="R673" i="1"/>
  <c r="J673" i="1"/>
  <c r="P673" i="1"/>
  <c r="Q673" i="1" s="1"/>
  <c r="H673" i="1"/>
  <c r="I673" i="1" s="1"/>
  <c r="P458" i="1"/>
  <c r="Q458" i="1" s="1"/>
  <c r="H458" i="1"/>
  <c r="I458" i="1" s="1"/>
  <c r="V458" i="1"/>
  <c r="W458" i="1" s="1"/>
  <c r="N458" i="1"/>
  <c r="O458" i="1" s="1"/>
  <c r="T458" i="1"/>
  <c r="U458" i="1" s="1"/>
  <c r="L458" i="1"/>
  <c r="M458" i="1" s="1"/>
  <c r="R458" i="1"/>
  <c r="S458" i="1" s="1"/>
  <c r="J458" i="1"/>
  <c r="K458" i="1" s="1"/>
  <c r="R649" i="1"/>
  <c r="J649" i="1"/>
  <c r="V649" i="1"/>
  <c r="W649" i="1" s="1"/>
  <c r="T649" i="1"/>
  <c r="U649" i="1" s="1"/>
  <c r="P649" i="1"/>
  <c r="N649" i="1"/>
  <c r="L649" i="1"/>
  <c r="V401" i="1"/>
  <c r="W401" i="1" s="1"/>
  <c r="T401" i="1"/>
  <c r="U401" i="1" s="1"/>
  <c r="R401" i="1"/>
  <c r="S401" i="1" s="1"/>
  <c r="N401" i="1"/>
  <c r="O401" i="1" s="1"/>
  <c r="P401" i="1"/>
  <c r="Q401" i="1" s="1"/>
  <c r="L401" i="1"/>
  <c r="M401" i="1" s="1"/>
  <c r="N281" i="1"/>
  <c r="O281" i="1" s="1"/>
  <c r="P281" i="1"/>
  <c r="Q281" i="1" s="1"/>
  <c r="R281" i="1"/>
  <c r="S281" i="1" s="1"/>
  <c r="T281" i="1"/>
  <c r="U281" i="1" s="1"/>
  <c r="H281" i="1"/>
  <c r="I281" i="1" s="1"/>
  <c r="V281" i="1"/>
  <c r="W281" i="1" s="1"/>
  <c r="J281" i="1"/>
  <c r="K281" i="1" s="1"/>
  <c r="L281" i="1"/>
  <c r="M281" i="1" s="1"/>
  <c r="R253" i="1"/>
  <c r="S253" i="1" s="1"/>
  <c r="V253" i="1"/>
  <c r="W253" i="1" s="1"/>
  <c r="H253" i="1"/>
  <c r="I253" i="1" s="1"/>
  <c r="J253" i="1"/>
  <c r="K253" i="1" s="1"/>
  <c r="L253" i="1"/>
  <c r="M253" i="1" s="1"/>
  <c r="N253" i="1"/>
  <c r="O253" i="1" s="1"/>
  <c r="P253" i="1"/>
  <c r="Q253" i="1" s="1"/>
  <c r="T253" i="1"/>
  <c r="U253" i="1" s="1"/>
  <c r="K649" i="1"/>
  <c r="O649" i="1"/>
  <c r="M649" i="1"/>
  <c r="W673" i="1"/>
  <c r="S673" i="1"/>
  <c r="O673" i="1"/>
  <c r="K673" i="1"/>
  <c r="S649" i="1"/>
  <c r="Q649" i="1"/>
  <c r="G395" i="1"/>
  <c r="G401" i="1"/>
  <c r="G253" i="1"/>
  <c r="G673" i="1"/>
  <c r="G649" i="1"/>
  <c r="G131" i="1"/>
  <c r="K131" i="1"/>
  <c r="G309" i="1" l="1"/>
  <c r="F271" i="1"/>
  <c r="V271" i="1" l="1"/>
  <c r="W271" i="1" s="1"/>
  <c r="H271" i="1"/>
  <c r="I271" i="1" s="1"/>
  <c r="J271" i="1"/>
  <c r="K271" i="1" s="1"/>
  <c r="L271" i="1"/>
  <c r="M271" i="1" s="1"/>
  <c r="N271" i="1"/>
  <c r="O271" i="1" s="1"/>
  <c r="R271" i="1"/>
  <c r="S271" i="1" s="1"/>
  <c r="T271" i="1"/>
  <c r="U271" i="1" s="1"/>
  <c r="P271" i="1"/>
  <c r="Q271" i="1" s="1"/>
  <c r="G271" i="1"/>
  <c r="G290" i="1"/>
  <c r="G261" i="1" l="1"/>
  <c r="F613" i="1"/>
  <c r="L613" i="1" l="1"/>
  <c r="M613" i="1" s="1"/>
  <c r="R613" i="1"/>
  <c r="S613" i="1" s="1"/>
  <c r="H613" i="1"/>
  <c r="I613" i="1" s="1"/>
  <c r="N613" i="1"/>
  <c r="O613" i="1" s="1"/>
  <c r="V613" i="1"/>
  <c r="W613" i="1" s="1"/>
  <c r="P613" i="1"/>
  <c r="Q613" i="1" s="1"/>
  <c r="J613" i="1"/>
  <c r="K613" i="1" s="1"/>
  <c r="T613" i="1"/>
  <c r="U613" i="1" s="1"/>
  <c r="G613" i="1"/>
  <c r="F298" i="1" l="1"/>
  <c r="R298" i="1" l="1"/>
  <c r="S298" i="1" s="1"/>
  <c r="P298" i="1"/>
  <c r="Q298" i="1" s="1"/>
  <c r="N298" i="1"/>
  <c r="O298" i="1" s="1"/>
  <c r="L298" i="1"/>
  <c r="M298" i="1" s="1"/>
  <c r="J298" i="1"/>
  <c r="K298" i="1" s="1"/>
  <c r="H298" i="1"/>
  <c r="I298" i="1" s="1"/>
  <c r="V298" i="1"/>
  <c r="W298" i="1" s="1"/>
  <c r="T298" i="1"/>
  <c r="U298" i="1" s="1"/>
  <c r="G295" i="1"/>
  <c r="F350" i="1"/>
  <c r="F349" i="1"/>
  <c r="G281" i="1"/>
  <c r="V349" i="1" l="1"/>
  <c r="W349" i="1" s="1"/>
  <c r="L349" i="1"/>
  <c r="M349" i="1" s="1"/>
  <c r="N349" i="1"/>
  <c r="O349" i="1" s="1"/>
  <c r="P349" i="1"/>
  <c r="Q349" i="1" s="1"/>
  <c r="R349" i="1"/>
  <c r="S349" i="1" s="1"/>
  <c r="T349" i="1"/>
  <c r="U349" i="1" s="1"/>
  <c r="L350" i="1"/>
  <c r="M350" i="1" s="1"/>
  <c r="N350" i="1"/>
  <c r="O350" i="1" s="1"/>
  <c r="P350" i="1"/>
  <c r="Q350" i="1" s="1"/>
  <c r="R350" i="1"/>
  <c r="S350" i="1" s="1"/>
  <c r="T350" i="1"/>
  <c r="U350" i="1" s="1"/>
  <c r="V350" i="1"/>
  <c r="W350" i="1" s="1"/>
  <c r="G350" i="1"/>
  <c r="F526" i="1"/>
  <c r="F525" i="1"/>
  <c r="F524" i="1"/>
  <c r="T524" i="1" l="1"/>
  <c r="U524" i="1" s="1"/>
  <c r="L524" i="1"/>
  <c r="M524" i="1" s="1"/>
  <c r="R524" i="1"/>
  <c r="S524" i="1" s="1"/>
  <c r="J524" i="1"/>
  <c r="K524" i="1" s="1"/>
  <c r="P524" i="1"/>
  <c r="Q524" i="1" s="1"/>
  <c r="N524" i="1"/>
  <c r="O524" i="1" s="1"/>
  <c r="V524" i="1"/>
  <c r="W524" i="1" s="1"/>
  <c r="H524" i="1"/>
  <c r="I524" i="1" s="1"/>
  <c r="T525" i="1"/>
  <c r="U525" i="1" s="1"/>
  <c r="L525" i="1"/>
  <c r="M525" i="1" s="1"/>
  <c r="R525" i="1"/>
  <c r="S525" i="1" s="1"/>
  <c r="J525" i="1"/>
  <c r="K525" i="1" s="1"/>
  <c r="P525" i="1"/>
  <c r="Q525" i="1" s="1"/>
  <c r="N525" i="1"/>
  <c r="O525" i="1" s="1"/>
  <c r="H525" i="1"/>
  <c r="I525" i="1" s="1"/>
  <c r="V525" i="1"/>
  <c r="W525" i="1" s="1"/>
  <c r="T526" i="1"/>
  <c r="U526" i="1" s="1"/>
  <c r="L526" i="1"/>
  <c r="M526" i="1" s="1"/>
  <c r="R526" i="1"/>
  <c r="S526" i="1" s="1"/>
  <c r="J526" i="1"/>
  <c r="K526" i="1" s="1"/>
  <c r="P526" i="1"/>
  <c r="Q526" i="1" s="1"/>
  <c r="N526" i="1"/>
  <c r="O526" i="1" s="1"/>
  <c r="H526" i="1"/>
  <c r="I526" i="1" s="1"/>
  <c r="V526" i="1"/>
  <c r="W526" i="1" s="1"/>
  <c r="G365" i="1"/>
  <c r="G692" i="1"/>
  <c r="G691" i="1"/>
  <c r="F307" i="1"/>
  <c r="F321" i="1"/>
  <c r="F650" i="1"/>
  <c r="F379" i="1"/>
  <c r="G504" i="1"/>
  <c r="F370" i="1"/>
  <c r="F371" i="1"/>
  <c r="F374" i="1"/>
  <c r="T650" i="1" l="1"/>
  <c r="U650" i="1" s="1"/>
  <c r="L650" i="1"/>
  <c r="M650" i="1" s="1"/>
  <c r="P650" i="1"/>
  <c r="Q650" i="1" s="1"/>
  <c r="R650" i="1"/>
  <c r="S650" i="1" s="1"/>
  <c r="J650" i="1"/>
  <c r="K650" i="1" s="1"/>
  <c r="H650" i="1"/>
  <c r="I650" i="1" s="1"/>
  <c r="V650" i="1"/>
  <c r="W650" i="1" s="1"/>
  <c r="N650" i="1"/>
  <c r="O650" i="1" s="1"/>
  <c r="V371" i="1"/>
  <c r="W371" i="1" s="1"/>
  <c r="T371" i="1"/>
  <c r="U371" i="1" s="1"/>
  <c r="R371" i="1"/>
  <c r="S371" i="1" s="1"/>
  <c r="P371" i="1"/>
  <c r="Q371" i="1" s="1"/>
  <c r="N371" i="1"/>
  <c r="O371" i="1" s="1"/>
  <c r="L371" i="1"/>
  <c r="M371" i="1" s="1"/>
  <c r="V370" i="1"/>
  <c r="W370" i="1" s="1"/>
  <c r="T370" i="1"/>
  <c r="U370" i="1" s="1"/>
  <c r="R370" i="1"/>
  <c r="S370" i="1" s="1"/>
  <c r="P370" i="1"/>
  <c r="Q370" i="1" s="1"/>
  <c r="N370" i="1"/>
  <c r="O370" i="1" s="1"/>
  <c r="J321" i="1"/>
  <c r="K321" i="1" s="1"/>
  <c r="N321" i="1"/>
  <c r="O321" i="1" s="1"/>
  <c r="P321" i="1"/>
  <c r="Q321" i="1" s="1"/>
  <c r="R321" i="1"/>
  <c r="S321" i="1" s="1"/>
  <c r="T321" i="1"/>
  <c r="U321" i="1" s="1"/>
  <c r="V321" i="1"/>
  <c r="W321" i="1" s="1"/>
  <c r="L321" i="1"/>
  <c r="M321" i="1" s="1"/>
  <c r="H321" i="1"/>
  <c r="I321" i="1" s="1"/>
  <c r="N307" i="1"/>
  <c r="O307" i="1" s="1"/>
  <c r="J307" i="1"/>
  <c r="K307" i="1" s="1"/>
  <c r="H307" i="1"/>
  <c r="I307" i="1" s="1"/>
  <c r="V307" i="1"/>
  <c r="W307" i="1" s="1"/>
  <c r="T307" i="1"/>
  <c r="U307" i="1" s="1"/>
  <c r="R307" i="1"/>
  <c r="S307" i="1" s="1"/>
  <c r="L307" i="1"/>
  <c r="M307" i="1" s="1"/>
  <c r="P307" i="1"/>
  <c r="Q307" i="1" s="1"/>
  <c r="R379" i="1"/>
  <c r="S379" i="1" s="1"/>
  <c r="N379" i="1"/>
  <c r="O379" i="1" s="1"/>
  <c r="L379" i="1"/>
  <c r="M379" i="1" s="1"/>
  <c r="V379" i="1"/>
  <c r="W379" i="1" s="1"/>
  <c r="P379" i="1"/>
  <c r="Q379" i="1" s="1"/>
  <c r="T379" i="1"/>
  <c r="U379" i="1" s="1"/>
  <c r="L374" i="1"/>
  <c r="M374" i="1" s="1"/>
  <c r="V374" i="1"/>
  <c r="W374" i="1" s="1"/>
  <c r="T374" i="1"/>
  <c r="U374" i="1" s="1"/>
  <c r="R374" i="1"/>
  <c r="S374" i="1" s="1"/>
  <c r="N374" i="1"/>
  <c r="O374" i="1" s="1"/>
  <c r="P374" i="1"/>
  <c r="Q374" i="1" s="1"/>
  <c r="G127" i="1" l="1"/>
  <c r="G429" i="1" l="1"/>
  <c r="F327" i="1"/>
  <c r="F684" i="1"/>
  <c r="F648" i="1"/>
  <c r="F606" i="1"/>
  <c r="F605" i="1"/>
  <c r="F604" i="1"/>
  <c r="F600" i="1"/>
  <c r="F597" i="1"/>
  <c r="F572" i="1"/>
  <c r="F527" i="1"/>
  <c r="V684" i="1" l="1"/>
  <c r="W684" i="1" s="1"/>
  <c r="R684" i="1"/>
  <c r="S684" i="1" s="1"/>
  <c r="N684" i="1"/>
  <c r="O684" i="1" s="1"/>
  <c r="T684" i="1"/>
  <c r="U684" i="1" s="1"/>
  <c r="P684" i="1"/>
  <c r="Q684" i="1" s="1"/>
  <c r="L684" i="1"/>
  <c r="M684" i="1" s="1"/>
  <c r="H600" i="1"/>
  <c r="I600" i="1" s="1"/>
  <c r="L600" i="1"/>
  <c r="M600" i="1" s="1"/>
  <c r="P600" i="1"/>
  <c r="Q600" i="1" s="1"/>
  <c r="T600" i="1"/>
  <c r="U600" i="1" s="1"/>
  <c r="J600" i="1"/>
  <c r="K600" i="1" s="1"/>
  <c r="V600" i="1"/>
  <c r="W600" i="1" s="1"/>
  <c r="R600" i="1"/>
  <c r="S600" i="1" s="1"/>
  <c r="N600" i="1"/>
  <c r="O600" i="1" s="1"/>
  <c r="T648" i="1"/>
  <c r="U648" i="1" s="1"/>
  <c r="L648" i="1"/>
  <c r="M648" i="1" s="1"/>
  <c r="P648" i="1"/>
  <c r="Q648" i="1" s="1"/>
  <c r="V648" i="1"/>
  <c r="W648" i="1" s="1"/>
  <c r="R648" i="1"/>
  <c r="J648" i="1"/>
  <c r="K648" i="1" s="1"/>
  <c r="H648" i="1"/>
  <c r="N648" i="1"/>
  <c r="O648" i="1" s="1"/>
  <c r="T527" i="1"/>
  <c r="U527" i="1" s="1"/>
  <c r="L527" i="1"/>
  <c r="M527" i="1" s="1"/>
  <c r="R527" i="1"/>
  <c r="S527" i="1" s="1"/>
  <c r="J527" i="1"/>
  <c r="K527" i="1" s="1"/>
  <c r="P527" i="1"/>
  <c r="Q527" i="1" s="1"/>
  <c r="N527" i="1"/>
  <c r="O527" i="1" s="1"/>
  <c r="V527" i="1"/>
  <c r="W527" i="1" s="1"/>
  <c r="H527" i="1"/>
  <c r="I527" i="1" s="1"/>
  <c r="H604" i="1"/>
  <c r="I604" i="1" s="1"/>
  <c r="N604" i="1"/>
  <c r="O604" i="1" s="1"/>
  <c r="R604" i="1"/>
  <c r="S604" i="1" s="1"/>
  <c r="L604" i="1"/>
  <c r="M604" i="1" s="1"/>
  <c r="T604" i="1"/>
  <c r="U604" i="1" s="1"/>
  <c r="V604" i="1"/>
  <c r="W604" i="1" s="1"/>
  <c r="P604" i="1"/>
  <c r="Q604" i="1" s="1"/>
  <c r="J604" i="1"/>
  <c r="K604" i="1" s="1"/>
  <c r="P572" i="1"/>
  <c r="Q572" i="1" s="1"/>
  <c r="H572" i="1"/>
  <c r="I572" i="1" s="1"/>
  <c r="V572" i="1"/>
  <c r="W572" i="1" s="1"/>
  <c r="N572" i="1"/>
  <c r="O572" i="1" s="1"/>
  <c r="T572" i="1"/>
  <c r="U572" i="1" s="1"/>
  <c r="J572" i="1"/>
  <c r="K572" i="1" s="1"/>
  <c r="R572" i="1"/>
  <c r="S572" i="1" s="1"/>
  <c r="L572" i="1"/>
  <c r="M572" i="1" s="1"/>
  <c r="H605" i="1"/>
  <c r="I605" i="1" s="1"/>
  <c r="N605" i="1"/>
  <c r="O605" i="1" s="1"/>
  <c r="J605" i="1"/>
  <c r="K605" i="1" s="1"/>
  <c r="P605" i="1"/>
  <c r="Q605" i="1" s="1"/>
  <c r="R605" i="1"/>
  <c r="S605" i="1" s="1"/>
  <c r="T605" i="1"/>
  <c r="U605" i="1" s="1"/>
  <c r="V605" i="1"/>
  <c r="W605" i="1" s="1"/>
  <c r="L605" i="1"/>
  <c r="M605" i="1" s="1"/>
  <c r="P327" i="1"/>
  <c r="Q327" i="1" s="1"/>
  <c r="V327" i="1"/>
  <c r="W327" i="1" s="1"/>
  <c r="N327" i="1"/>
  <c r="O327" i="1" s="1"/>
  <c r="T327" i="1"/>
  <c r="U327" i="1" s="1"/>
  <c r="L327" i="1"/>
  <c r="M327" i="1" s="1"/>
  <c r="R327" i="1"/>
  <c r="S327" i="1" s="1"/>
  <c r="H597" i="1"/>
  <c r="I597" i="1" s="1"/>
  <c r="L597" i="1"/>
  <c r="M597" i="1" s="1"/>
  <c r="P597" i="1"/>
  <c r="Q597" i="1" s="1"/>
  <c r="T597" i="1"/>
  <c r="U597" i="1" s="1"/>
  <c r="N597" i="1"/>
  <c r="O597" i="1" s="1"/>
  <c r="V597" i="1"/>
  <c r="W597" i="1" s="1"/>
  <c r="J597" i="1"/>
  <c r="K597" i="1" s="1"/>
  <c r="R597" i="1"/>
  <c r="S597" i="1" s="1"/>
  <c r="H606" i="1"/>
  <c r="I606" i="1" s="1"/>
  <c r="N606" i="1"/>
  <c r="O606" i="1" s="1"/>
  <c r="V606" i="1"/>
  <c r="W606" i="1" s="1"/>
  <c r="J606" i="1"/>
  <c r="K606" i="1" s="1"/>
  <c r="P606" i="1"/>
  <c r="Q606" i="1" s="1"/>
  <c r="R606" i="1"/>
  <c r="S606" i="1" s="1"/>
  <c r="L606" i="1"/>
  <c r="M606" i="1" s="1"/>
  <c r="T606" i="1"/>
  <c r="U606" i="1" s="1"/>
  <c r="S648" i="1"/>
  <c r="I648" i="1"/>
  <c r="I101" i="1"/>
  <c r="F553" i="1"/>
  <c r="F552" i="1"/>
  <c r="F439" i="1"/>
  <c r="F433" i="1"/>
  <c r="F417" i="1"/>
  <c r="F411" i="1"/>
  <c r="F335" i="1"/>
  <c r="F334" i="1"/>
  <c r="F333" i="1"/>
  <c r="F338" i="1"/>
  <c r="F340" i="1"/>
  <c r="F342" i="1"/>
  <c r="F354" i="1"/>
  <c r="F337" i="1"/>
  <c r="F336" i="1"/>
  <c r="F344" i="1"/>
  <c r="F347" i="1"/>
  <c r="F348" i="1"/>
  <c r="F355" i="1"/>
  <c r="F387" i="1"/>
  <c r="F391" i="1"/>
  <c r="F403" i="1"/>
  <c r="F404" i="1"/>
  <c r="F357" i="1"/>
  <c r="F360" i="1"/>
  <c r="F363" i="1"/>
  <c r="F366" i="1"/>
  <c r="F385" i="1"/>
  <c r="F384" i="1"/>
  <c r="F353" i="1"/>
  <c r="F351" i="1"/>
  <c r="F332" i="1"/>
  <c r="F325" i="1"/>
  <c r="F218" i="1"/>
  <c r="H218" i="1" s="1"/>
  <c r="V357" i="1" l="1"/>
  <c r="W357" i="1" s="1"/>
  <c r="P357" i="1"/>
  <c r="Q357" i="1" s="1"/>
  <c r="J357" i="1"/>
  <c r="K357" i="1" s="1"/>
  <c r="N357" i="1"/>
  <c r="O357" i="1" s="1"/>
  <c r="R357" i="1"/>
  <c r="S357" i="1" s="1"/>
  <c r="L357" i="1"/>
  <c r="M357" i="1" s="1"/>
  <c r="T357" i="1"/>
  <c r="U357" i="1" s="1"/>
  <c r="H357" i="1"/>
  <c r="I357" i="1" s="1"/>
  <c r="R439" i="1"/>
  <c r="S439" i="1" s="1"/>
  <c r="L439" i="1"/>
  <c r="M439" i="1" s="1"/>
  <c r="N439" i="1"/>
  <c r="O439" i="1" s="1"/>
  <c r="V439" i="1"/>
  <c r="W439" i="1" s="1"/>
  <c r="J439" i="1"/>
  <c r="K439" i="1" s="1"/>
  <c r="T439" i="1"/>
  <c r="U439" i="1" s="1"/>
  <c r="P439" i="1"/>
  <c r="Q439" i="1" s="1"/>
  <c r="H439" i="1"/>
  <c r="I439" i="1" s="1"/>
  <c r="H387" i="1"/>
  <c r="I387" i="1" s="1"/>
  <c r="J387" i="1"/>
  <c r="K387" i="1" s="1"/>
  <c r="L387" i="1"/>
  <c r="M387" i="1" s="1"/>
  <c r="R433" i="1"/>
  <c r="S433" i="1" s="1"/>
  <c r="L433" i="1"/>
  <c r="M433" i="1" s="1"/>
  <c r="P433" i="1"/>
  <c r="Q433" i="1" s="1"/>
  <c r="V433" i="1"/>
  <c r="W433" i="1" s="1"/>
  <c r="J433" i="1"/>
  <c r="K433" i="1" s="1"/>
  <c r="T433" i="1"/>
  <c r="U433" i="1" s="1"/>
  <c r="H433" i="1"/>
  <c r="I433" i="1" s="1"/>
  <c r="N433" i="1"/>
  <c r="O433" i="1" s="1"/>
  <c r="V552" i="1"/>
  <c r="W552" i="1" s="1"/>
  <c r="P552" i="1"/>
  <c r="Q552" i="1" s="1"/>
  <c r="T552" i="1"/>
  <c r="U552" i="1" s="1"/>
  <c r="J552" i="1"/>
  <c r="K552" i="1" s="1"/>
  <c r="H552" i="1"/>
  <c r="I552" i="1" s="1"/>
  <c r="R552" i="1"/>
  <c r="S552" i="1" s="1"/>
  <c r="N552" i="1"/>
  <c r="O552" i="1" s="1"/>
  <c r="L552" i="1"/>
  <c r="M552" i="1" s="1"/>
  <c r="R325" i="1"/>
  <c r="S325" i="1" s="1"/>
  <c r="T325" i="1"/>
  <c r="U325" i="1" s="1"/>
  <c r="J325" i="1"/>
  <c r="K325" i="1" s="1"/>
  <c r="P325" i="1"/>
  <c r="Q325" i="1" s="1"/>
  <c r="H325" i="1"/>
  <c r="I325" i="1" s="1"/>
  <c r="V325" i="1"/>
  <c r="W325" i="1" s="1"/>
  <c r="N325" i="1"/>
  <c r="O325" i="1" s="1"/>
  <c r="L325" i="1"/>
  <c r="M325" i="1" s="1"/>
  <c r="N417" i="1"/>
  <c r="O417" i="1" s="1"/>
  <c r="P417" i="1"/>
  <c r="Q417" i="1" s="1"/>
  <c r="R417" i="1"/>
  <c r="S417" i="1" s="1"/>
  <c r="L417" i="1"/>
  <c r="M417" i="1" s="1"/>
  <c r="V417" i="1"/>
  <c r="W417" i="1" s="1"/>
  <c r="J417" i="1"/>
  <c r="K417" i="1" s="1"/>
  <c r="T417" i="1"/>
  <c r="U417" i="1" s="1"/>
  <c r="H417" i="1"/>
  <c r="I417" i="1" s="1"/>
  <c r="L553" i="1"/>
  <c r="M553" i="1" s="1"/>
  <c r="J553" i="1"/>
  <c r="K553" i="1" s="1"/>
  <c r="H553" i="1"/>
  <c r="I553" i="1" s="1"/>
  <c r="N553" i="1"/>
  <c r="O553" i="1" s="1"/>
  <c r="V363" i="1"/>
  <c r="W363" i="1" s="1"/>
  <c r="R363" i="1"/>
  <c r="S363" i="1" s="1"/>
  <c r="T363" i="1"/>
  <c r="U363" i="1" s="1"/>
  <c r="P363" i="1"/>
  <c r="Q363" i="1" s="1"/>
  <c r="L363" i="1"/>
  <c r="M363" i="1" s="1"/>
  <c r="N363" i="1"/>
  <c r="O363" i="1" s="1"/>
  <c r="N403" i="1"/>
  <c r="O403" i="1" s="1"/>
  <c r="P403" i="1"/>
  <c r="Q403" i="1" s="1"/>
  <c r="R403" i="1"/>
  <c r="S403" i="1" s="1"/>
  <c r="V403" i="1"/>
  <c r="W403" i="1" s="1"/>
  <c r="T403" i="1"/>
  <c r="U403" i="1" s="1"/>
  <c r="L403" i="1"/>
  <c r="M403" i="1" s="1"/>
  <c r="R404" i="1"/>
  <c r="S404" i="1" s="1"/>
  <c r="T404" i="1"/>
  <c r="U404" i="1" s="1"/>
  <c r="V404" i="1"/>
  <c r="W404" i="1" s="1"/>
  <c r="L404" i="1"/>
  <c r="M404" i="1" s="1"/>
  <c r="P404" i="1"/>
  <c r="Q404" i="1" s="1"/>
  <c r="N404" i="1"/>
  <c r="O404" i="1" s="1"/>
  <c r="R391" i="1"/>
  <c r="S391" i="1" s="1"/>
  <c r="V391" i="1"/>
  <c r="W391" i="1" s="1"/>
  <c r="T391" i="1"/>
  <c r="U391" i="1" s="1"/>
  <c r="P391" i="1"/>
  <c r="Q391" i="1" s="1"/>
  <c r="N391" i="1"/>
  <c r="O391" i="1" s="1"/>
  <c r="L391" i="1"/>
  <c r="M391" i="1" s="1"/>
  <c r="T411" i="1"/>
  <c r="U411" i="1" s="1"/>
  <c r="L411" i="1"/>
  <c r="M411" i="1" s="1"/>
  <c r="V411" i="1"/>
  <c r="W411" i="1" s="1"/>
  <c r="N411" i="1"/>
  <c r="O411" i="1" s="1"/>
  <c r="P411" i="1"/>
  <c r="Q411" i="1" s="1"/>
  <c r="R411" i="1"/>
  <c r="S411" i="1" s="1"/>
  <c r="P334" i="1"/>
  <c r="Q334" i="1" s="1"/>
  <c r="L334" i="1"/>
  <c r="M334" i="1" s="1"/>
  <c r="V334" i="1"/>
  <c r="W334" i="1" s="1"/>
  <c r="T334" i="1"/>
  <c r="U334" i="1" s="1"/>
  <c r="R334" i="1"/>
  <c r="S334" i="1" s="1"/>
  <c r="N334" i="1"/>
  <c r="O334" i="1" s="1"/>
  <c r="N353" i="1"/>
  <c r="O353" i="1" s="1"/>
  <c r="R353" i="1"/>
  <c r="S353" i="1" s="1"/>
  <c r="T353" i="1"/>
  <c r="U353" i="1" s="1"/>
  <c r="V353" i="1"/>
  <c r="W353" i="1" s="1"/>
  <c r="L353" i="1"/>
  <c r="M353" i="1" s="1"/>
  <c r="P353" i="1"/>
  <c r="Q353" i="1" s="1"/>
  <c r="V333" i="1"/>
  <c r="W333" i="1" s="1"/>
  <c r="R333" i="1"/>
  <c r="S333" i="1" s="1"/>
  <c r="P333" i="1"/>
  <c r="Q333" i="1" s="1"/>
  <c r="N333" i="1"/>
  <c r="O333" i="1" s="1"/>
  <c r="L333" i="1"/>
  <c r="M333" i="1" s="1"/>
  <c r="T333" i="1"/>
  <c r="U333" i="1" s="1"/>
  <c r="N332" i="1"/>
  <c r="O332" i="1" s="1"/>
  <c r="V332" i="1"/>
  <c r="T332" i="1"/>
  <c r="R332" i="1"/>
  <c r="S332" i="1" s="1"/>
  <c r="P332" i="1"/>
  <c r="Q332" i="1" s="1"/>
  <c r="L332" i="1"/>
  <c r="M332" i="1" s="1"/>
  <c r="V335" i="1"/>
  <c r="W335" i="1" s="1"/>
  <c r="T335" i="1"/>
  <c r="U335" i="1" s="1"/>
  <c r="R335" i="1"/>
  <c r="S335" i="1" s="1"/>
  <c r="P335" i="1"/>
  <c r="Q335" i="1" s="1"/>
  <c r="N335" i="1"/>
  <c r="O335" i="1" s="1"/>
  <c r="L335" i="1"/>
  <c r="M335" i="1" s="1"/>
  <c r="R366" i="1"/>
  <c r="S366" i="1" s="1"/>
  <c r="N366" i="1"/>
  <c r="O366" i="1" s="1"/>
  <c r="L366" i="1"/>
  <c r="M366" i="1" s="1"/>
  <c r="V366" i="1"/>
  <c r="W366" i="1" s="1"/>
  <c r="P366" i="1"/>
  <c r="Q366" i="1" s="1"/>
  <c r="T366" i="1"/>
  <c r="U366" i="1" s="1"/>
  <c r="V336" i="1"/>
  <c r="W336" i="1" s="1"/>
  <c r="T336" i="1"/>
  <c r="U336" i="1" s="1"/>
  <c r="R336" i="1"/>
  <c r="S336" i="1" s="1"/>
  <c r="P336" i="1"/>
  <c r="Q336" i="1" s="1"/>
  <c r="N336" i="1"/>
  <c r="O336" i="1" s="1"/>
  <c r="L336" i="1"/>
  <c r="M336" i="1" s="1"/>
  <c r="V337" i="1"/>
  <c r="W337" i="1" s="1"/>
  <c r="T337" i="1"/>
  <c r="U337" i="1" s="1"/>
  <c r="R337" i="1"/>
  <c r="S337" i="1" s="1"/>
  <c r="P337" i="1"/>
  <c r="Q337" i="1" s="1"/>
  <c r="N337" i="1"/>
  <c r="O337" i="1" s="1"/>
  <c r="L337" i="1"/>
  <c r="M337" i="1" s="1"/>
  <c r="V355" i="1"/>
  <c r="W355" i="1" s="1"/>
  <c r="L355" i="1"/>
  <c r="M355" i="1" s="1"/>
  <c r="N355" i="1"/>
  <c r="O355" i="1" s="1"/>
  <c r="P355" i="1"/>
  <c r="Q355" i="1" s="1"/>
  <c r="T355" i="1"/>
  <c r="U355" i="1" s="1"/>
  <c r="R355" i="1"/>
  <c r="S355" i="1" s="1"/>
  <c r="N344" i="1"/>
  <c r="O344" i="1" s="1"/>
  <c r="V344" i="1"/>
  <c r="W344" i="1" s="1"/>
  <c r="T344" i="1"/>
  <c r="U344" i="1" s="1"/>
  <c r="R344" i="1"/>
  <c r="S344" i="1" s="1"/>
  <c r="P344" i="1"/>
  <c r="Q344" i="1" s="1"/>
  <c r="L344" i="1"/>
  <c r="M344" i="1" s="1"/>
  <c r="P360" i="1"/>
  <c r="Q360" i="1" s="1"/>
  <c r="N360" i="1"/>
  <c r="O360" i="1" s="1"/>
  <c r="L360" i="1"/>
  <c r="M360" i="1" s="1"/>
  <c r="V360" i="1"/>
  <c r="W360" i="1" s="1"/>
  <c r="T360" i="1"/>
  <c r="U360" i="1" s="1"/>
  <c r="R360" i="1"/>
  <c r="S360" i="1" s="1"/>
  <c r="T354" i="1"/>
  <c r="U354" i="1" s="1"/>
  <c r="V354" i="1"/>
  <c r="W354" i="1" s="1"/>
  <c r="L354" i="1"/>
  <c r="M354" i="1" s="1"/>
  <c r="N354" i="1"/>
  <c r="O354" i="1" s="1"/>
  <c r="R354" i="1"/>
  <c r="S354" i="1" s="1"/>
  <c r="P354" i="1"/>
  <c r="Q354" i="1" s="1"/>
  <c r="V347" i="1"/>
  <c r="W347" i="1" s="1"/>
  <c r="T347" i="1"/>
  <c r="U347" i="1" s="1"/>
  <c r="R347" i="1"/>
  <c r="S347" i="1" s="1"/>
  <c r="P347" i="1"/>
  <c r="Q347" i="1" s="1"/>
  <c r="N347" i="1"/>
  <c r="O347" i="1" s="1"/>
  <c r="L347" i="1"/>
  <c r="M347" i="1" s="1"/>
  <c r="V342" i="1"/>
  <c r="W342" i="1" s="1"/>
  <c r="T342" i="1"/>
  <c r="U342" i="1" s="1"/>
  <c r="R342" i="1"/>
  <c r="S342" i="1" s="1"/>
  <c r="P342" i="1"/>
  <c r="Q342" i="1" s="1"/>
  <c r="N342" i="1"/>
  <c r="O342" i="1" s="1"/>
  <c r="L342" i="1"/>
  <c r="M342" i="1" s="1"/>
  <c r="L218" i="1"/>
  <c r="M218" i="1" s="1"/>
  <c r="J218" i="1"/>
  <c r="K218" i="1" s="1"/>
  <c r="V218" i="1"/>
  <c r="W218" i="1" s="1"/>
  <c r="T218" i="1"/>
  <c r="U218" i="1" s="1"/>
  <c r="N218" i="1"/>
  <c r="O218" i="1" s="1"/>
  <c r="R218" i="1"/>
  <c r="S218" i="1" s="1"/>
  <c r="P218" i="1"/>
  <c r="Q218" i="1" s="1"/>
  <c r="P338" i="1"/>
  <c r="Q338" i="1" s="1"/>
  <c r="L338" i="1"/>
  <c r="M338" i="1" s="1"/>
  <c r="V338" i="1"/>
  <c r="W338" i="1" s="1"/>
  <c r="T338" i="1"/>
  <c r="U338" i="1" s="1"/>
  <c r="N338" i="1"/>
  <c r="O338" i="1" s="1"/>
  <c r="R338" i="1"/>
  <c r="S338" i="1" s="1"/>
  <c r="L351" i="1"/>
  <c r="M351" i="1" s="1"/>
  <c r="N351" i="1"/>
  <c r="O351" i="1" s="1"/>
  <c r="P351" i="1"/>
  <c r="Q351" i="1" s="1"/>
  <c r="R351" i="1"/>
  <c r="S351" i="1" s="1"/>
  <c r="T351" i="1"/>
  <c r="U351" i="1" s="1"/>
  <c r="V351" i="1"/>
  <c r="W351" i="1" s="1"/>
  <c r="T348" i="1"/>
  <c r="U348" i="1" s="1"/>
  <c r="V348" i="1"/>
  <c r="W348" i="1" s="1"/>
  <c r="L348" i="1"/>
  <c r="M348" i="1" s="1"/>
  <c r="N348" i="1"/>
  <c r="O348" i="1" s="1"/>
  <c r="R348" i="1"/>
  <c r="S348" i="1" s="1"/>
  <c r="P348" i="1"/>
  <c r="Q348" i="1" s="1"/>
  <c r="L384" i="1"/>
  <c r="M384" i="1" s="1"/>
  <c r="V384" i="1"/>
  <c r="W384" i="1" s="1"/>
  <c r="T384" i="1"/>
  <c r="U384" i="1" s="1"/>
  <c r="R384" i="1"/>
  <c r="S384" i="1" s="1"/>
  <c r="P384" i="1"/>
  <c r="Q384" i="1" s="1"/>
  <c r="N384" i="1"/>
  <c r="O384" i="1" s="1"/>
  <c r="T385" i="1"/>
  <c r="U385" i="1" s="1"/>
  <c r="R385" i="1"/>
  <c r="S385" i="1" s="1"/>
  <c r="P385" i="1"/>
  <c r="Q385" i="1" s="1"/>
  <c r="N385" i="1"/>
  <c r="O385" i="1" s="1"/>
  <c r="L385" i="1"/>
  <c r="M385" i="1" s="1"/>
  <c r="V385" i="1"/>
  <c r="W385" i="1" s="1"/>
  <c r="V340" i="1"/>
  <c r="W340" i="1" s="1"/>
  <c r="T340" i="1"/>
  <c r="U340" i="1" s="1"/>
  <c r="R340" i="1"/>
  <c r="S340" i="1" s="1"/>
  <c r="P340" i="1"/>
  <c r="Q340" i="1" s="1"/>
  <c r="N340" i="1"/>
  <c r="O340" i="1" s="1"/>
  <c r="L340" i="1"/>
  <c r="M340" i="1" s="1"/>
  <c r="I218" i="1"/>
  <c r="W332" i="1"/>
  <c r="U332" i="1"/>
  <c r="F299" i="1"/>
  <c r="V299" i="1" l="1"/>
  <c r="W299" i="1" s="1"/>
  <c r="R299" i="1"/>
  <c r="S299" i="1" s="1"/>
  <c r="P299" i="1"/>
  <c r="Q299" i="1" s="1"/>
  <c r="N299" i="1"/>
  <c r="O299" i="1" s="1"/>
  <c r="L299" i="1"/>
  <c r="M299" i="1" s="1"/>
  <c r="J299" i="1"/>
  <c r="K299" i="1" s="1"/>
  <c r="T299" i="1"/>
  <c r="U299" i="1" s="1"/>
  <c r="H299" i="1"/>
  <c r="I299" i="1" s="1"/>
  <c r="F254" i="1"/>
  <c r="F247" i="1"/>
  <c r="G292" i="1"/>
  <c r="J247" i="1" l="1"/>
  <c r="K247" i="1" s="1"/>
  <c r="N247" i="1"/>
  <c r="O247" i="1" s="1"/>
  <c r="P247" i="1"/>
  <c r="Q247" i="1" s="1"/>
  <c r="R247" i="1"/>
  <c r="S247" i="1" s="1"/>
  <c r="T247" i="1"/>
  <c r="U247" i="1" s="1"/>
  <c r="H247" i="1"/>
  <c r="I247" i="1" s="1"/>
  <c r="V247" i="1"/>
  <c r="W247" i="1" s="1"/>
  <c r="L247" i="1"/>
  <c r="M247" i="1" s="1"/>
  <c r="V254" i="1"/>
  <c r="W254" i="1" s="1"/>
  <c r="J254" i="1"/>
  <c r="K254" i="1" s="1"/>
  <c r="L254" i="1"/>
  <c r="M254" i="1" s="1"/>
  <c r="N254" i="1"/>
  <c r="O254" i="1" s="1"/>
  <c r="P254" i="1"/>
  <c r="Q254" i="1" s="1"/>
  <c r="R254" i="1"/>
  <c r="S254" i="1" s="1"/>
  <c r="H254" i="1"/>
  <c r="I254" i="1" s="1"/>
  <c r="T254" i="1"/>
  <c r="U254" i="1" s="1"/>
  <c r="F386" i="1"/>
  <c r="F286" i="1"/>
  <c r="F268" i="1"/>
  <c r="F412" i="1"/>
  <c r="F285" i="1"/>
  <c r="F276" i="1"/>
  <c r="F406" i="1"/>
  <c r="F434" i="1"/>
  <c r="F278" i="1"/>
  <c r="F405" i="1"/>
  <c r="F402" i="1"/>
  <c r="P434" i="1" l="1"/>
  <c r="Q434" i="1" s="1"/>
  <c r="H434" i="1"/>
  <c r="I434" i="1" s="1"/>
  <c r="L434" i="1"/>
  <c r="M434" i="1" s="1"/>
  <c r="R434" i="1"/>
  <c r="S434" i="1" s="1"/>
  <c r="V434" i="1"/>
  <c r="W434" i="1" s="1"/>
  <c r="N434" i="1"/>
  <c r="O434" i="1" s="1"/>
  <c r="T434" i="1"/>
  <c r="U434" i="1" s="1"/>
  <c r="J434" i="1"/>
  <c r="K434" i="1" s="1"/>
  <c r="V406" i="1"/>
  <c r="W406" i="1" s="1"/>
  <c r="N406" i="1"/>
  <c r="O406" i="1" s="1"/>
  <c r="L406" i="1"/>
  <c r="M406" i="1" s="1"/>
  <c r="P406" i="1"/>
  <c r="Q406" i="1" s="1"/>
  <c r="T406" i="1"/>
  <c r="U406" i="1" s="1"/>
  <c r="R406" i="1"/>
  <c r="S406" i="1" s="1"/>
  <c r="P386" i="1"/>
  <c r="Q386" i="1" s="1"/>
  <c r="N386" i="1"/>
  <c r="O386" i="1" s="1"/>
  <c r="L386" i="1"/>
  <c r="M386" i="1" s="1"/>
  <c r="V386" i="1"/>
  <c r="W386" i="1" s="1"/>
  <c r="T386" i="1"/>
  <c r="U386" i="1" s="1"/>
  <c r="R386" i="1"/>
  <c r="S386" i="1" s="1"/>
  <c r="V412" i="1"/>
  <c r="W412" i="1" s="1"/>
  <c r="N412" i="1"/>
  <c r="O412" i="1" s="1"/>
  <c r="L412" i="1"/>
  <c r="M412" i="1" s="1"/>
  <c r="P412" i="1"/>
  <c r="Q412" i="1" s="1"/>
  <c r="R412" i="1"/>
  <c r="S412" i="1" s="1"/>
  <c r="T412" i="1"/>
  <c r="U412" i="1" s="1"/>
  <c r="L402" i="1"/>
  <c r="M402" i="1" s="1"/>
  <c r="N402" i="1"/>
  <c r="O402" i="1" s="1"/>
  <c r="P402" i="1"/>
  <c r="Q402" i="1" s="1"/>
  <c r="R402" i="1"/>
  <c r="S402" i="1" s="1"/>
  <c r="T402" i="1"/>
  <c r="U402" i="1" s="1"/>
  <c r="V402" i="1"/>
  <c r="W402" i="1" s="1"/>
  <c r="T405" i="1"/>
  <c r="U405" i="1" s="1"/>
  <c r="V405" i="1"/>
  <c r="W405" i="1" s="1"/>
  <c r="L405" i="1"/>
  <c r="M405" i="1" s="1"/>
  <c r="N405" i="1"/>
  <c r="O405" i="1" s="1"/>
  <c r="R405" i="1"/>
  <c r="S405" i="1" s="1"/>
  <c r="P405" i="1"/>
  <c r="Q405" i="1" s="1"/>
  <c r="N268" i="1"/>
  <c r="O268" i="1" s="1"/>
  <c r="P268" i="1"/>
  <c r="Q268" i="1" s="1"/>
  <c r="R268" i="1"/>
  <c r="S268" i="1" s="1"/>
  <c r="T268" i="1"/>
  <c r="U268" i="1" s="1"/>
  <c r="V268" i="1"/>
  <c r="W268" i="1" s="1"/>
  <c r="H268" i="1"/>
  <c r="I268" i="1" s="1"/>
  <c r="J268" i="1"/>
  <c r="K268" i="1" s="1"/>
  <c r="L268" i="1"/>
  <c r="M268" i="1" s="1"/>
  <c r="N276" i="1"/>
  <c r="O276" i="1" s="1"/>
  <c r="J276" i="1"/>
  <c r="K276" i="1" s="1"/>
  <c r="H276" i="1"/>
  <c r="I276" i="1" s="1"/>
  <c r="V276" i="1"/>
  <c r="W276" i="1" s="1"/>
  <c r="T276" i="1"/>
  <c r="U276" i="1" s="1"/>
  <c r="R276" i="1"/>
  <c r="S276" i="1" s="1"/>
  <c r="P276" i="1"/>
  <c r="Q276" i="1" s="1"/>
  <c r="L276" i="1"/>
  <c r="M276" i="1" s="1"/>
  <c r="R286" i="1"/>
  <c r="S286" i="1" s="1"/>
  <c r="T286" i="1"/>
  <c r="U286" i="1" s="1"/>
  <c r="H286" i="1"/>
  <c r="I286" i="1" s="1"/>
  <c r="V286" i="1"/>
  <c r="W286" i="1" s="1"/>
  <c r="J286" i="1"/>
  <c r="K286" i="1" s="1"/>
  <c r="L286" i="1"/>
  <c r="M286" i="1" s="1"/>
  <c r="P286" i="1"/>
  <c r="Q286" i="1" s="1"/>
  <c r="N286" i="1"/>
  <c r="O286" i="1" s="1"/>
  <c r="P285" i="1"/>
  <c r="Q285" i="1" s="1"/>
  <c r="R285" i="1"/>
  <c r="S285" i="1" s="1"/>
  <c r="T285" i="1"/>
  <c r="U285" i="1" s="1"/>
  <c r="H285" i="1"/>
  <c r="I285" i="1" s="1"/>
  <c r="V285" i="1"/>
  <c r="W285" i="1" s="1"/>
  <c r="J285" i="1"/>
  <c r="K285" i="1" s="1"/>
  <c r="L285" i="1"/>
  <c r="M285" i="1" s="1"/>
  <c r="N285" i="1"/>
  <c r="O285" i="1" s="1"/>
  <c r="T278" i="1"/>
  <c r="U278" i="1" s="1"/>
  <c r="R278" i="1"/>
  <c r="S278" i="1" s="1"/>
  <c r="P278" i="1"/>
  <c r="Q278" i="1" s="1"/>
  <c r="N278" i="1"/>
  <c r="O278" i="1" s="1"/>
  <c r="L278" i="1"/>
  <c r="M278" i="1" s="1"/>
  <c r="J278" i="1"/>
  <c r="K278" i="1" s="1"/>
  <c r="H278" i="1"/>
  <c r="I278" i="1" s="1"/>
  <c r="V278" i="1"/>
  <c r="W278" i="1" s="1"/>
  <c r="G197" i="1"/>
  <c r="G286" i="1"/>
  <c r="G610" i="1"/>
  <c r="O220" i="1" l="1"/>
  <c r="M220" i="1"/>
  <c r="K220" i="1"/>
  <c r="F674" i="1"/>
  <c r="R674" i="1" l="1"/>
  <c r="S674" i="1" s="1"/>
  <c r="L674" i="1"/>
  <c r="M674" i="1" s="1"/>
  <c r="V674" i="1"/>
  <c r="W674" i="1" s="1"/>
  <c r="P674" i="1"/>
  <c r="Q674" i="1" s="1"/>
  <c r="T674" i="1"/>
  <c r="U674" i="1" s="1"/>
  <c r="J674" i="1"/>
  <c r="K674" i="1" s="1"/>
  <c r="N674" i="1"/>
  <c r="O674" i="1" s="1"/>
  <c r="H674" i="1"/>
  <c r="I674" i="1" s="1"/>
  <c r="F547" i="1"/>
  <c r="F546" i="1"/>
  <c r="F545" i="1"/>
  <c r="F533" i="1"/>
  <c r="F532" i="1"/>
  <c r="F594" i="1"/>
  <c r="F596" i="1"/>
  <c r="T533" i="1" l="1"/>
  <c r="U533" i="1" s="1"/>
  <c r="L533" i="1"/>
  <c r="M533" i="1" s="1"/>
  <c r="R533" i="1"/>
  <c r="S533" i="1" s="1"/>
  <c r="J533" i="1"/>
  <c r="K533" i="1" s="1"/>
  <c r="P533" i="1"/>
  <c r="Q533" i="1" s="1"/>
  <c r="N533" i="1"/>
  <c r="O533" i="1" s="1"/>
  <c r="H533" i="1"/>
  <c r="I533" i="1" s="1"/>
  <c r="V533" i="1"/>
  <c r="W533" i="1" s="1"/>
  <c r="H596" i="1"/>
  <c r="I596" i="1" s="1"/>
  <c r="L596" i="1"/>
  <c r="M596" i="1" s="1"/>
  <c r="P596" i="1"/>
  <c r="Q596" i="1" s="1"/>
  <c r="T596" i="1"/>
  <c r="U596" i="1" s="1"/>
  <c r="N596" i="1"/>
  <c r="O596" i="1" s="1"/>
  <c r="V596" i="1"/>
  <c r="W596" i="1" s="1"/>
  <c r="R596" i="1"/>
  <c r="S596" i="1" s="1"/>
  <c r="J596" i="1"/>
  <c r="K596" i="1" s="1"/>
  <c r="T545" i="1"/>
  <c r="U545" i="1" s="1"/>
  <c r="L545" i="1"/>
  <c r="M545" i="1" s="1"/>
  <c r="R545" i="1"/>
  <c r="S545" i="1" s="1"/>
  <c r="J545" i="1"/>
  <c r="K545" i="1" s="1"/>
  <c r="P545" i="1"/>
  <c r="Q545" i="1" s="1"/>
  <c r="N545" i="1"/>
  <c r="O545" i="1" s="1"/>
  <c r="H545" i="1"/>
  <c r="I545" i="1" s="1"/>
  <c r="V545" i="1"/>
  <c r="W545" i="1" s="1"/>
  <c r="H594" i="1"/>
  <c r="I594" i="1" s="1"/>
  <c r="L594" i="1"/>
  <c r="M594" i="1" s="1"/>
  <c r="P594" i="1"/>
  <c r="Q594" i="1" s="1"/>
  <c r="T594" i="1"/>
  <c r="U594" i="1" s="1"/>
  <c r="N594" i="1"/>
  <c r="O594" i="1" s="1"/>
  <c r="V594" i="1"/>
  <c r="W594" i="1" s="1"/>
  <c r="R594" i="1"/>
  <c r="S594" i="1" s="1"/>
  <c r="J594" i="1"/>
  <c r="K594" i="1" s="1"/>
  <c r="T546" i="1"/>
  <c r="U546" i="1" s="1"/>
  <c r="L546" i="1"/>
  <c r="M546" i="1" s="1"/>
  <c r="R546" i="1"/>
  <c r="S546" i="1" s="1"/>
  <c r="J546" i="1"/>
  <c r="K546" i="1" s="1"/>
  <c r="H546" i="1"/>
  <c r="I546" i="1" s="1"/>
  <c r="V546" i="1"/>
  <c r="W546" i="1" s="1"/>
  <c r="P546" i="1"/>
  <c r="Q546" i="1" s="1"/>
  <c r="N546" i="1"/>
  <c r="O546" i="1" s="1"/>
  <c r="T532" i="1"/>
  <c r="U532" i="1" s="1"/>
  <c r="L532" i="1"/>
  <c r="M532" i="1" s="1"/>
  <c r="R532" i="1"/>
  <c r="S532" i="1" s="1"/>
  <c r="J532" i="1"/>
  <c r="K532" i="1" s="1"/>
  <c r="H532" i="1"/>
  <c r="I532" i="1" s="1"/>
  <c r="V532" i="1"/>
  <c r="W532" i="1" s="1"/>
  <c r="P532" i="1"/>
  <c r="Q532" i="1" s="1"/>
  <c r="N532" i="1"/>
  <c r="O532" i="1" s="1"/>
  <c r="V547" i="1"/>
  <c r="W547" i="1" s="1"/>
  <c r="P547" i="1"/>
  <c r="Q547" i="1" s="1"/>
  <c r="T547" i="1"/>
  <c r="U547" i="1" s="1"/>
  <c r="J547" i="1"/>
  <c r="K547" i="1" s="1"/>
  <c r="N547" i="1"/>
  <c r="O547" i="1" s="1"/>
  <c r="L547" i="1"/>
  <c r="M547" i="1" s="1"/>
  <c r="R547" i="1"/>
  <c r="S547" i="1" s="1"/>
  <c r="H547" i="1"/>
  <c r="I547" i="1" s="1"/>
  <c r="G594" i="1"/>
  <c r="G256" i="1" l="1"/>
  <c r="G251" i="1"/>
  <c r="G417" i="1"/>
  <c r="W243" i="1" l="1"/>
  <c r="U243" i="1"/>
  <c r="S243" i="1"/>
  <c r="Q243" i="1"/>
  <c r="O243" i="1"/>
  <c r="M243" i="1"/>
  <c r="K243" i="1"/>
  <c r="I243" i="1"/>
  <c r="W195" i="1" l="1"/>
  <c r="U195" i="1"/>
  <c r="S195" i="1"/>
  <c r="Q195" i="1"/>
  <c r="O195" i="1"/>
  <c r="M195" i="1"/>
  <c r="W97" i="1" l="1"/>
  <c r="U97" i="1"/>
  <c r="S97" i="1"/>
  <c r="Q97" i="1"/>
  <c r="O97" i="1"/>
  <c r="M97" i="1"/>
  <c r="K97" i="1"/>
  <c r="K376" i="1" l="1"/>
  <c r="G376" i="1"/>
  <c r="W451" i="1"/>
  <c r="U451" i="1"/>
  <c r="S451" i="1"/>
  <c r="Q451" i="1"/>
  <c r="O451" i="1"/>
  <c r="M451" i="1"/>
  <c r="K451" i="1"/>
  <c r="G451" i="1"/>
  <c r="G452" i="1"/>
  <c r="G450" i="1"/>
  <c r="G439" i="1" l="1"/>
  <c r="G455" i="1" l="1"/>
  <c r="G374" i="1" l="1"/>
  <c r="G371" i="1"/>
  <c r="G325" i="1"/>
  <c r="F364" i="1" l="1"/>
  <c r="W485" i="1"/>
  <c r="U485" i="1"/>
  <c r="S485" i="1"/>
  <c r="Q485" i="1"/>
  <c r="O485" i="1"/>
  <c r="V364" i="1" l="1"/>
  <c r="W364" i="1" s="1"/>
  <c r="T364" i="1"/>
  <c r="U364" i="1" s="1"/>
  <c r="R364" i="1"/>
  <c r="S364" i="1" s="1"/>
  <c r="P364" i="1"/>
  <c r="Q364" i="1" s="1"/>
  <c r="N364" i="1"/>
  <c r="O364" i="1" s="1"/>
  <c r="L364" i="1"/>
  <c r="M364" i="1" s="1"/>
  <c r="K132" i="1"/>
  <c r="G364" i="1"/>
  <c r="G270" i="1"/>
  <c r="G132" i="1"/>
  <c r="G491" i="1"/>
  <c r="G370" i="1" l="1"/>
  <c r="G210" i="1"/>
  <c r="G307" i="1" l="1"/>
  <c r="G213" i="1" l="1"/>
  <c r="U125" i="1"/>
  <c r="S125" i="1"/>
  <c r="Q125" i="1"/>
  <c r="O125" i="1"/>
  <c r="M125" i="1"/>
  <c r="W120" i="1"/>
  <c r="U120" i="1"/>
  <c r="S120" i="1"/>
  <c r="Q120" i="1"/>
  <c r="O120" i="1"/>
  <c r="M120" i="1"/>
  <c r="F308" i="1"/>
  <c r="R308" i="1" l="1"/>
  <c r="S308" i="1" s="1"/>
  <c r="N308" i="1"/>
  <c r="O308" i="1" s="1"/>
  <c r="L308" i="1"/>
  <c r="M308" i="1" s="1"/>
  <c r="J308" i="1"/>
  <c r="K308" i="1" s="1"/>
  <c r="H308" i="1"/>
  <c r="I308" i="1" s="1"/>
  <c r="V308" i="1"/>
  <c r="W308" i="1" s="1"/>
  <c r="T308" i="1"/>
  <c r="U308" i="1" s="1"/>
  <c r="P308" i="1"/>
  <c r="Q308" i="1" s="1"/>
  <c r="G308" i="1"/>
  <c r="G266" i="1"/>
  <c r="U27" i="1" l="1"/>
  <c r="S27" i="1"/>
  <c r="Q27" i="1"/>
  <c r="O27" i="1"/>
  <c r="M27" i="1"/>
  <c r="G278" i="1" l="1"/>
  <c r="G274" i="1"/>
  <c r="F588" i="1" l="1"/>
  <c r="J588" i="1" l="1"/>
  <c r="K588" i="1" s="1"/>
  <c r="T588" i="1"/>
  <c r="U588" i="1" s="1"/>
  <c r="P588" i="1"/>
  <c r="Q588" i="1" s="1"/>
  <c r="V588" i="1"/>
  <c r="W588" i="1" s="1"/>
  <c r="R588" i="1"/>
  <c r="S588" i="1" s="1"/>
  <c r="H588" i="1"/>
  <c r="I588" i="1" s="1"/>
  <c r="L588" i="1"/>
  <c r="M588" i="1" s="1"/>
  <c r="N588" i="1"/>
  <c r="O588" i="1" s="1"/>
  <c r="W118" i="1"/>
  <c r="U118" i="1"/>
  <c r="S118" i="1"/>
  <c r="Q118" i="1"/>
  <c r="O118" i="1"/>
  <c r="M118" i="1"/>
  <c r="W123" i="1"/>
  <c r="U123" i="1"/>
  <c r="S123" i="1"/>
  <c r="Q123" i="1"/>
  <c r="O123" i="1"/>
  <c r="M123" i="1"/>
  <c r="S121" i="1"/>
  <c r="F61" i="1" l="1"/>
  <c r="P61" i="1" l="1"/>
  <c r="Q61" i="1" s="1"/>
  <c r="N61" i="1"/>
  <c r="O61" i="1" s="1"/>
  <c r="L61" i="1"/>
  <c r="M61" i="1" s="1"/>
  <c r="J61" i="1"/>
  <c r="K61" i="1" s="1"/>
  <c r="R61" i="1"/>
  <c r="S61" i="1" s="1"/>
  <c r="V61" i="1"/>
  <c r="W61" i="1" s="1"/>
  <c r="T61" i="1"/>
  <c r="U61" i="1" s="1"/>
  <c r="G61" i="1"/>
  <c r="G62" i="1" l="1"/>
  <c r="K62" i="1"/>
  <c r="M62" i="1"/>
  <c r="O62" i="1"/>
  <c r="Q62" i="1"/>
  <c r="S62" i="1"/>
  <c r="U62" i="1"/>
  <c r="W62" i="1"/>
  <c r="W128" i="1" l="1"/>
  <c r="U128" i="1"/>
  <c r="S128" i="1"/>
  <c r="Q128" i="1"/>
  <c r="O128" i="1"/>
  <c r="M128" i="1"/>
  <c r="G128" i="1"/>
  <c r="G489" i="1" l="1"/>
  <c r="G302" i="1"/>
  <c r="G60" i="1" l="1"/>
  <c r="G593" i="1" l="1"/>
  <c r="G537" i="1" l="1"/>
  <c r="G536" i="1"/>
  <c r="G432" i="1" l="1"/>
  <c r="I695" i="1" l="1"/>
  <c r="I696" i="1"/>
  <c r="K696" i="1" l="1"/>
  <c r="G696" i="1"/>
  <c r="G569" i="1" l="1"/>
  <c r="F645" i="1" l="1"/>
  <c r="P645" i="1" l="1"/>
  <c r="H645" i="1"/>
  <c r="T645" i="1"/>
  <c r="U645" i="1" s="1"/>
  <c r="R645" i="1"/>
  <c r="S645" i="1" s="1"/>
  <c r="J645" i="1"/>
  <c r="V645" i="1"/>
  <c r="W645" i="1" s="1"/>
  <c r="N645" i="1"/>
  <c r="O645" i="1" s="1"/>
  <c r="L645" i="1"/>
  <c r="M645" i="1" s="1"/>
  <c r="Q645" i="1"/>
  <c r="K645" i="1"/>
  <c r="G645" i="1" l="1"/>
  <c r="I645" i="1"/>
  <c r="U523" i="1" l="1"/>
  <c r="W522" i="1"/>
  <c r="O522" i="1" l="1"/>
  <c r="I522" i="1"/>
  <c r="K522" i="1"/>
  <c r="M522" i="1"/>
  <c r="Q522" i="1"/>
  <c r="S522" i="1"/>
  <c r="U522" i="1"/>
  <c r="W523" i="1"/>
  <c r="M523" i="1"/>
  <c r="O523" i="1"/>
  <c r="K523" i="1"/>
  <c r="Q523" i="1"/>
  <c r="S523" i="1"/>
  <c r="G523" i="1"/>
  <c r="I523" i="1"/>
  <c r="G522" i="1"/>
  <c r="G579" i="1" l="1"/>
  <c r="G609" i="1" l="1"/>
  <c r="G608" i="1"/>
  <c r="F612" i="1" l="1"/>
  <c r="H612" i="1" l="1"/>
  <c r="I612" i="1" s="1"/>
  <c r="N612" i="1"/>
  <c r="O612" i="1" s="1"/>
  <c r="R612" i="1"/>
  <c r="S612" i="1" s="1"/>
  <c r="L612" i="1"/>
  <c r="M612" i="1" s="1"/>
  <c r="T612" i="1"/>
  <c r="U612" i="1" s="1"/>
  <c r="P612" i="1"/>
  <c r="Q612" i="1" s="1"/>
  <c r="J612" i="1"/>
  <c r="K612" i="1" s="1"/>
  <c r="V612" i="1"/>
  <c r="W612" i="1" s="1"/>
  <c r="G612" i="1"/>
  <c r="G607" i="1"/>
  <c r="G655" i="1" l="1"/>
  <c r="G674" i="1"/>
  <c r="W671" i="1" l="1"/>
  <c r="S671" i="1"/>
  <c r="O671" i="1"/>
  <c r="K671" i="1"/>
  <c r="G671" i="1"/>
  <c r="M671" i="1" l="1"/>
  <c r="Q671" i="1"/>
  <c r="U671" i="1"/>
  <c r="F685" i="1" l="1"/>
  <c r="V685" i="1" l="1"/>
  <c r="W685" i="1" s="1"/>
  <c r="P685" i="1"/>
  <c r="Q685" i="1" s="1"/>
  <c r="T685" i="1"/>
  <c r="U685" i="1" s="1"/>
  <c r="J685" i="1"/>
  <c r="N685" i="1"/>
  <c r="O685" i="1" s="1"/>
  <c r="R685" i="1"/>
  <c r="S685" i="1" s="1"/>
  <c r="L685" i="1"/>
  <c r="M685" i="1" s="1"/>
  <c r="K685" i="1"/>
  <c r="G650" i="1"/>
  <c r="G648" i="1"/>
  <c r="F535" i="1"/>
  <c r="T535" i="1" l="1"/>
  <c r="U535" i="1" s="1"/>
  <c r="L535" i="1"/>
  <c r="M535" i="1" s="1"/>
  <c r="R535" i="1"/>
  <c r="S535" i="1" s="1"/>
  <c r="J535" i="1"/>
  <c r="K535" i="1" s="1"/>
  <c r="H535" i="1"/>
  <c r="I535" i="1" s="1"/>
  <c r="V535" i="1"/>
  <c r="W535" i="1" s="1"/>
  <c r="P535" i="1"/>
  <c r="Q535" i="1" s="1"/>
  <c r="N535" i="1"/>
  <c r="O535" i="1" s="1"/>
  <c r="F373" i="1"/>
  <c r="F255" i="1"/>
  <c r="F209" i="1"/>
  <c r="V209" i="1" l="1"/>
  <c r="W209" i="1" s="1"/>
  <c r="R209" i="1"/>
  <c r="S209" i="1" s="1"/>
  <c r="P209" i="1"/>
  <c r="Q209" i="1" s="1"/>
  <c r="N209" i="1"/>
  <c r="O209" i="1" s="1"/>
  <c r="L209" i="1"/>
  <c r="M209" i="1" s="1"/>
  <c r="T209" i="1"/>
  <c r="U209" i="1" s="1"/>
  <c r="J209" i="1"/>
  <c r="K209" i="1" s="1"/>
  <c r="V255" i="1"/>
  <c r="W255" i="1" s="1"/>
  <c r="H255" i="1"/>
  <c r="I255" i="1" s="1"/>
  <c r="J255" i="1"/>
  <c r="K255" i="1" s="1"/>
  <c r="L255" i="1"/>
  <c r="M255" i="1" s="1"/>
  <c r="N255" i="1"/>
  <c r="O255" i="1" s="1"/>
  <c r="P255" i="1"/>
  <c r="Q255" i="1" s="1"/>
  <c r="R255" i="1"/>
  <c r="S255" i="1" s="1"/>
  <c r="T255" i="1"/>
  <c r="U255" i="1" s="1"/>
  <c r="V373" i="1"/>
  <c r="W373" i="1" s="1"/>
  <c r="T373" i="1"/>
  <c r="U373" i="1" s="1"/>
  <c r="R373" i="1"/>
  <c r="S373" i="1" s="1"/>
  <c r="P373" i="1"/>
  <c r="Q373" i="1" s="1"/>
  <c r="N373" i="1"/>
  <c r="O373" i="1" s="1"/>
  <c r="L373" i="1"/>
  <c r="M373" i="1" s="1"/>
  <c r="I227" i="1"/>
  <c r="G14" i="1"/>
  <c r="U14" i="1" l="1"/>
  <c r="S14" i="1"/>
  <c r="Q14" i="1"/>
  <c r="O14" i="1"/>
  <c r="M14" i="1"/>
  <c r="K14" i="1"/>
  <c r="I14" i="1"/>
  <c r="G29" i="1" l="1"/>
  <c r="F589" i="1"/>
  <c r="F540" i="1"/>
  <c r="F529" i="1"/>
  <c r="F528" i="1"/>
  <c r="T529" i="1" l="1"/>
  <c r="U529" i="1" s="1"/>
  <c r="L529" i="1"/>
  <c r="M529" i="1" s="1"/>
  <c r="R529" i="1"/>
  <c r="S529" i="1" s="1"/>
  <c r="J529" i="1"/>
  <c r="K529" i="1" s="1"/>
  <c r="P529" i="1"/>
  <c r="Q529" i="1" s="1"/>
  <c r="N529" i="1"/>
  <c r="O529" i="1" s="1"/>
  <c r="H529" i="1"/>
  <c r="I529" i="1" s="1"/>
  <c r="V529" i="1"/>
  <c r="W529" i="1" s="1"/>
  <c r="T540" i="1"/>
  <c r="U540" i="1" s="1"/>
  <c r="L540" i="1"/>
  <c r="M540" i="1" s="1"/>
  <c r="R540" i="1"/>
  <c r="S540" i="1" s="1"/>
  <c r="J540" i="1"/>
  <c r="K540" i="1" s="1"/>
  <c r="H540" i="1"/>
  <c r="I540" i="1" s="1"/>
  <c r="V540" i="1"/>
  <c r="W540" i="1" s="1"/>
  <c r="P540" i="1"/>
  <c r="Q540" i="1" s="1"/>
  <c r="N540" i="1"/>
  <c r="O540" i="1" s="1"/>
  <c r="J589" i="1"/>
  <c r="K589" i="1" s="1"/>
  <c r="P589" i="1"/>
  <c r="Q589" i="1" s="1"/>
  <c r="T589" i="1"/>
  <c r="U589" i="1" s="1"/>
  <c r="L589" i="1"/>
  <c r="M589" i="1" s="1"/>
  <c r="N589" i="1"/>
  <c r="O589" i="1" s="1"/>
  <c r="V589" i="1"/>
  <c r="W589" i="1" s="1"/>
  <c r="H589" i="1"/>
  <c r="I589" i="1" s="1"/>
  <c r="R589" i="1"/>
  <c r="S589" i="1" s="1"/>
  <c r="V528" i="1"/>
  <c r="W528" i="1" s="1"/>
  <c r="P528" i="1"/>
  <c r="Q528" i="1" s="1"/>
  <c r="T528" i="1"/>
  <c r="U528" i="1" s="1"/>
  <c r="J528" i="1"/>
  <c r="K528" i="1" s="1"/>
  <c r="N528" i="1"/>
  <c r="O528" i="1" s="1"/>
  <c r="L528" i="1"/>
  <c r="M528" i="1" s="1"/>
  <c r="R528" i="1"/>
  <c r="S528" i="1" s="1"/>
  <c r="H528" i="1"/>
  <c r="I528" i="1" s="1"/>
  <c r="G524" i="1"/>
  <c r="F472" i="1"/>
  <c r="F418" i="1"/>
  <c r="V472" i="1" l="1"/>
  <c r="W472" i="1" s="1"/>
  <c r="N472" i="1"/>
  <c r="O472" i="1" s="1"/>
  <c r="T472" i="1"/>
  <c r="U472" i="1" s="1"/>
  <c r="L472" i="1"/>
  <c r="M472" i="1" s="1"/>
  <c r="R472" i="1"/>
  <c r="S472" i="1" s="1"/>
  <c r="J472" i="1"/>
  <c r="K472" i="1" s="1"/>
  <c r="P472" i="1"/>
  <c r="Q472" i="1" s="1"/>
  <c r="N418" i="1"/>
  <c r="O418" i="1" s="1"/>
  <c r="T418" i="1"/>
  <c r="U418" i="1" s="1"/>
  <c r="H418" i="1"/>
  <c r="I418" i="1" s="1"/>
  <c r="R418" i="1"/>
  <c r="S418" i="1" s="1"/>
  <c r="L418" i="1"/>
  <c r="M418" i="1" s="1"/>
  <c r="V418" i="1"/>
  <c r="W418" i="1" s="1"/>
  <c r="J418" i="1"/>
  <c r="K418" i="1" s="1"/>
  <c r="P418" i="1"/>
  <c r="Q418" i="1" s="1"/>
  <c r="F393" i="1"/>
  <c r="F367" i="1"/>
  <c r="F346" i="1"/>
  <c r="F345" i="1"/>
  <c r="F343" i="1"/>
  <c r="F341" i="1"/>
  <c r="F339" i="1"/>
  <c r="F284" i="1"/>
  <c r="H284" i="1" s="1"/>
  <c r="I284" i="1" s="1"/>
  <c r="F282" i="1"/>
  <c r="F280" i="1"/>
  <c r="F241" i="1"/>
  <c r="F231" i="1"/>
  <c r="F230" i="1"/>
  <c r="F149" i="1"/>
  <c r="F96" i="1"/>
  <c r="T393" i="1" l="1"/>
  <c r="U393" i="1" s="1"/>
  <c r="R393" i="1"/>
  <c r="S393" i="1" s="1"/>
  <c r="P393" i="1"/>
  <c r="Q393" i="1" s="1"/>
  <c r="N393" i="1"/>
  <c r="O393" i="1" s="1"/>
  <c r="L393" i="1"/>
  <c r="M393" i="1" s="1"/>
  <c r="V393" i="1"/>
  <c r="W393" i="1" s="1"/>
  <c r="N339" i="1"/>
  <c r="O339" i="1" s="1"/>
  <c r="L339" i="1"/>
  <c r="M339" i="1" s="1"/>
  <c r="V343" i="1"/>
  <c r="W343" i="1" s="1"/>
  <c r="T343" i="1"/>
  <c r="U343" i="1" s="1"/>
  <c r="R343" i="1"/>
  <c r="S343" i="1" s="1"/>
  <c r="P343" i="1"/>
  <c r="Q343" i="1" s="1"/>
  <c r="N343" i="1"/>
  <c r="O343" i="1" s="1"/>
  <c r="L343" i="1"/>
  <c r="M343" i="1" s="1"/>
  <c r="N282" i="1"/>
  <c r="O282" i="1" s="1"/>
  <c r="P282" i="1"/>
  <c r="Q282" i="1" s="1"/>
  <c r="R282" i="1"/>
  <c r="S282" i="1" s="1"/>
  <c r="T282" i="1"/>
  <c r="U282" i="1" s="1"/>
  <c r="H282" i="1"/>
  <c r="I282" i="1" s="1"/>
  <c r="V282" i="1"/>
  <c r="W282" i="1" s="1"/>
  <c r="L282" i="1"/>
  <c r="M282" i="1" s="1"/>
  <c r="J282" i="1"/>
  <c r="K282" i="1" s="1"/>
  <c r="P341" i="1"/>
  <c r="Q341" i="1" s="1"/>
  <c r="L341" i="1"/>
  <c r="M341" i="1" s="1"/>
  <c r="V341" i="1"/>
  <c r="W341" i="1" s="1"/>
  <c r="T341" i="1"/>
  <c r="U341" i="1" s="1"/>
  <c r="R341" i="1"/>
  <c r="S341" i="1" s="1"/>
  <c r="N341" i="1"/>
  <c r="O341" i="1" s="1"/>
  <c r="V345" i="1"/>
  <c r="W345" i="1" s="1"/>
  <c r="R345" i="1"/>
  <c r="S345" i="1" s="1"/>
  <c r="P345" i="1"/>
  <c r="Q345" i="1" s="1"/>
  <c r="N345" i="1"/>
  <c r="O345" i="1" s="1"/>
  <c r="L345" i="1"/>
  <c r="M345" i="1" s="1"/>
  <c r="T345" i="1"/>
  <c r="U345" i="1" s="1"/>
  <c r="P346" i="1"/>
  <c r="Q346" i="1" s="1"/>
  <c r="N346" i="1"/>
  <c r="O346" i="1" s="1"/>
  <c r="L346" i="1"/>
  <c r="M346" i="1" s="1"/>
  <c r="V367" i="1"/>
  <c r="W367" i="1" s="1"/>
  <c r="T367" i="1"/>
  <c r="U367" i="1" s="1"/>
  <c r="R367" i="1"/>
  <c r="S367" i="1" s="1"/>
  <c r="P367" i="1"/>
  <c r="Q367" i="1" s="1"/>
  <c r="N367" i="1"/>
  <c r="O367" i="1" s="1"/>
  <c r="L367" i="1"/>
  <c r="M367" i="1" s="1"/>
  <c r="V230" i="1"/>
  <c r="W230" i="1" s="1"/>
  <c r="T230" i="1"/>
  <c r="U230" i="1" s="1"/>
  <c r="R230" i="1"/>
  <c r="S230" i="1" s="1"/>
  <c r="P230" i="1"/>
  <c r="Q230" i="1" s="1"/>
  <c r="L230" i="1"/>
  <c r="M230" i="1" s="1"/>
  <c r="N230" i="1"/>
  <c r="O230" i="1" s="1"/>
  <c r="J230" i="1"/>
  <c r="K230" i="1" s="1"/>
  <c r="P241" i="1"/>
  <c r="Q241" i="1" s="1"/>
  <c r="N241" i="1"/>
  <c r="O241" i="1" s="1"/>
  <c r="L241" i="1"/>
  <c r="M241" i="1" s="1"/>
  <c r="J241" i="1"/>
  <c r="K241" i="1" s="1"/>
  <c r="V241" i="1"/>
  <c r="W241" i="1" s="1"/>
  <c r="T241" i="1"/>
  <c r="U241" i="1" s="1"/>
  <c r="R241" i="1"/>
  <c r="S241" i="1" s="1"/>
  <c r="P96" i="1"/>
  <c r="Q96" i="1" s="1"/>
  <c r="N96" i="1"/>
  <c r="O96" i="1" s="1"/>
  <c r="T96" i="1"/>
  <c r="U96" i="1" s="1"/>
  <c r="L96" i="1"/>
  <c r="M96" i="1" s="1"/>
  <c r="J96" i="1"/>
  <c r="K96" i="1" s="1"/>
  <c r="R96" i="1"/>
  <c r="S96" i="1" s="1"/>
  <c r="V96" i="1"/>
  <c r="W96" i="1" s="1"/>
  <c r="V149" i="1"/>
  <c r="W149" i="1" s="1"/>
  <c r="T149" i="1"/>
  <c r="U149" i="1" s="1"/>
  <c r="R149" i="1"/>
  <c r="S149" i="1" s="1"/>
  <c r="P149" i="1"/>
  <c r="Q149" i="1" s="1"/>
  <c r="N149" i="1"/>
  <c r="O149" i="1" s="1"/>
  <c r="H149" i="1"/>
  <c r="I149" i="1" s="1"/>
  <c r="L149" i="1"/>
  <c r="M149" i="1" s="1"/>
  <c r="J149" i="1"/>
  <c r="K149" i="1" s="1"/>
  <c r="L231" i="1"/>
  <c r="M231" i="1" s="1"/>
  <c r="J231" i="1"/>
  <c r="K231" i="1" s="1"/>
  <c r="V231" i="1"/>
  <c r="W231" i="1" s="1"/>
  <c r="T231" i="1"/>
  <c r="U231" i="1" s="1"/>
  <c r="R231" i="1"/>
  <c r="S231" i="1" s="1"/>
  <c r="P231" i="1"/>
  <c r="Q231" i="1" s="1"/>
  <c r="N231" i="1"/>
  <c r="O231" i="1" s="1"/>
  <c r="P280" i="1"/>
  <c r="Q280" i="1" s="1"/>
  <c r="T280" i="1"/>
  <c r="U280" i="1" s="1"/>
  <c r="H280" i="1"/>
  <c r="I280" i="1" s="1"/>
  <c r="V280" i="1"/>
  <c r="W280" i="1" s="1"/>
  <c r="J280" i="1"/>
  <c r="K280" i="1" s="1"/>
  <c r="L280" i="1"/>
  <c r="M280" i="1" s="1"/>
  <c r="N280" i="1"/>
  <c r="O280" i="1" s="1"/>
  <c r="R280" i="1"/>
  <c r="S280" i="1" s="1"/>
  <c r="I104" i="1"/>
  <c r="I102" i="1"/>
  <c r="I99" i="1"/>
  <c r="I100" i="1"/>
  <c r="G616" i="1" l="1"/>
  <c r="G361" i="1"/>
  <c r="G360" i="1" l="1"/>
  <c r="G430" i="1" l="1"/>
  <c r="G431" i="1"/>
  <c r="G427" i="1"/>
  <c r="G428" i="1"/>
  <c r="G247" i="1"/>
  <c r="J11" i="1" l="1"/>
  <c r="G11" i="1"/>
  <c r="I445" i="1" l="1"/>
  <c r="G252" i="1" l="1"/>
  <c r="G254" i="1" l="1"/>
  <c r="G359" i="1" l="1"/>
  <c r="G406" i="1"/>
  <c r="G517" i="1" l="1"/>
  <c r="W227" i="1" l="1"/>
  <c r="U227" i="1"/>
  <c r="S227" i="1"/>
  <c r="Q227" i="1"/>
  <c r="O227" i="1"/>
  <c r="M227" i="1"/>
  <c r="K227" i="1"/>
  <c r="U190" i="1"/>
  <c r="S190" i="1"/>
  <c r="Q190" i="1"/>
  <c r="O190" i="1"/>
  <c r="M190" i="1"/>
  <c r="J10" i="1"/>
  <c r="I67" i="1"/>
  <c r="G434" i="1" l="1"/>
  <c r="U445" i="1" l="1"/>
  <c r="S445" i="1"/>
  <c r="Q445" i="1"/>
  <c r="O445" i="1"/>
  <c r="M445" i="1"/>
  <c r="K445" i="1"/>
  <c r="G445" i="1"/>
  <c r="G526" i="1" l="1"/>
  <c r="G525" i="1"/>
  <c r="U144" i="1"/>
  <c r="W144" i="1"/>
  <c r="S144" i="1"/>
  <c r="Q144" i="1"/>
  <c r="O144" i="1"/>
  <c r="M144" i="1"/>
  <c r="K144" i="1"/>
  <c r="W143" i="1"/>
  <c r="U143" i="1"/>
  <c r="S143" i="1"/>
  <c r="Q143" i="1"/>
  <c r="O143" i="1"/>
  <c r="M143" i="1"/>
  <c r="K143" i="1"/>
  <c r="G409" i="1" l="1"/>
  <c r="G539" i="1" l="1"/>
  <c r="I506" i="1" l="1"/>
  <c r="I505" i="1"/>
  <c r="G499" i="1" l="1"/>
  <c r="Q499" i="1" l="1"/>
  <c r="O499" i="1"/>
  <c r="M499" i="1"/>
  <c r="W499" i="1"/>
  <c r="K499" i="1"/>
  <c r="U499" i="1"/>
  <c r="S499" i="1"/>
  <c r="I499" i="1"/>
  <c r="G422" i="1" l="1"/>
  <c r="F16" i="1" l="1"/>
  <c r="H16" i="1" s="1"/>
  <c r="F17" i="1"/>
  <c r="H17" i="1" s="1"/>
  <c r="I164" i="1" l="1"/>
  <c r="G592" i="1"/>
  <c r="G415" i="1" l="1"/>
  <c r="G527" i="1" l="1"/>
  <c r="G385" i="1" l="1"/>
  <c r="F550" i="1" l="1"/>
  <c r="T550" i="1" l="1"/>
  <c r="U550" i="1" s="1"/>
  <c r="L550" i="1"/>
  <c r="M550" i="1" s="1"/>
  <c r="R550" i="1"/>
  <c r="S550" i="1" s="1"/>
  <c r="J550" i="1"/>
  <c r="K550" i="1" s="1"/>
  <c r="H550" i="1"/>
  <c r="I550" i="1" s="1"/>
  <c r="V550" i="1"/>
  <c r="W550" i="1" s="1"/>
  <c r="P550" i="1"/>
  <c r="Q550" i="1" s="1"/>
  <c r="N550" i="1"/>
  <c r="O550" i="1" s="1"/>
  <c r="G550" i="1"/>
  <c r="G386" i="1" l="1"/>
  <c r="G383" i="1" l="1"/>
  <c r="G685" i="1" l="1"/>
  <c r="G573" i="1"/>
  <c r="G611" i="1"/>
  <c r="G100" i="1"/>
  <c r="G458" i="1" l="1"/>
  <c r="G684" i="1"/>
  <c r="F459" i="1"/>
  <c r="N459" i="1" l="1"/>
  <c r="O459" i="1" s="1"/>
  <c r="H459" i="1"/>
  <c r="I459" i="1" s="1"/>
  <c r="R459" i="1"/>
  <c r="S459" i="1" s="1"/>
  <c r="L459" i="1"/>
  <c r="M459" i="1" s="1"/>
  <c r="V459" i="1"/>
  <c r="W459" i="1" s="1"/>
  <c r="P459" i="1"/>
  <c r="Q459" i="1" s="1"/>
  <c r="T459" i="1"/>
  <c r="U459" i="1" s="1"/>
  <c r="J459" i="1"/>
  <c r="K459" i="1" s="1"/>
  <c r="G459" i="1"/>
  <c r="G460" i="1"/>
  <c r="G461" i="1"/>
  <c r="G384" i="1" l="1"/>
  <c r="W150" i="1" l="1"/>
  <c r="U150" i="1"/>
  <c r="S150" i="1"/>
  <c r="Q150" i="1"/>
  <c r="O150" i="1"/>
  <c r="M150" i="1"/>
  <c r="K150" i="1"/>
  <c r="W486" i="1"/>
  <c r="W482" i="1"/>
  <c r="W481" i="1"/>
  <c r="U486" i="1"/>
  <c r="U482" i="1"/>
  <c r="U481" i="1"/>
  <c r="S486" i="1"/>
  <c r="S482" i="1"/>
  <c r="S481" i="1"/>
  <c r="Q486" i="1"/>
  <c r="Q482" i="1"/>
  <c r="Q481" i="1"/>
  <c r="O486" i="1"/>
  <c r="O482" i="1"/>
  <c r="O481" i="1"/>
  <c r="G484" i="1"/>
  <c r="G485" i="1"/>
  <c r="G486" i="1"/>
  <c r="G483" i="1"/>
  <c r="G482" i="1"/>
  <c r="G481" i="1"/>
  <c r="G351" i="1" l="1"/>
  <c r="F516" i="1" l="1"/>
  <c r="T516" i="1" l="1"/>
  <c r="U516" i="1" s="1"/>
  <c r="L516" i="1"/>
  <c r="M516" i="1" s="1"/>
  <c r="R516" i="1"/>
  <c r="S516" i="1" s="1"/>
  <c r="J516" i="1"/>
  <c r="K516" i="1" s="1"/>
  <c r="H516" i="1"/>
  <c r="I516" i="1" s="1"/>
  <c r="P516" i="1"/>
  <c r="Q516" i="1" s="1"/>
  <c r="V516" i="1"/>
  <c r="W516" i="1" s="1"/>
  <c r="N516" i="1"/>
  <c r="O516" i="1" s="1"/>
  <c r="M130" i="1"/>
  <c r="F551" i="1" l="1"/>
  <c r="T551" i="1" l="1"/>
  <c r="U551" i="1" s="1"/>
  <c r="L551" i="1"/>
  <c r="M551" i="1" s="1"/>
  <c r="R551" i="1"/>
  <c r="S551" i="1" s="1"/>
  <c r="J551" i="1"/>
  <c r="K551" i="1" s="1"/>
  <c r="H551" i="1"/>
  <c r="I551" i="1" s="1"/>
  <c r="V551" i="1"/>
  <c r="W551" i="1" s="1"/>
  <c r="P551" i="1"/>
  <c r="Q551" i="1" s="1"/>
  <c r="N551" i="1"/>
  <c r="O551" i="1" s="1"/>
  <c r="G291" i="1"/>
  <c r="G541" i="1" l="1"/>
  <c r="G373" i="1"/>
  <c r="F362" i="1" l="1"/>
  <c r="F184" i="1"/>
  <c r="F183" i="1"/>
  <c r="F182" i="1"/>
  <c r="F181" i="1"/>
  <c r="F180" i="1"/>
  <c r="F179" i="1"/>
  <c r="L362" i="1" l="1"/>
  <c r="M362" i="1" s="1"/>
  <c r="T362" i="1"/>
  <c r="U362" i="1" s="1"/>
  <c r="R362" i="1"/>
  <c r="S362" i="1" s="1"/>
  <c r="P362" i="1"/>
  <c r="Q362" i="1" s="1"/>
  <c r="N362" i="1"/>
  <c r="O362" i="1" s="1"/>
  <c r="N179" i="1"/>
  <c r="O179" i="1" s="1"/>
  <c r="L179" i="1"/>
  <c r="M179" i="1" s="1"/>
  <c r="J179" i="1"/>
  <c r="K179" i="1" s="1"/>
  <c r="H179" i="1"/>
  <c r="I179" i="1" s="1"/>
  <c r="P179" i="1"/>
  <c r="Q179" i="1" s="1"/>
  <c r="V179" i="1"/>
  <c r="W179" i="1" s="1"/>
  <c r="R179" i="1"/>
  <c r="S179" i="1" s="1"/>
  <c r="T179" i="1"/>
  <c r="U179" i="1" s="1"/>
  <c r="R181" i="1"/>
  <c r="S181" i="1" s="1"/>
  <c r="V181" i="1"/>
  <c r="W181" i="1" s="1"/>
  <c r="T181" i="1"/>
  <c r="U181" i="1" s="1"/>
  <c r="P181" i="1"/>
  <c r="Q181" i="1" s="1"/>
  <c r="L181" i="1"/>
  <c r="M181" i="1" s="1"/>
  <c r="J181" i="1"/>
  <c r="K181" i="1" s="1"/>
  <c r="N181" i="1"/>
  <c r="O181" i="1" s="1"/>
  <c r="H181" i="1"/>
  <c r="I181" i="1" s="1"/>
  <c r="P184" i="1"/>
  <c r="Q184" i="1" s="1"/>
  <c r="N184" i="1"/>
  <c r="O184" i="1" s="1"/>
  <c r="L184" i="1"/>
  <c r="M184" i="1" s="1"/>
  <c r="J184" i="1"/>
  <c r="K184" i="1" s="1"/>
  <c r="H184" i="1"/>
  <c r="I184" i="1" s="1"/>
  <c r="T184" i="1"/>
  <c r="U184" i="1" s="1"/>
  <c r="V184" i="1"/>
  <c r="W184" i="1" s="1"/>
  <c r="R184" i="1"/>
  <c r="S184" i="1" s="1"/>
  <c r="H180" i="1"/>
  <c r="I180" i="1" s="1"/>
  <c r="V180" i="1"/>
  <c r="W180" i="1" s="1"/>
  <c r="J180" i="1"/>
  <c r="K180" i="1" s="1"/>
  <c r="T180" i="1"/>
  <c r="U180" i="1" s="1"/>
  <c r="R180" i="1"/>
  <c r="S180" i="1" s="1"/>
  <c r="P180" i="1"/>
  <c r="Q180" i="1" s="1"/>
  <c r="N180" i="1"/>
  <c r="O180" i="1" s="1"/>
  <c r="L180" i="1"/>
  <c r="M180" i="1" s="1"/>
  <c r="T182" i="1"/>
  <c r="U182" i="1" s="1"/>
  <c r="R182" i="1"/>
  <c r="S182" i="1" s="1"/>
  <c r="P182" i="1"/>
  <c r="Q182" i="1" s="1"/>
  <c r="N182" i="1"/>
  <c r="O182" i="1" s="1"/>
  <c r="L182" i="1"/>
  <c r="M182" i="1" s="1"/>
  <c r="J182" i="1"/>
  <c r="K182" i="1" s="1"/>
  <c r="P183" i="1"/>
  <c r="Q183" i="1" s="1"/>
  <c r="N183" i="1"/>
  <c r="O183" i="1" s="1"/>
  <c r="L183" i="1"/>
  <c r="M183" i="1" s="1"/>
  <c r="H183" i="1"/>
  <c r="I183" i="1" s="1"/>
  <c r="J183" i="1"/>
  <c r="K183" i="1" s="1"/>
  <c r="R183" i="1"/>
  <c r="S183" i="1" s="1"/>
  <c r="V183" i="1"/>
  <c r="W183" i="1" s="1"/>
  <c r="T183" i="1"/>
  <c r="U183" i="1" s="1"/>
  <c r="K133" i="1" l="1"/>
  <c r="G405" i="1"/>
  <c r="O712" i="1" l="1"/>
  <c r="G323" i="1" l="1"/>
  <c r="F356" i="1" l="1"/>
  <c r="L356" i="1" l="1"/>
  <c r="M356" i="1" s="1"/>
  <c r="N356" i="1"/>
  <c r="O356" i="1" s="1"/>
  <c r="P356" i="1"/>
  <c r="Q356" i="1" s="1"/>
  <c r="R356" i="1"/>
  <c r="S356" i="1" s="1"/>
  <c r="T356" i="1"/>
  <c r="U356" i="1" s="1"/>
  <c r="V356" i="1"/>
  <c r="W356" i="1" s="1"/>
  <c r="G700" i="1"/>
  <c r="G546" i="1" l="1"/>
  <c r="G545" i="1" l="1"/>
  <c r="G534" i="1" l="1"/>
  <c r="G529" i="1"/>
  <c r="G528" i="1" l="1"/>
  <c r="G280" i="1" l="1"/>
  <c r="G277" i="1"/>
  <c r="G260" i="1" l="1"/>
  <c r="G255" i="1"/>
  <c r="G614" i="1" l="1"/>
  <c r="G615" i="1"/>
  <c r="G515" i="1" l="1"/>
  <c r="G212" i="1" l="1"/>
  <c r="G211" i="1" l="1"/>
  <c r="G227" i="1"/>
  <c r="G586" i="1" l="1"/>
  <c r="G585" i="1"/>
  <c r="G372" i="1" l="1"/>
  <c r="G259" i="1" l="1"/>
  <c r="G183" i="1" l="1"/>
  <c r="G184" i="1"/>
  <c r="G180" i="1" l="1"/>
  <c r="G182" i="1"/>
  <c r="G181" i="1"/>
  <c r="G179" i="1"/>
  <c r="G176" i="1"/>
  <c r="G173" i="1"/>
  <c r="G440" i="1" l="1"/>
  <c r="G311" i="1" l="1"/>
  <c r="W620" i="1" l="1"/>
  <c r="U620" i="1"/>
  <c r="S620" i="1"/>
  <c r="Q620" i="1"/>
  <c r="O620" i="1"/>
  <c r="M620" i="1"/>
  <c r="K620" i="1"/>
  <c r="I620" i="1"/>
  <c r="W555" i="1" l="1"/>
  <c r="U555" i="1"/>
  <c r="S555" i="1"/>
  <c r="Q555" i="1"/>
  <c r="O555" i="1"/>
  <c r="M555" i="1"/>
  <c r="K555" i="1"/>
  <c r="I555" i="1"/>
  <c r="W36" i="1" l="1"/>
  <c r="U36" i="1"/>
  <c r="S36" i="1"/>
  <c r="Q36" i="1"/>
  <c r="O36" i="1"/>
  <c r="G59" i="1"/>
  <c r="U13" i="1"/>
  <c r="G433" i="1" l="1"/>
  <c r="G285" i="1"/>
  <c r="G279" i="1" l="1"/>
  <c r="G533" i="1" l="1"/>
  <c r="G532" i="1" l="1"/>
  <c r="G194" i="1"/>
  <c r="G193" i="1"/>
  <c r="G190" i="1"/>
  <c r="W185" i="1"/>
  <c r="U185" i="1"/>
  <c r="S185" i="1"/>
  <c r="Q185" i="1"/>
  <c r="O185" i="1"/>
  <c r="G192" i="1" l="1"/>
  <c r="G191" i="1"/>
  <c r="W190" i="1"/>
  <c r="G195" i="1"/>
  <c r="G596" i="1"/>
  <c r="I715" i="1" l="1"/>
  <c r="I714" i="1"/>
  <c r="I712" i="1"/>
  <c r="I713" i="1"/>
  <c r="W712" i="1"/>
  <c r="U712" i="1"/>
  <c r="S712" i="1"/>
  <c r="Q712" i="1"/>
  <c r="M712" i="1"/>
  <c r="K712" i="1"/>
  <c r="W554" i="1" l="1"/>
  <c r="U554" i="1" l="1"/>
  <c r="I554" i="1"/>
  <c r="M554" i="1"/>
  <c r="Q554" i="1"/>
  <c r="K554" i="1"/>
  <c r="O554" i="1"/>
  <c r="S554" i="1"/>
  <c r="G531" i="1" l="1"/>
  <c r="G530" i="1"/>
  <c r="K329" i="1" l="1"/>
  <c r="I514" i="1" l="1"/>
  <c r="G258" i="1" l="1"/>
  <c r="G591" i="1" l="1"/>
  <c r="G606" i="1" l="1"/>
  <c r="G600" i="1"/>
  <c r="G605" i="1"/>
  <c r="G578" i="1" l="1"/>
  <c r="G571" i="1" l="1"/>
  <c r="G583" i="1"/>
  <c r="G572" i="1" l="1"/>
  <c r="G582" i="1"/>
  <c r="G575" i="1"/>
  <c r="I567" i="1"/>
  <c r="G604" i="1"/>
  <c r="G598" i="1"/>
  <c r="G597" i="1"/>
  <c r="G590" i="1"/>
  <c r="G589" i="1"/>
  <c r="G588" i="1"/>
  <c r="G587" i="1"/>
  <c r="G574" i="1"/>
  <c r="G567" i="1"/>
  <c r="G294" i="1" l="1"/>
  <c r="G410" i="1" l="1"/>
  <c r="G293" i="1" l="1"/>
  <c r="G324" i="1"/>
  <c r="G306" i="1"/>
  <c r="G304" i="1"/>
  <c r="G305" i="1"/>
  <c r="I16" i="1"/>
  <c r="I17" i="1"/>
  <c r="G17" i="1"/>
  <c r="G16" i="1"/>
  <c r="N17" i="1"/>
  <c r="G46" i="1"/>
  <c r="G45" i="1"/>
  <c r="W44" i="1"/>
  <c r="U44" i="1"/>
  <c r="S44" i="1"/>
  <c r="Q44" i="1"/>
  <c r="O44" i="1"/>
  <c r="G44" i="1"/>
  <c r="G130" i="1"/>
  <c r="G234" i="1" l="1"/>
  <c r="G413" i="1" l="1"/>
  <c r="G698" i="1" l="1"/>
  <c r="G693" i="1" l="1"/>
  <c r="K695" i="1"/>
  <c r="G695" i="1"/>
  <c r="G449" i="1" l="1"/>
  <c r="G448" i="1"/>
  <c r="Q56" i="1" l="1"/>
  <c r="M56" i="1"/>
  <c r="K56" i="1"/>
  <c r="W56" i="1"/>
  <c r="U56" i="1"/>
  <c r="S56" i="1"/>
  <c r="O56" i="1"/>
  <c r="G56" i="1"/>
  <c r="G352" i="1" l="1"/>
  <c r="G375" i="1" l="1"/>
  <c r="G301" i="1"/>
  <c r="G243" i="1" l="1"/>
  <c r="G246" i="1"/>
  <c r="G249" i="1" l="1"/>
  <c r="I708" i="1" l="1"/>
  <c r="K708" i="1"/>
  <c r="W708" i="1"/>
  <c r="U708" i="1"/>
  <c r="S708" i="1"/>
  <c r="Q708" i="1"/>
  <c r="O708" i="1"/>
  <c r="M708" i="1"/>
  <c r="W707" i="1"/>
  <c r="U707" i="1"/>
  <c r="S707" i="1"/>
  <c r="Q707" i="1"/>
  <c r="O707" i="1"/>
  <c r="M707" i="1"/>
  <c r="S713" i="1"/>
  <c r="U713" i="1"/>
  <c r="W713" i="1"/>
  <c r="S714" i="1"/>
  <c r="U714" i="1"/>
  <c r="W714" i="1"/>
  <c r="S715" i="1"/>
  <c r="U715" i="1"/>
  <c r="W715" i="1"/>
  <c r="Q715" i="1"/>
  <c r="O715" i="1"/>
  <c r="M715" i="1"/>
  <c r="K715" i="1"/>
  <c r="M126" i="1" l="1"/>
  <c r="M122" i="1"/>
  <c r="M121" i="1"/>
  <c r="M117" i="1"/>
  <c r="M116" i="1"/>
  <c r="O109" i="1"/>
  <c r="O108" i="1"/>
  <c r="Q73" i="1" l="1"/>
  <c r="Q72" i="1"/>
  <c r="Q70" i="1"/>
  <c r="Q68" i="1"/>
  <c r="Q69" i="1"/>
  <c r="W686" i="1" l="1"/>
  <c r="U686" i="1"/>
  <c r="S686" i="1"/>
  <c r="Q686" i="1"/>
  <c r="O686" i="1"/>
  <c r="M686" i="1"/>
  <c r="W514" i="1"/>
  <c r="U514" i="1"/>
  <c r="S514" i="1"/>
  <c r="Q514" i="1"/>
  <c r="O514" i="1"/>
  <c r="M514" i="1"/>
  <c r="K514" i="1"/>
  <c r="Q469" i="1"/>
  <c r="Q446" i="1"/>
  <c r="Q444" i="1"/>
  <c r="G682" i="1" l="1"/>
  <c r="G681" i="1"/>
  <c r="Q126" i="1" l="1"/>
  <c r="Q122" i="1"/>
  <c r="Q121" i="1"/>
  <c r="Q117" i="1"/>
  <c r="Q116" i="1"/>
  <c r="Q109" i="1"/>
  <c r="Q108" i="1"/>
  <c r="Q107" i="1"/>
  <c r="Q106" i="1"/>
  <c r="K52" i="1"/>
  <c r="Q52" i="1"/>
  <c r="Q129" i="1" l="1"/>
  <c r="Q47" i="1" l="1"/>
  <c r="Q41" i="1"/>
  <c r="Q39" i="1"/>
  <c r="Q38" i="1"/>
  <c r="Q35" i="1"/>
  <c r="Q30" i="1"/>
  <c r="G551" i="1" l="1"/>
  <c r="G241" i="1"/>
  <c r="G265" i="1" l="1"/>
  <c r="G222" i="1"/>
  <c r="G456" i="1" l="1"/>
  <c r="G408" i="1" l="1"/>
  <c r="G443" i="1"/>
  <c r="G298" i="1"/>
  <c r="G380" i="1"/>
  <c r="Q146" i="1"/>
  <c r="Q145" i="1"/>
  <c r="W39" i="1"/>
  <c r="G133" i="1" l="1"/>
  <c r="G283" i="1" l="1"/>
  <c r="G199" i="1"/>
  <c r="G407" i="1" l="1"/>
  <c r="O70" i="1" l="1"/>
  <c r="G217" i="1"/>
  <c r="G299" i="1" l="1"/>
  <c r="W68" i="1" l="1"/>
  <c r="U68" i="1"/>
  <c r="S68" i="1"/>
  <c r="O68" i="1"/>
  <c r="G296" i="1"/>
  <c r="G392" i="1" l="1"/>
  <c r="G165" i="1" l="1"/>
  <c r="G356" i="1" l="1"/>
  <c r="G699" i="1"/>
  <c r="G701" i="1"/>
  <c r="G453" i="1" l="1"/>
  <c r="G535" i="1" l="1"/>
  <c r="G40" i="1" l="1"/>
  <c r="U39" i="1"/>
  <c r="S39" i="1"/>
  <c r="O39" i="1"/>
  <c r="G39" i="1"/>
  <c r="I627" i="1" l="1"/>
  <c r="G268" i="1" l="1"/>
  <c r="G276" i="1" l="1"/>
  <c r="G269" i="1"/>
  <c r="G168" i="1" l="1"/>
  <c r="V98" i="1" l="1"/>
  <c r="T98" i="1"/>
  <c r="R98" i="1"/>
  <c r="N98" i="1"/>
  <c r="K98" i="1"/>
  <c r="G421" i="1" l="1"/>
  <c r="G543" i="1" l="1"/>
  <c r="G218" i="1" l="1"/>
  <c r="G500" i="1" l="1"/>
  <c r="G424" i="1"/>
  <c r="I742" i="1" l="1"/>
  <c r="M129" i="1"/>
  <c r="W126" i="1"/>
  <c r="W122" i="1"/>
  <c r="W121" i="1"/>
  <c r="W117" i="1"/>
  <c r="W116" i="1"/>
  <c r="U122" i="1"/>
  <c r="U121" i="1"/>
  <c r="U117" i="1"/>
  <c r="U116" i="1"/>
  <c r="S126" i="1"/>
  <c r="S122" i="1"/>
  <c r="S117" i="1"/>
  <c r="S116" i="1"/>
  <c r="O117" i="1"/>
  <c r="O121" i="1"/>
  <c r="O122" i="1"/>
  <c r="O126" i="1"/>
  <c r="O116" i="1"/>
  <c r="W106" i="1"/>
  <c r="W107" i="1"/>
  <c r="W108" i="1"/>
  <c r="W109" i="1"/>
  <c r="U106" i="1"/>
  <c r="U107" i="1"/>
  <c r="U108" i="1"/>
  <c r="U109" i="1"/>
  <c r="S106" i="1"/>
  <c r="S107" i="1"/>
  <c r="S108" i="1"/>
  <c r="S109" i="1"/>
  <c r="W129" i="1" l="1"/>
  <c r="G553" i="1" l="1"/>
  <c r="G552" i="1"/>
  <c r="G538" i="1"/>
  <c r="G540" i="1"/>
  <c r="G549" i="1"/>
  <c r="G548" i="1"/>
  <c r="G492" i="1" l="1"/>
  <c r="G297" i="1" l="1"/>
  <c r="G322" i="1"/>
  <c r="G300" i="1"/>
  <c r="G321" i="1" l="1"/>
  <c r="G233" i="1" l="1"/>
  <c r="G10" i="1"/>
  <c r="G224" i="1" l="1"/>
  <c r="G686" i="1" l="1"/>
  <c r="G225" i="1" l="1"/>
  <c r="O35" i="1"/>
  <c r="G198" i="1" l="1"/>
  <c r="G675" i="1" l="1"/>
  <c r="G677" i="1"/>
  <c r="G676" i="1"/>
  <c r="G411" i="1" l="1"/>
  <c r="G412" i="1"/>
  <c r="S41" i="1" l="1"/>
  <c r="G490" i="1" l="1"/>
  <c r="G697" i="1" l="1"/>
  <c r="G694" i="1"/>
  <c r="G288" i="1"/>
  <c r="G226" i="1"/>
  <c r="G223" i="1"/>
  <c r="G221" i="1"/>
  <c r="G215" i="1"/>
  <c r="G216" i="1"/>
  <c r="G214" i="1"/>
  <c r="G105" i="1"/>
  <c r="G63" i="1"/>
  <c r="G23" i="1"/>
  <c r="G21" i="1"/>
  <c r="G22" i="1"/>
  <c r="G404" i="1" l="1"/>
  <c r="U444" i="1" l="1"/>
  <c r="S444" i="1"/>
  <c r="M444" i="1"/>
  <c r="O444" i="1"/>
  <c r="G444" i="1"/>
  <c r="J498" i="1" l="1"/>
  <c r="J495" i="1"/>
  <c r="J494" i="1"/>
  <c r="J493" i="1"/>
  <c r="J497" i="1"/>
  <c r="J492" i="1"/>
  <c r="G20" i="1" l="1"/>
  <c r="G446" i="1"/>
  <c r="M446" i="1"/>
  <c r="O446" i="1"/>
  <c r="S446" i="1"/>
  <c r="U446" i="1"/>
  <c r="G161" i="1"/>
  <c r="G25" i="1" l="1"/>
  <c r="G542" i="1" l="1"/>
  <c r="G53" i="1" l="1"/>
  <c r="G55" i="1"/>
  <c r="O30" i="1"/>
  <c r="G57" i="1"/>
  <c r="U30" i="1" l="1"/>
  <c r="G209" i="1"/>
  <c r="G28" i="1" l="1"/>
  <c r="G326" i="1"/>
  <c r="O129" i="1"/>
  <c r="S129" i="1"/>
  <c r="U129" i="1"/>
  <c r="G314" i="1" l="1"/>
  <c r="G13" i="1" l="1"/>
  <c r="G516" i="1" l="1"/>
  <c r="G149" i="1" l="1"/>
  <c r="G12" i="1"/>
  <c r="G19" i="1"/>
  <c r="G30" i="1"/>
  <c r="S30" i="1"/>
  <c r="W30" i="1"/>
  <c r="G31" i="1"/>
  <c r="G32" i="1"/>
  <c r="G33" i="1"/>
  <c r="G34" i="1"/>
  <c r="G35" i="1"/>
  <c r="S35" i="1"/>
  <c r="U35" i="1"/>
  <c r="W35" i="1"/>
  <c r="G36" i="1"/>
  <c r="G37" i="1"/>
  <c r="G38" i="1"/>
  <c r="O38" i="1"/>
  <c r="S38" i="1"/>
  <c r="U38" i="1"/>
  <c r="W38" i="1"/>
  <c r="G41" i="1"/>
  <c r="O41" i="1"/>
  <c r="U41" i="1"/>
  <c r="W41" i="1"/>
  <c r="G42" i="1"/>
  <c r="G43" i="1"/>
  <c r="G47" i="1"/>
  <c r="O47" i="1"/>
  <c r="S47" i="1"/>
  <c r="U47" i="1"/>
  <c r="W47" i="1"/>
  <c r="G48" i="1"/>
  <c r="G49" i="1"/>
  <c r="G52" i="1"/>
  <c r="M52" i="1"/>
  <c r="O52" i="1"/>
  <c r="S52" i="1"/>
  <c r="U52" i="1"/>
  <c r="W52" i="1"/>
  <c r="G54" i="1"/>
  <c r="G58" i="1"/>
  <c r="G64" i="1"/>
  <c r="G67" i="1"/>
  <c r="O69" i="1"/>
  <c r="S69" i="1"/>
  <c r="U69" i="1"/>
  <c r="W69" i="1"/>
  <c r="S70" i="1"/>
  <c r="U70" i="1"/>
  <c r="W70" i="1"/>
  <c r="M72" i="1"/>
  <c r="O72" i="1"/>
  <c r="S72" i="1"/>
  <c r="U72" i="1"/>
  <c r="M73" i="1"/>
  <c r="O73" i="1"/>
  <c r="S73" i="1"/>
  <c r="U73" i="1"/>
  <c r="G95" i="1"/>
  <c r="K95" i="1"/>
  <c r="M95" i="1"/>
  <c r="N95" i="1"/>
  <c r="G96" i="1"/>
  <c r="G97" i="1"/>
  <c r="G98" i="1"/>
  <c r="G99" i="1"/>
  <c r="G101" i="1"/>
  <c r="G102" i="1"/>
  <c r="G104" i="1"/>
  <c r="G129" i="1"/>
  <c r="G141" i="1"/>
  <c r="Q141" i="1"/>
  <c r="G142" i="1"/>
  <c r="Q142" i="1"/>
  <c r="G145" i="1"/>
  <c r="G146" i="1"/>
  <c r="G163" i="1"/>
  <c r="G164" i="1"/>
  <c r="G189" i="1"/>
  <c r="G196" i="1"/>
  <c r="G202" i="1"/>
  <c r="G220" i="1"/>
  <c r="G228" i="1"/>
  <c r="G229" i="1"/>
  <c r="M229" i="1"/>
  <c r="P229" i="1"/>
  <c r="G230" i="1"/>
  <c r="G231" i="1"/>
  <c r="G232" i="1"/>
  <c r="G242" i="1"/>
  <c r="G267" i="1"/>
  <c r="G282" i="1"/>
  <c r="G284" i="1"/>
  <c r="G678" i="1"/>
  <c r="G679" i="1"/>
  <c r="G327" i="1"/>
  <c r="G329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3" i="1"/>
  <c r="G354" i="1"/>
  <c r="G355" i="1"/>
  <c r="G357" i="1"/>
  <c r="G358" i="1"/>
  <c r="G362" i="1"/>
  <c r="G363" i="1"/>
  <c r="G366" i="1"/>
  <c r="G367" i="1"/>
  <c r="G377" i="1"/>
  <c r="G378" i="1"/>
  <c r="G379" i="1"/>
  <c r="G381" i="1"/>
  <c r="G387" i="1"/>
  <c r="G388" i="1"/>
  <c r="G391" i="1"/>
  <c r="G393" i="1"/>
  <c r="G394" i="1"/>
  <c r="G402" i="1"/>
  <c r="G403" i="1"/>
  <c r="G418" i="1"/>
  <c r="G423" i="1"/>
  <c r="G425" i="1"/>
  <c r="G447" i="1"/>
  <c r="G454" i="1"/>
  <c r="G469" i="1"/>
  <c r="O469" i="1"/>
  <c r="S469" i="1"/>
  <c r="U469" i="1"/>
  <c r="W469" i="1"/>
  <c r="G470" i="1"/>
  <c r="G471" i="1"/>
  <c r="G472" i="1"/>
  <c r="G473" i="1"/>
  <c r="G487" i="1"/>
  <c r="G488" i="1"/>
  <c r="G493" i="1"/>
  <c r="G494" i="1"/>
  <c r="G495" i="1"/>
  <c r="G497" i="1"/>
  <c r="G498" i="1"/>
  <c r="G501" i="1"/>
  <c r="G502" i="1"/>
  <c r="G503" i="1"/>
  <c r="G505" i="1"/>
  <c r="G506" i="1"/>
  <c r="G509" i="1"/>
  <c r="G510" i="1"/>
  <c r="G514" i="1"/>
  <c r="G547" i="1"/>
  <c r="G689" i="1"/>
  <c r="M689" i="1"/>
  <c r="O689" i="1"/>
  <c r="Q689" i="1"/>
  <c r="S689" i="1"/>
  <c r="U689" i="1"/>
  <c r="M705" i="1"/>
  <c r="O705" i="1"/>
  <c r="S705" i="1"/>
  <c r="U705" i="1"/>
  <c r="W705" i="1"/>
  <c r="K706" i="1"/>
  <c r="M706" i="1"/>
  <c r="O706" i="1"/>
  <c r="Q706" i="1"/>
  <c r="S706" i="1"/>
  <c r="U706" i="1"/>
  <c r="W706" i="1"/>
  <c r="K713" i="1"/>
  <c r="M713" i="1"/>
  <c r="O713" i="1"/>
  <c r="Q713" i="1"/>
  <c r="K714" i="1"/>
  <c r="M714" i="1"/>
  <c r="O714" i="1"/>
  <c r="Q714" i="1"/>
  <c r="M717" i="1"/>
  <c r="Q717" i="1"/>
  <c r="I741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22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2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1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3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3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3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8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4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675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6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7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8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9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80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</commentList>
</comments>
</file>

<file path=xl/sharedStrings.xml><?xml version="1.0" encoding="utf-8"?>
<sst xmlns="http://schemas.openxmlformats.org/spreadsheetml/2006/main" count="1200" uniqueCount="988">
  <si>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</si>
  <si>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</si>
  <si>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</si>
  <si>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</si>
  <si>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</si>
  <si>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</si>
  <si>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</si>
  <si>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</si>
  <si>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</si>
  <si>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</si>
  <si>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</si>
  <si>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</si>
  <si>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</si>
  <si>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</si>
  <si>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</si>
  <si>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</si>
  <si>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</si>
  <si>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</si>
  <si>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</si>
  <si>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</si>
  <si>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</si>
  <si>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</si>
  <si>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</si>
  <si>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</si>
  <si>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</si>
  <si>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</si>
  <si>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</si>
  <si>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</si>
  <si>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</si>
  <si>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</si>
  <si>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</si>
  <si>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</si>
  <si>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</si>
  <si>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</si>
  <si>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</si>
  <si>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</si>
  <si>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</si>
  <si>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</si>
  <si>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</si>
  <si>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</si>
  <si>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</si>
  <si>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</si>
  <si>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</si>
  <si>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</si>
  <si>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</si>
  <si>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</si>
  <si>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</si>
  <si>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</si>
  <si>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</si>
  <si>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</si>
  <si>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</si>
  <si>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</si>
  <si>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</si>
  <si>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</si>
  <si>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</si>
  <si>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</si>
  <si>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</si>
  <si>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</si>
  <si>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</si>
  <si>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</si>
  <si>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</si>
  <si>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</si>
  <si>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</si>
  <si>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</si>
  <si>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</si>
  <si>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</si>
  <si>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</si>
  <si>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</si>
  <si>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</si>
  <si>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</si>
  <si>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</si>
  <si>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</si>
  <si>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</si>
  <si>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</si>
  <si>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</si>
  <si>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</si>
  <si>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</si>
  <si>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</si>
  <si>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</si>
  <si>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</si>
  <si>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</si>
  <si>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</si>
  <si>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</si>
  <si>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</si>
  <si>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</si>
  <si>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</si>
  <si>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</si>
  <si>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</si>
  <si>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</si>
  <si>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</si>
  <si>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</si>
  <si>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</si>
  <si>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</si>
  <si>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</si>
  <si>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</si>
  <si>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</si>
  <si>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</si>
  <si>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</si>
  <si>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</si>
  <si>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</si>
  <si>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</si>
  <si>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</si>
  <si>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</si>
  <si>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</si>
  <si>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</si>
  <si>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</si>
  <si>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</si>
  <si>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</si>
  <si>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</si>
  <si>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</si>
  <si>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</si>
  <si>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</si>
  <si>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</si>
  <si>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</si>
  <si>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</si>
  <si>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</si>
  <si>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</si>
  <si>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</si>
  <si>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</si>
  <si>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</si>
  <si>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</si>
  <si>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</si>
  <si>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</si>
  <si>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</si>
  <si>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</si>
  <si>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</si>
  <si>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</si>
  <si>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</si>
  <si>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</si>
  <si>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</si>
  <si>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</si>
  <si>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</si>
  <si>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</si>
  <si>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</si>
  <si>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</si>
  <si>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</si>
  <si>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</si>
  <si>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</si>
  <si>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</si>
  <si>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</si>
  <si>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</si>
  <si>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</si>
  <si>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</si>
  <si>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</si>
  <si>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</si>
  <si>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</si>
  <si>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</si>
  <si>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</si>
  <si>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</si>
  <si>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</si>
  <si>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</si>
  <si>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</si>
  <si>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</si>
  <si>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</si>
  <si>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</si>
  <si>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</si>
  <si>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</si>
  <si>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</si>
  <si>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</si>
  <si>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</si>
  <si>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</si>
  <si>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</si>
  <si>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</si>
  <si>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</si>
  <si>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</si>
  <si>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</si>
  <si>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</si>
  <si>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</si>
  <si>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</si>
  <si>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</si>
  <si>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</si>
  <si>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</si>
  <si>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</si>
  <si>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</si>
  <si>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</si>
  <si>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</si>
  <si>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</si>
  <si>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</si>
  <si>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</si>
  <si>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</si>
  <si>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</si>
  <si>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</si>
  <si>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</si>
  <si>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</si>
  <si>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</si>
  <si>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</si>
  <si>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</si>
  <si>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</si>
  <si>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</si>
  <si>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</si>
  <si>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</si>
  <si>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</si>
  <si>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</si>
  <si>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</si>
  <si>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</si>
  <si>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</si>
  <si>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</si>
  <si>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</si>
  <si>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</si>
  <si>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</si>
  <si>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</si>
  <si>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</si>
  <si>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</si>
  <si>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</si>
  <si>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</si>
  <si>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</si>
  <si>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</si>
  <si>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</si>
  <si>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</si>
  <si>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</si>
  <si>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</si>
  <si>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</si>
  <si>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</si>
  <si>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</si>
  <si>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</si>
  <si>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</si>
  <si>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</si>
  <si>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</si>
  <si>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</si>
  <si>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</si>
  <si>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</si>
  <si>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</si>
  <si>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</si>
  <si>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</si>
  <si>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</si>
  <si>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</si>
  <si>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</si>
  <si>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</si>
  <si>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</si>
  <si>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</si>
  <si>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</si>
  <si>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</si>
  <si>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</si>
  <si>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</si>
  <si>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</si>
  <si>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</si>
  <si>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</si>
  <si>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</si>
  <si>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</si>
  <si>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</si>
  <si>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</si>
  <si>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</si>
  <si>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</si>
  <si>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</si>
  <si>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</si>
  <si>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</si>
  <si>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</si>
  <si>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</si>
  <si>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</si>
  <si>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</si>
  <si>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</si>
  <si>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</si>
  <si>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</si>
  <si>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</si>
  <si>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</si>
  <si>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</si>
  <si>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</si>
  <si>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</si>
  <si>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</si>
  <si>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</si>
  <si>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</si>
  <si>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</si>
  <si>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</si>
  <si>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</si>
  <si>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</si>
  <si>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</si>
  <si>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</si>
  <si>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</si>
  <si>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</si>
  <si>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</si>
  <si>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</si>
  <si>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</si>
  <si>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</si>
  <si>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</si>
  <si>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</si>
  <si>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</si>
  <si>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</si>
  <si>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</si>
  <si>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</si>
  <si>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</si>
  <si>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</si>
  <si>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</si>
  <si>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</si>
  <si>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</si>
  <si>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</si>
  <si>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</si>
  <si>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</si>
  <si>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</si>
  <si>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</si>
  <si>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</si>
  <si>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</si>
  <si>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</si>
  <si>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</si>
  <si>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</si>
  <si>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</si>
  <si>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</si>
  <si>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</si>
  <si>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</si>
  <si>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</si>
  <si>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</si>
  <si>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</si>
  <si>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</si>
  <si>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</si>
  <si>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</si>
  <si>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</si>
  <si>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</si>
  <si>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</si>
  <si>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</si>
  <si>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</si>
  <si>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</si>
  <si>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</si>
  <si>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</si>
  <si>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</si>
  <si>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</si>
  <si>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</si>
  <si>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</si>
  <si>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</si>
  <si>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</si>
  <si>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</si>
  <si>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</si>
  <si>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</si>
  <si>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</si>
  <si>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</si>
  <si>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</si>
  <si>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</si>
  <si>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</si>
  <si>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</si>
  <si>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</si>
  <si>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</si>
  <si>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</si>
  <si>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</si>
  <si>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</si>
  <si>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</si>
  <si>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</si>
  <si>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</si>
  <si>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</si>
  <si>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</si>
  <si>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</si>
  <si>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</si>
  <si>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</si>
  <si>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</si>
  <si>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</si>
  <si>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</si>
  <si>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</si>
  <si>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</si>
  <si>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</si>
  <si>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</si>
  <si>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</si>
  <si>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</si>
  <si>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</si>
  <si>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</si>
  <si>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</si>
  <si>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</si>
  <si>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</si>
  <si>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</si>
  <si>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</si>
  <si>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</si>
  <si>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</si>
  <si>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</si>
  <si>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</si>
  <si>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</si>
  <si>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</si>
  <si>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</si>
  <si>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</si>
  <si>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</si>
  <si>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</si>
  <si>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</si>
  <si>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</si>
  <si>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</si>
  <si>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</si>
  <si>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</si>
  <si>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</si>
  <si>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</si>
  <si>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</si>
  <si>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</si>
  <si>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</si>
  <si>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</si>
  <si>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</si>
  <si>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</si>
  <si>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</si>
  <si>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</si>
  <si>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</si>
  <si>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</si>
  <si>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</si>
  <si>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</si>
  <si>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</si>
  <si>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</si>
  <si>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</si>
  <si>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</si>
  <si>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</si>
  <si>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</si>
  <si>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</si>
  <si>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</si>
  <si>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</si>
  <si>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</si>
  <si>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</si>
  <si>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</si>
  <si>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</si>
  <si>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</si>
  <si>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</si>
  <si>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</si>
  <si>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</si>
  <si>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</si>
  <si>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</si>
  <si>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</si>
  <si>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</si>
  <si>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</si>
  <si>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</si>
  <si>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</si>
  <si>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00894 - Paraguas ejecutivo automático gris o azul oscuro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</si>
  <si>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</si>
  <si>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</si>
  <si>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</si>
  <si>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</si>
  <si>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</si>
  <si>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</si>
  <si>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</si>
  <si>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</si>
  <si>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</si>
  <si>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</si>
  <si>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</si>
  <si>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</si>
  <si>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</si>
  <si>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</si>
  <si>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</si>
  <si>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</si>
  <si>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</si>
  <si>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</si>
  <si>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</si>
  <si>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</si>
  <si>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</si>
  <si>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</si>
  <si>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</si>
  <si>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</si>
  <si>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</si>
  <si>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</si>
  <si>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</si>
  <si>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</si>
  <si>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</si>
  <si>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</si>
  <si>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</si>
  <si>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</si>
  <si>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</si>
  <si>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</si>
  <si>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</si>
  <si>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</si>
  <si>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</si>
  <si>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</si>
  <si>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</si>
  <si>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</si>
  <si>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</si>
  <si>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</si>
  <si>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</si>
  <si>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</si>
  <si>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</si>
  <si>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</si>
  <si>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</si>
  <si>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</si>
  <si>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</si>
  <si>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</si>
  <si>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</si>
  <si>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</si>
  <si>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</si>
  <si>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</si>
  <si>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</si>
  <si>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</si>
  <si>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</si>
  <si>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</si>
  <si>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</si>
  <si>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</si>
  <si>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</si>
  <si>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</si>
  <si>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</si>
  <si>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</si>
  <si>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</si>
  <si>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</si>
  <si>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</si>
  <si>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</si>
  <si>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</si>
  <si>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</si>
  <si>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</si>
  <si>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</si>
  <si>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</si>
  <si>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</si>
  <si>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</si>
  <si>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</si>
  <si>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</si>
  <si>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</si>
  <si>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</si>
  <si>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</si>
  <si>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</si>
  <si>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</si>
  <si>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</si>
  <si>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</si>
  <si>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</si>
  <si>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</si>
  <si>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</si>
  <si>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</si>
  <si>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</si>
  <si>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</si>
  <si>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</si>
  <si>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</si>
  <si>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</si>
  <si>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</si>
  <si>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</si>
  <si>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</si>
  <si>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</si>
  <si>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</si>
  <si>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</si>
  <si>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</si>
  <si>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</si>
  <si>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</si>
  <si>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</si>
  <si>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</si>
  <si>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</si>
  <si>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</si>
  <si>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</si>
  <si>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</si>
  <si>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</si>
  <si>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</si>
  <si>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</si>
  <si>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</si>
  <si>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</si>
  <si>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</si>
  <si>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</si>
  <si>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</si>
  <si>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</si>
  <si>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</si>
  <si>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</si>
  <si>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</si>
  <si>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</si>
  <si>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</si>
  <si>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</si>
  <si>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</si>
  <si>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</si>
  <si>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</si>
  <si>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</si>
  <si>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</si>
  <si>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</si>
  <si>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</si>
  <si>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</si>
  <si>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</si>
  <si>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</si>
  <si>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</si>
  <si>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</si>
  <si>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</si>
  <si>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</si>
  <si>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</si>
  <si>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</si>
  <si>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</si>
  <si>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</si>
  <si>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</si>
  <si>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</si>
  <si>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</si>
  <si>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</si>
  <si>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</si>
  <si>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</si>
  <si>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</si>
  <si>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</si>
  <si>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</si>
  <si>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</si>
  <si>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</si>
  <si>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</si>
  <si>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</si>
  <si>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</si>
  <si>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</si>
  <si>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</si>
  <si>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</si>
  <si>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</si>
  <si>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</si>
  <si>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</si>
  <si>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</si>
  <si>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</si>
  <si>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</si>
  <si>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</si>
  <si>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</si>
  <si>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</si>
  <si>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</si>
  <si>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</si>
  <si>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</si>
  <si>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</si>
  <si>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</si>
  <si>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</si>
  <si>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</si>
  <si>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</si>
  <si>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</si>
  <si>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00664 - Cooler FZN poliester 15 litros 34x31x14cm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</si>
  <si>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</si>
  <si>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</si>
  <si>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</si>
  <si>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</si>
  <si>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</si>
  <si>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</si>
  <si>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</si>
  <si>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</si>
  <si>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</si>
  <si>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</si>
  <si>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</si>
  <si>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</si>
  <si>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</si>
  <si>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</si>
  <si>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</si>
  <si>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</si>
  <si>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</si>
  <si>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</si>
  <si>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</si>
  <si>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</si>
  <si>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</si>
  <si>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</si>
  <si>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</si>
  <si>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</si>
  <si>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</si>
  <si>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</si>
  <si>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</si>
  <si>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</si>
  <si>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</si>
  <si>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</si>
  <si>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</si>
  <si>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</si>
  <si>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</si>
  <si>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</si>
  <si>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</si>
  <si>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</si>
  <si>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</si>
  <si>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</si>
  <si>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</si>
  <si>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</si>
  <si>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</si>
  <si>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</si>
  <si>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</si>
  <si>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</si>
  <si>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</si>
  <si>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</si>
  <si>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</si>
  <si>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</si>
  <si>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</si>
  <si>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</si>
  <si>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</si>
  <si>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</si>
  <si>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</si>
  <si>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</si>
  <si>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</si>
  <si>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</si>
  <si>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</si>
  <si>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10486 - Destapador de metal con tapón en caja</t>
  </si>
  <si>
    <t>10486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</si>
  <si>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</si>
  <si>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</si>
  <si>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</si>
  <si>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</si>
  <si>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</si>
  <si>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</si>
  <si>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</si>
  <si>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</si>
  <si>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</si>
  <si>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</si>
  <si>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</si>
  <si>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</si>
  <si>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</si>
  <si>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</si>
  <si>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</si>
  <si>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</si>
  <si>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</si>
  <si>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</si>
  <si>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</si>
  <si>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</si>
  <si>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</si>
  <si>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</si>
  <si>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</si>
  <si>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</si>
  <si>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</si>
  <si>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</si>
  <si>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</si>
  <si>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</si>
  <si>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</si>
  <si>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</si>
  <si>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</si>
  <si>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</si>
  <si>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</si>
  <si>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</si>
  <si>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</si>
  <si>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</si>
  <si>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</si>
  <si>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</si>
  <si>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</si>
  <si>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</si>
  <si>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</si>
  <si>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</si>
  <si>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</si>
  <si>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</si>
  <si>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</si>
  <si>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</si>
  <si>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</si>
  <si>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</si>
  <si>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</si>
  <si>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</si>
  <si>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</si>
  <si>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</si>
  <si>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</si>
  <si>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</si>
  <si>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</si>
  <si>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</si>
  <si>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</si>
  <si>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</si>
  <si>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</si>
  <si>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</si>
  <si>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</si>
  <si>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</si>
  <si>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</si>
  <si>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</si>
  <si>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</si>
  <si>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</si>
  <si>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</si>
  <si>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</si>
  <si>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</si>
  <si>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</si>
  <si>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</si>
  <si>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</si>
  <si>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</si>
  <si>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</si>
  <si>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</si>
  <si>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</si>
  <si>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</si>
  <si>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</si>
  <si>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</si>
  <si>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</si>
  <si>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</si>
  <si>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</si>
  <si>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</si>
  <si>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</si>
  <si>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</si>
  <si>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</si>
  <si>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</si>
  <si>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</si>
  <si>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</si>
  <si>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</si>
  <si>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</si>
  <si>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</si>
  <si>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</si>
  <si>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</si>
  <si>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</si>
  <si>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</si>
  <si>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</si>
  <si>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</si>
  <si>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</si>
  <si>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</si>
  <si>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</si>
  <si>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</si>
  <si>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</si>
  <si>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</si>
  <si>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</si>
  <si>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</si>
  <si>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</si>
  <si>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</si>
  <si>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</si>
  <si>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</si>
  <si>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</si>
  <si>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</si>
  <si>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</si>
  <si>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</si>
  <si>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</si>
  <si>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</si>
  <si>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</si>
  <si>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</si>
  <si>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</si>
  <si>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</si>
  <si>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</si>
  <si>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</si>
  <si>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</si>
  <si>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</si>
  <si>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</si>
  <si>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</si>
  <si>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IP-T18M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</si>
  <si>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</si>
  <si>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</si>
  <si>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</si>
  <si>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</si>
  <si>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</si>
  <si>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</si>
  <si>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</si>
  <si>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</si>
  <si>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</si>
  <si>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</si>
  <si>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</si>
  <si>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</si>
  <si>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</si>
  <si>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</si>
  <si>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</si>
  <si>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</si>
  <si>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</si>
  <si>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</si>
  <si>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</si>
  <si>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</si>
  <si>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</si>
  <si>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</si>
  <si>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</si>
  <si>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</si>
  <si>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</si>
  <si>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</si>
  <si>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</si>
  <si>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</si>
  <si>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</si>
  <si>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</si>
  <si>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</si>
  <si>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</si>
  <si>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</si>
  <si>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</si>
  <si>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</si>
  <si>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 xml:space="preserve">02242 - Lápiz negro madera natural sin punta con goma negra 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</si>
  <si>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</si>
  <si>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</si>
  <si>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</si>
  <si>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</si>
  <si>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LL-101 - Llavero de aluminio con forma de CASA</t>
  </si>
  <si>
    <t>LL-101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</si>
  <si>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</si>
  <si>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</si>
  <si>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>02504 - Cajita con 6 mini lápices de colores</t>
  </si>
  <si>
    <t xml:space="preserve">P5533 - Gorro Liso 5 gajos algodón y poliester con abrojo </t>
  </si>
  <si>
    <t>11610 - Repuesto de almanaque 2025</t>
  </si>
  <si>
    <t>11604 - Almanaque 2025 Paisajes 14 Hojas - Logo 1 color</t>
  </si>
  <si>
    <t>02247 - Set escolar Eco con regla lápices goma sacapuntas</t>
  </si>
  <si>
    <t>01026 - Botella de plástico 550ml tapa a rosca</t>
  </si>
  <si>
    <t>MÍNIMO 500 UNIDADES. PLAZO DE ENTREGA ENTRE 15 Y 25 DÍAS. INCLUYE IMPRESIÓN HASTA 2 COLORES DE AMBOS LADOS MISMO DISEÑO. CONSULTAR PRECIO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</si>
  <si>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</si>
  <si>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</si>
  <si>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</si>
  <si>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</si>
  <si>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</si>
  <si>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</si>
  <si>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</si>
  <si>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</si>
  <si>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</si>
  <si>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</si>
  <si>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</si>
  <si>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</si>
  <si>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</si>
  <si>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</si>
  <si>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</si>
  <si>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</si>
  <si>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</si>
  <si>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t>M043 - Cuchillo premium hoja 12 cm con tenedor funda cuero</t>
  </si>
  <si>
    <t>M110 - Cuchillo premium hoja 12 cm con funda de cuero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</si>
  <si>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</si>
  <si>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</si>
  <si>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</si>
  <si>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</si>
  <si>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</si>
  <si>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</si>
  <si>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47/01 - Set de asado cuhillo tenedor chaira y tabla en estuche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</si>
  <si>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</si>
  <si>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</si>
  <si>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</si>
  <si>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</si>
  <si>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</si>
  <si>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</si>
  <si>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</si>
  <si>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00994 - Set parrillero 4 piezas en estuche</t>
  </si>
  <si>
    <t>00994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</si>
  <si>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</si>
  <si>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</si>
  <si>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</si>
  <si>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</si>
  <si>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</si>
  <si>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</si>
  <si>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</si>
  <si>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</si>
  <si>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</si>
  <si>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</si>
  <si>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00590 - Bolso Tote poliester 16 litros</t>
  </si>
  <si>
    <t>IR A PAGINA 8</t>
  </si>
  <si>
    <t>02310 - Boligrafo metálico negro mate interior de color</t>
  </si>
  <si>
    <t>47/01</t>
  </si>
  <si>
    <t>02258 - Lápiz negro larga duracion realizado en bambú</t>
  </si>
  <si>
    <t>00966 - Cuaderno con set de notas y bolígrafo touch</t>
  </si>
  <si>
    <t>00682 - Neceser microfibra con gancho</t>
  </si>
  <si>
    <t>00613 - Mochila NOMAWALK® Dynamic 14 litros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</si>
  <si>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</si>
  <si>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</si>
  <si>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</si>
  <si>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</si>
  <si>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</si>
  <si>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</si>
  <si>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00832 - Cuaderno Eco tapas flexibles A4 hojas rayadas</t>
  </si>
  <si>
    <t>00392 - Power Bank Flat 4000 mAh</t>
  </si>
  <si>
    <t>M-51 - Llavero metálico mate con cinta webbing</t>
  </si>
  <si>
    <t>LL-126 - Llavero metálico mate con cinta webbing</t>
  </si>
  <si>
    <t>LL-126</t>
  </si>
  <si>
    <t>LL-107 - Llavero de bambu rectangular</t>
  </si>
  <si>
    <t>LL-107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</si>
  <si>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</si>
  <si>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</si>
  <si>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</si>
  <si>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</si>
  <si>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</si>
  <si>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</si>
  <si>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</si>
  <si>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</si>
  <si>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</si>
  <si>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</si>
  <si>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</si>
  <si>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</si>
  <si>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02150 - Estuche tubo plástico para un bolígrafo</t>
  </si>
  <si>
    <t>CON LOGO IMPRESO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</si>
  <si>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</si>
  <si>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</si>
  <si>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</si>
  <si>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</si>
  <si>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</si>
  <si>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</si>
  <si>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</si>
  <si>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</si>
  <si>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</si>
  <si>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</si>
  <si>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</si>
  <si>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</si>
  <si>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</si>
  <si>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</si>
  <si>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</si>
  <si>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</si>
  <si>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</si>
  <si>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</si>
  <si>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</si>
  <si>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</si>
  <si>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</si>
  <si>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</si>
  <si>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</si>
  <si>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</si>
  <si>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</si>
  <si>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</si>
  <si>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</si>
  <si>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</si>
  <si>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00380 - Soporte de bambú de escritorio para celular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</si>
  <si>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</si>
  <si>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</si>
  <si>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</si>
  <si>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</si>
  <si>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</si>
  <si>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</si>
  <si>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00922 - Cuaderno PROMO Eco cuero 21x14 cm hoja rayada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</si>
  <si>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</si>
  <si>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</si>
  <si>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</si>
  <si>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</si>
  <si>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</si>
  <si>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</si>
  <si>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</si>
  <si>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</si>
  <si>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</si>
  <si>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>01046 - Vaso térmico acero PAMPERO® PUELO 590 ml</t>
  </si>
  <si>
    <t xml:space="preserve">00556 - Riñonera deportiva impermeable reflectiva 23x5cm </t>
  </si>
  <si>
    <t>00394 - Power Bank multipuerto 5000mAh</t>
  </si>
  <si>
    <t>00393 - Power Bank 10000mAh</t>
  </si>
  <si>
    <t>00402 - Power Bank multipuerto 10000mAh</t>
  </si>
  <si>
    <t>00399 - Parlante bambú y RPET 3,7w Bluetooth 5.2 300mAh</t>
  </si>
  <si>
    <t>00285 - Llavero con luz</t>
  </si>
  <si>
    <t>00746 - Neceser SM transparente PVC con detalle de color</t>
  </si>
  <si>
    <t>02500 - Set de 12 lápices de colores en cajita</t>
  </si>
  <si>
    <t>02506 - Set de 6 crayones en cajita</t>
  </si>
  <si>
    <t>02240 - Lápiz All Black con punta con goma</t>
  </si>
  <si>
    <t>02507 - Tubo 12  lápices de colores all black con saca puntas</t>
  </si>
  <si>
    <t>P5551 - Gorro Campeer Trucker esctructurado 100% algodón</t>
  </si>
  <si>
    <t>P5551</t>
  </si>
  <si>
    <t>P5554 - Gorro infantil poliester</t>
  </si>
  <si>
    <t>P5554</t>
  </si>
  <si>
    <t>00396 - Parlante Eco cereal 3w 400mAh</t>
  </si>
  <si>
    <t>00839 - Anotador flex hojas rayadas 21x14cm</t>
  </si>
  <si>
    <t>00840 - Cuaderno anotador con bolígrafo hojas lisas 18x14cm</t>
  </si>
  <si>
    <t>02147 - Funda de PVC para un bolígrafo</t>
  </si>
  <si>
    <t>LISTA DE PRECIOS Nº 3 / 2025 (En Pesos) - NO INCLUYE I.V.A. - MARZO - 2025</t>
  </si>
  <si>
    <t>00838 - Cuaderno simil bambu hojas rayadas 21x14cm</t>
  </si>
  <si>
    <t>LL-130 - Llavero de cuero tira 10 cm</t>
  </si>
  <si>
    <t>LL-131 - Llavero doble cuero forma circular</t>
  </si>
  <si>
    <t>LL-132 - Llavero doble cuero forma gota 7 cm alto</t>
  </si>
  <si>
    <t>LL-133 - Llavero doble cuero clásico 6 cm alto</t>
  </si>
  <si>
    <t xml:space="preserve">00902 - Paraguas ejecutivo mango curvo 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</si>
  <si>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contactarse por whatsapp o mail: ventas@jivi.com.ar</t>
    </r>
  </si>
  <si>
    <t>LA MERCADERIA SE ENVIA POR CUENTA Y RIESGO DEL CLIENTE  • EN CASO DE PERDIDA DE MERCADERIA PARCIAL O TOTAL SE DEBERÁ REALIZAR EL RECLAMO EN EL TRANSPORTE CORRESPONDIENTE • LOS BULTOS SE ENVIAN CON CINTA DE EMBALAJE , VERIFICAR QUE ESTÉ INTACTA LA CINTA AL RETIRARLOS DEL CENTRO DE ENCOMIENDAS</t>
  </si>
  <si>
    <t>IMP UN LADO FONDO BLANCO</t>
  </si>
  <si>
    <t>00292 - Llavero cinta MINI blanca con aro sin fin</t>
  </si>
  <si>
    <t>00292-1 - Llavero cinta MINI blanca con aro sin fin</t>
  </si>
  <si>
    <t>00293 - Llavero cinta MINI blanca con mosquetón plástico</t>
  </si>
  <si>
    <t>00293-1 - Llavero cinta MINI blanca con mosqueton plástico</t>
  </si>
  <si>
    <t>PAGOS EN EFECTIVO O TRANSFERENCIA BANCARIA 20% DE DESCUENTO DEL PRECIO DE LISTA</t>
  </si>
  <si>
    <t>IR A BOTELLAS Y JARROS</t>
  </si>
  <si>
    <t>LL-130</t>
  </si>
  <si>
    <t>LL-131</t>
  </si>
  <si>
    <t>LL-132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</si>
</sst>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19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02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4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6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7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5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2" fontId="67" fillId="2" borderId="0" xfId="0" applyNumberFormat="1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center" vertical="center"/>
    </xf>
    <xf numFmtId="2" fontId="4" fillId="4" borderId="0" xfId="0" applyNumberFormat="1" applyFont="1" applyFill="1" applyBorder="1" applyAlignment="1">
      <alignment horizontal="center" vertical="top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69" fillId="2" borderId="0" xfId="0" applyFont="1" applyFill="1"/>
    <xf numFmtId="2" fontId="64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4" fillId="7" borderId="11" xfId="0" applyNumberFormat="1" applyFont="1" applyFill="1" applyBorder="1" applyAlignment="1">
      <alignment horizontal="center" vertical="center"/>
    </xf>
    <xf numFmtId="2" fontId="64" fillId="4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8" xfId="0" applyNumberFormat="1" applyFont="1" applyFill="1" applyBorder="1" applyAlignment="1">
      <alignment horizontal="center" vertical="center"/>
    </xf>
    <xf numFmtId="2" fontId="59" fillId="7" borderId="7" xfId="0" applyNumberFormat="1" applyFont="1" applyFill="1" applyBorder="1" applyAlignment="1">
      <alignment horizontal="center" vertical="center"/>
    </xf>
    <xf numFmtId="2" fontId="59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7" fillId="4" borderId="0" xfId="0" applyFont="1" applyFill="1" applyAlignment="1"/>
    <xf numFmtId="0" fontId="65" fillId="2" borderId="0" xfId="0" applyFont="1" applyFill="1" applyBorder="1"/>
    <xf numFmtId="2" fontId="70" fillId="7" borderId="3" xfId="0" applyNumberFormat="1" applyFont="1" applyFill="1" applyBorder="1" applyAlignment="1">
      <alignment horizontal="center" vertical="center"/>
    </xf>
    <xf numFmtId="0" fontId="60" fillId="4" borderId="3" xfId="0" applyFont="1" applyFill="1" applyBorder="1"/>
    <xf numFmtId="2" fontId="59" fillId="7" borderId="5" xfId="0" applyNumberFormat="1" applyFont="1" applyFill="1" applyBorder="1" applyAlignment="1">
      <alignment horizontal="center" vertical="center"/>
    </xf>
    <xf numFmtId="2" fontId="59" fillId="4" borderId="5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60" fillId="7" borderId="3" xfId="0" applyFont="1" applyFill="1" applyBorder="1"/>
    <xf numFmtId="2" fontId="58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2" fontId="59" fillId="4" borderId="7" xfId="0" applyNumberFormat="1" applyFont="1" applyFill="1" applyBorder="1" applyAlignment="1">
      <alignment horizontal="center" vertical="center"/>
    </xf>
    <xf numFmtId="2" fontId="4" fillId="7" borderId="9" xfId="0" applyNumberFormat="1" applyFont="1" applyFill="1" applyBorder="1" applyAlignment="1">
      <alignment horizontal="center" vertical="center"/>
    </xf>
    <xf numFmtId="2" fontId="59" fillId="4" borderId="3" xfId="3" applyNumberFormat="1" applyFont="1" applyFill="1" applyBorder="1" applyAlignment="1">
      <alignment horizontal="center" vertical="center"/>
    </xf>
    <xf numFmtId="2" fontId="59" fillId="7" borderId="3" xfId="3" applyNumberFormat="1" applyFont="1" applyFill="1" applyBorder="1" applyAlignment="1">
      <alignment horizontal="center" vertical="center"/>
    </xf>
    <xf numFmtId="2" fontId="59" fillId="4" borderId="11" xfId="0" applyNumberFormat="1" applyFont="1" applyFill="1" applyBorder="1" applyAlignment="1">
      <alignment horizontal="center" vertical="center"/>
    </xf>
    <xf numFmtId="2" fontId="59" fillId="4" borderId="0" xfId="0" applyNumberFormat="1" applyFont="1" applyFill="1" applyBorder="1" applyAlignment="1">
      <alignment horizontal="center" vertical="center"/>
    </xf>
    <xf numFmtId="2" fontId="59" fillId="4" borderId="15" xfId="0" applyNumberFormat="1" applyFont="1" applyFill="1" applyBorder="1" applyAlignment="1">
      <alignment horizontal="center" vertical="center"/>
    </xf>
    <xf numFmtId="2" fontId="59" fillId="7" borderId="15" xfId="0" applyNumberFormat="1" applyFont="1" applyFill="1" applyBorder="1" applyAlignment="1">
      <alignment horizontal="center" vertical="center"/>
    </xf>
    <xf numFmtId="2" fontId="62" fillId="7" borderId="3" xfId="0" applyNumberFormat="1" applyFont="1" applyFill="1" applyBorder="1" applyAlignment="1">
      <alignment horizontal="center" vertical="center"/>
    </xf>
    <xf numFmtId="2" fontId="62" fillId="4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5" fillId="4" borderId="0" xfId="0" applyFont="1" applyFill="1" applyAlignment="1">
      <alignment horizontal="right"/>
    </xf>
    <xf numFmtId="0" fontId="65" fillId="2" borderId="0" xfId="0" applyFont="1" applyFill="1" applyAlignment="1">
      <alignment horizontal="right"/>
    </xf>
    <xf numFmtId="2" fontId="4" fillId="4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0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6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3" fillId="9" borderId="0" xfId="0" applyFont="1" applyFill="1"/>
    <xf numFmtId="0" fontId="73" fillId="9" borderId="0" xfId="0" applyFont="1" applyFill="1" applyBorder="1"/>
    <xf numFmtId="0" fontId="65" fillId="9" borderId="0" xfId="0" applyFont="1" applyFill="1"/>
    <xf numFmtId="0" fontId="65" fillId="9" borderId="0" xfId="0" applyFont="1" applyFill="1" applyBorder="1"/>
    <xf numFmtId="0" fontId="65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49" fillId="9" borderId="0" xfId="0" applyFont="1" applyFill="1"/>
    <xf numFmtId="0" fontId="74" fillId="9" borderId="1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5" fillId="9" borderId="22" xfId="0" applyFont="1" applyFill="1" applyBorder="1" applyAlignment="1">
      <alignment horizontal="center" vertical="center"/>
    </xf>
    <xf numFmtId="2" fontId="65" fillId="9" borderId="0" xfId="0" applyNumberFormat="1" applyFont="1" applyFill="1"/>
    <xf numFmtId="0" fontId="74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1" fillId="9" borderId="0" xfId="0" applyFont="1" applyFill="1"/>
    <xf numFmtId="0" fontId="41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0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10" fillId="9" borderId="0" xfId="0" applyFont="1" applyFill="1" applyBorder="1" applyAlignment="1"/>
    <xf numFmtId="0" fontId="10" fillId="9" borderId="0" xfId="0" applyFont="1" applyFill="1" applyAlignment="1"/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6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79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2" fontId="59" fillId="6" borderId="4" xfId="0" applyNumberFormat="1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6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81" fillId="4" borderId="0" xfId="0" applyFont="1" applyFill="1" applyBorder="1" applyAlignment="1">
      <alignment horizontal="center" vertical="center" wrapText="1"/>
    </xf>
    <xf numFmtId="2" fontId="62" fillId="4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2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5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0" fontId="65" fillId="4" borderId="0" xfId="0" applyFont="1" applyFill="1"/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8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4" borderId="3" xfId="0" applyNumberFormat="1" applyFont="1" applyFill="1" applyBorder="1" applyAlignment="1">
      <alignment horizontal="center" vertical="center"/>
    </xf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2" fontId="59" fillId="4" borderId="3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left" vertical="center"/>
    </xf>
    <xf numFmtId="0" fontId="41" fillId="6" borderId="16" xfId="0" applyFont="1" applyFill="1" applyBorder="1" applyAlignment="1">
      <alignment horizontal="center" vertical="center"/>
    </xf>
    <xf numFmtId="0" fontId="41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59" fillId="6" borderId="19" xfId="0" applyNumberFormat="1" applyFont="1" applyFill="1" applyBorder="1" applyAlignment="1">
      <alignment horizontal="center" vertical="center"/>
    </xf>
    <xf numFmtId="2" fontId="59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2" fontId="7" fillId="4" borderId="0" xfId="0" applyNumberFormat="1" applyFont="1" applyFill="1" applyBorder="1" applyAlignment="1">
      <alignment horizontal="center"/>
    </xf>
    <xf numFmtId="0" fontId="39" fillId="4" borderId="0" xfId="0" applyFont="1" applyFill="1" applyBorder="1"/>
    <xf numFmtId="0" fontId="0" fillId="7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5" fillId="0" borderId="3" xfId="0" applyFont="1" applyBorder="1"/>
    <xf numFmtId="0" fontId="0" fillId="7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7" borderId="0" xfId="0" applyFont="1" applyFill="1"/>
    <xf numFmtId="1" fontId="59" fillId="4" borderId="3" xfId="0" applyNumberFormat="1" applyFont="1" applyFill="1" applyBorder="1" applyAlignment="1">
      <alignment horizontal="center" vertical="center"/>
    </xf>
    <xf numFmtId="1" fontId="59" fillId="7" borderId="3" xfId="0" applyNumberFormat="1" applyFont="1" applyFill="1" applyBorder="1" applyAlignment="1">
      <alignment horizontal="center" vertical="center"/>
    </xf>
    <xf numFmtId="1" fontId="59" fillId="4" borderId="7" xfId="0" applyNumberFormat="1" applyFont="1" applyFill="1" applyBorder="1" applyAlignment="1">
      <alignment horizontal="center" vertical="center"/>
    </xf>
    <xf numFmtId="1" fontId="59" fillId="7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/>
    </xf>
    <xf numFmtId="2" fontId="59" fillId="14" borderId="3" xfId="0" applyNumberFormat="1" applyFont="1" applyFill="1" applyBorder="1" applyAlignment="1">
      <alignment horizontal="center" vertical="center"/>
    </xf>
    <xf numFmtId="0" fontId="62" fillId="7" borderId="3" xfId="0" applyFont="1" applyFill="1" applyBorder="1"/>
    <xf numFmtId="0" fontId="62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59" fillId="7" borderId="19" xfId="0" applyNumberFormat="1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59" fillId="7" borderId="8" xfId="0" applyNumberFormat="1" applyFont="1" applyFill="1" applyBorder="1" applyAlignment="1">
      <alignment horizontal="center" vertical="center"/>
    </xf>
    <xf numFmtId="1" fontId="59" fillId="4" borderId="5" xfId="0" applyNumberFormat="1" applyFont="1" applyFill="1" applyBorder="1" applyAlignment="1">
      <alignment horizontal="center" vertical="center"/>
    </xf>
    <xf numFmtId="1" fontId="59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59" fillId="7" borderId="14" xfId="0" applyNumberFormat="1" applyFont="1" applyFill="1" applyBorder="1" applyAlignment="1">
      <alignment horizontal="center" vertical="center"/>
    </xf>
    <xf numFmtId="1" fontId="59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0" fillId="4" borderId="0" xfId="0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1" fillId="4" borderId="0" xfId="0" applyFont="1" applyFill="1"/>
    <xf numFmtId="1" fontId="59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59" fillId="7" borderId="4" xfId="0" applyNumberFormat="1" applyFont="1" applyFill="1" applyBorder="1" applyAlignment="1">
      <alignment horizontal="center" vertical="center"/>
    </xf>
    <xf numFmtId="1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7" borderId="3" xfId="0" applyNumberFormat="1" applyFont="1" applyFill="1" applyBorder="1" applyAlignment="1">
      <alignment horizontal="center" vertical="center"/>
    </xf>
    <xf numFmtId="1" fontId="70" fillId="4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0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18" xfId="0" applyNumberFormat="1" applyFont="1" applyFill="1" applyBorder="1" applyAlignment="1">
      <alignment horizontal="center" vertical="center"/>
    </xf>
    <xf numFmtId="1" fontId="59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59" fillId="7" borderId="10" xfId="0" applyNumberFormat="1" applyFont="1" applyFill="1" applyBorder="1" applyAlignment="1">
      <alignment horizontal="center" vertical="center"/>
    </xf>
    <xf numFmtId="1" fontId="1" fillId="4" borderId="7" xfId="0" applyNumberFormat="1" applyFont="1" applyFill="1" applyBorder="1"/>
    <xf numFmtId="1" fontId="1" fillId="7" borderId="7" xfId="0" applyNumberFormat="1" applyFont="1" applyFill="1" applyBorder="1"/>
    <xf numFmtId="1" fontId="59" fillId="4" borderId="17" xfId="0" applyNumberFormat="1" applyFont="1" applyFill="1" applyBorder="1" applyAlignment="1">
      <alignment horizontal="center" vertical="center"/>
    </xf>
    <xf numFmtId="1" fontId="59" fillId="7" borderId="17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2" fillId="4" borderId="3" xfId="0" applyNumberFormat="1" applyFont="1" applyFill="1" applyBorder="1" applyAlignment="1">
      <alignment horizontal="center" vertical="center" wrapText="1"/>
    </xf>
    <xf numFmtId="1" fontId="62" fillId="7" borderId="3" xfId="0" applyNumberFormat="1" applyFont="1" applyFill="1" applyBorder="1" applyAlignment="1">
      <alignment horizontal="center" vertical="center" wrapText="1"/>
    </xf>
    <xf numFmtId="1" fontId="1" fillId="4" borderId="3" xfId="0" applyNumberFormat="1" applyFont="1" applyFill="1" applyBorder="1" applyAlignment="1">
      <alignment vertical="center"/>
    </xf>
    <xf numFmtId="1" fontId="1" fillId="7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59" fillId="7" borderId="9" xfId="0" applyNumberFormat="1" applyFont="1" applyFill="1" applyBorder="1" applyAlignment="1">
      <alignment horizontal="center" vertical="center"/>
    </xf>
    <xf numFmtId="168" fontId="71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59" fillId="7" borderId="3" xfId="0" applyNumberFormat="1" applyFont="1" applyFill="1" applyBorder="1" applyAlignment="1">
      <alignment horizontal="center" vertical="center"/>
    </xf>
    <xf numFmtId="168" fontId="59" fillId="7" borderId="7" xfId="0" applyNumberFormat="1" applyFont="1" applyFill="1" applyBorder="1" applyAlignment="1">
      <alignment horizontal="center" vertical="center"/>
    </xf>
    <xf numFmtId="168" fontId="59" fillId="4" borderId="3" xfId="0" applyNumberFormat="1" applyFont="1" applyFill="1" applyBorder="1" applyAlignment="1">
      <alignment horizontal="center" vertical="center"/>
    </xf>
    <xf numFmtId="168" fontId="59" fillId="7" borderId="8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 vertical="center"/>
    </xf>
    <xf numFmtId="2" fontId="4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59" fillId="7" borderId="33" xfId="0" applyNumberFormat="1" applyFont="1" applyFill="1" applyBorder="1" applyAlignment="1">
      <alignment horizontal="center" vertical="center"/>
    </xf>
    <xf numFmtId="1" fontId="106" fillId="4" borderId="3" xfId="0" applyNumberFormat="1" applyFont="1" applyFill="1" applyBorder="1" applyAlignment="1">
      <alignment horizontal="center" vertical="center"/>
    </xf>
    <xf numFmtId="1" fontId="106" fillId="7" borderId="3" xfId="0" applyNumberFormat="1" applyFont="1" applyFill="1" applyBorder="1" applyAlignment="1">
      <alignment horizontal="center" vertical="center"/>
    </xf>
    <xf numFmtId="1" fontId="106" fillId="7" borderId="4" xfId="0" applyNumberFormat="1" applyFont="1" applyFill="1" applyBorder="1" applyAlignment="1">
      <alignment horizontal="center" vertical="center"/>
    </xf>
    <xf numFmtId="1" fontId="106" fillId="4" borderId="4" xfId="0" applyNumberFormat="1" applyFont="1" applyFill="1" applyBorder="1" applyAlignment="1">
      <alignment horizontal="center" vertical="center"/>
    </xf>
    <xf numFmtId="1" fontId="106" fillId="7" borderId="5" xfId="0" applyNumberFormat="1" applyFont="1" applyFill="1" applyBorder="1" applyAlignment="1">
      <alignment horizontal="center" vertical="center"/>
    </xf>
    <xf numFmtId="1" fontId="106" fillId="4" borderId="5" xfId="0" applyNumberFormat="1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vertical="center"/>
    </xf>
    <xf numFmtId="0" fontId="62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59" fillId="17" borderId="3" xfId="0" applyNumberFormat="1" applyFont="1" applyFill="1" applyBorder="1" applyAlignment="1">
      <alignment horizontal="center" vertical="center"/>
    </xf>
    <xf numFmtId="2" fontId="70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68" fontId="1" fillId="7" borderId="3" xfId="0" applyNumberFormat="1" applyFont="1" applyFill="1" applyBorder="1"/>
    <xf numFmtId="2" fontId="4" fillId="14" borderId="3" xfId="0" applyNumberFormat="1" applyFont="1" applyFill="1" applyBorder="1" applyAlignment="1">
      <alignment horizontal="center" vertical="center"/>
    </xf>
    <xf numFmtId="168" fontId="1" fillId="4" borderId="3" xfId="0" applyNumberFormat="1" applyFont="1" applyFill="1" applyBorder="1"/>
    <xf numFmtId="2" fontId="4" fillId="18" borderId="3" xfId="0" applyNumberFormat="1" applyFont="1" applyFill="1" applyBorder="1" applyAlignment="1">
      <alignment horizontal="center" vertical="center"/>
    </xf>
    <xf numFmtId="2" fontId="59" fillId="18" borderId="7" xfId="0" applyNumberFormat="1" applyFont="1" applyFill="1" applyBorder="1" applyAlignment="1">
      <alignment horizontal="center" vertical="center"/>
    </xf>
    <xf numFmtId="168" fontId="59" fillId="4" borderId="7" xfId="0" applyNumberFormat="1" applyFont="1" applyFill="1" applyBorder="1" applyAlignment="1">
      <alignment horizontal="center" vertical="center"/>
    </xf>
    <xf numFmtId="2" fontId="59" fillId="18" borderId="3" xfId="0" applyNumberFormat="1" applyFont="1" applyFill="1" applyBorder="1" applyAlignment="1">
      <alignment horizontal="center" vertical="center"/>
    </xf>
    <xf numFmtId="168" fontId="59" fillId="4" borderId="8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79" fillId="2" borderId="3" xfId="2" applyNumberFormat="1" applyFont="1" applyFill="1" applyBorder="1" applyAlignment="1" applyProtection="1">
      <alignment horizontal="center" vertical="center"/>
    </xf>
    <xf numFmtId="166" fontId="79" fillId="2" borderId="5" xfId="2" applyNumberFormat="1" applyFont="1" applyFill="1" applyBorder="1" applyAlignment="1" applyProtection="1">
      <alignment horizontal="center"/>
    </xf>
    <xf numFmtId="166" fontId="108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0" fontId="79" fillId="2" borderId="3" xfId="2" applyFont="1" applyFill="1" applyBorder="1" applyAlignment="1" applyProtection="1">
      <alignment horizontal="center"/>
    </xf>
    <xf numFmtId="166" fontId="79" fillId="2" borderId="19" xfId="2" applyNumberFormat="1" applyFont="1" applyFill="1" applyBorder="1" applyAlignment="1" applyProtection="1">
      <alignment horizontal="center"/>
    </xf>
    <xf numFmtId="0" fontId="79" fillId="0" borderId="3" xfId="2" applyNumberFormat="1" applyFont="1" applyBorder="1" applyAlignment="1" applyProtection="1">
      <alignment horizontal="center"/>
    </xf>
    <xf numFmtId="0" fontId="65" fillId="2" borderId="3" xfId="0" applyFont="1" applyFill="1" applyBorder="1" applyAlignment="1">
      <alignment horizontal="center"/>
    </xf>
    <xf numFmtId="0" fontId="65" fillId="0" borderId="3" xfId="0" applyNumberFormat="1" applyFont="1" applyBorder="1" applyAlignment="1">
      <alignment horizontal="center"/>
    </xf>
    <xf numFmtId="0" fontId="79" fillId="0" borderId="3" xfId="2" applyFont="1" applyBorder="1" applyAlignment="1" applyProtection="1">
      <alignment horizontal="center"/>
    </xf>
    <xf numFmtId="0" fontId="79" fillId="2" borderId="7" xfId="2" applyFont="1" applyFill="1" applyBorder="1" applyAlignment="1" applyProtection="1">
      <alignment horizontal="center"/>
    </xf>
    <xf numFmtId="166" fontId="79" fillId="2" borderId="4" xfId="2" applyNumberFormat="1" applyFont="1" applyFill="1" applyBorder="1" applyAlignment="1" applyProtection="1">
      <alignment horizontal="center" vertical="center"/>
    </xf>
    <xf numFmtId="166" fontId="79" fillId="2" borderId="4" xfId="2" applyNumberFormat="1" applyFont="1" applyFill="1" applyBorder="1" applyAlignment="1" applyProtection="1">
      <alignment horizontal="center"/>
    </xf>
    <xf numFmtId="166" fontId="79" fillId="0" borderId="3" xfId="2" applyNumberFormat="1" applyFont="1" applyBorder="1" applyAlignment="1" applyProtection="1">
      <alignment horizontal="center"/>
    </xf>
    <xf numFmtId="166" fontId="79" fillId="2" borderId="5" xfId="2" applyNumberFormat="1" applyFont="1" applyFill="1" applyBorder="1" applyAlignment="1" applyProtection="1">
      <alignment horizontal="center" vertical="center"/>
    </xf>
    <xf numFmtId="166" fontId="65" fillId="2" borderId="4" xfId="0" applyNumberFormat="1" applyFont="1" applyFill="1" applyBorder="1" applyAlignment="1">
      <alignment horizontal="center"/>
    </xf>
    <xf numFmtId="166" fontId="65" fillId="2" borderId="3" xfId="0" applyNumberFormat="1" applyFont="1" applyFill="1" applyBorder="1" applyAlignment="1">
      <alignment horizontal="center"/>
    </xf>
    <xf numFmtId="166" fontId="79" fillId="4" borderId="3" xfId="2" applyNumberFormat="1" applyFont="1" applyFill="1" applyBorder="1" applyAlignment="1" applyProtection="1">
      <alignment horizontal="center"/>
    </xf>
    <xf numFmtId="166" fontId="65" fillId="4" borderId="3" xfId="0" applyNumberFormat="1" applyFont="1" applyFill="1" applyBorder="1" applyAlignment="1">
      <alignment horizontal="center"/>
    </xf>
    <xf numFmtId="49" fontId="79" fillId="2" borderId="3" xfId="2" applyNumberFormat="1" applyFont="1" applyFill="1" applyBorder="1" applyAlignment="1" applyProtection="1">
      <alignment horizontal="center"/>
    </xf>
    <xf numFmtId="49" fontId="79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8" fontId="71" fillId="4" borderId="3" xfId="0" applyNumberFormat="1" applyFont="1" applyFill="1" applyBorder="1" applyAlignment="1">
      <alignment horizontal="center" vertical="center" wrapText="1"/>
    </xf>
    <xf numFmtId="1" fontId="106" fillId="4" borderId="0" xfId="0" applyNumberFormat="1" applyFont="1" applyFill="1" applyBorder="1" applyAlignment="1">
      <alignment horizontal="center" vertical="center"/>
    </xf>
    <xf numFmtId="49" fontId="79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1" fillId="4" borderId="3" xfId="0" applyNumberFormat="1" applyFont="1" applyFill="1" applyBorder="1" applyAlignment="1">
      <alignment horizontal="center" vertical="center"/>
    </xf>
    <xf numFmtId="2" fontId="40" fillId="7" borderId="7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79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59" fillId="7" borderId="11" xfId="0" applyNumberFormat="1" applyFont="1" applyFill="1" applyBorder="1" applyAlignment="1">
      <alignment horizontal="center" vertical="center"/>
    </xf>
    <xf numFmtId="1" fontId="106" fillId="4" borderId="11" xfId="0" applyNumberFormat="1" applyFont="1" applyFill="1" applyBorder="1" applyAlignment="1">
      <alignment horizontal="center" vertical="center"/>
    </xf>
    <xf numFmtId="1" fontId="106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59" fillId="7" borderId="3" xfId="0" applyNumberFormat="1" applyFont="1" applyFill="1" applyBorder="1" applyAlignment="1">
      <alignment horizontal="center" vertical="center"/>
    </xf>
    <xf numFmtId="1" fontId="59" fillId="4" borderId="36" xfId="0" applyNumberFormat="1" applyFont="1" applyFill="1" applyBorder="1" applyAlignment="1">
      <alignment horizontal="center" vertical="center"/>
    </xf>
    <xf numFmtId="1" fontId="59" fillId="4" borderId="21" xfId="0" applyNumberFormat="1" applyFont="1" applyFill="1" applyBorder="1" applyAlignment="1">
      <alignment horizontal="center" vertical="center"/>
    </xf>
    <xf numFmtId="2" fontId="59" fillId="4" borderId="2" xfId="0" applyNumberFormat="1" applyFont="1" applyFill="1" applyBorder="1" applyAlignment="1">
      <alignment horizontal="center" vertical="center"/>
    </xf>
    <xf numFmtId="2" fontId="59" fillId="7" borderId="12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76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78" fillId="13" borderId="12" xfId="0" applyFont="1" applyFill="1" applyBorder="1"/>
    <xf numFmtId="0" fontId="76" fillId="13" borderId="3" xfId="0" applyFont="1" applyFill="1" applyBorder="1" applyAlignment="1">
      <alignment horizontal="center" vertical="center"/>
    </xf>
    <xf numFmtId="0" fontId="66" fillId="13" borderId="3" xfId="0" applyFont="1" applyFill="1" applyBorder="1" applyAlignment="1">
      <alignment horizontal="center" vertical="center"/>
    </xf>
    <xf numFmtId="2" fontId="43" fillId="13" borderId="3" xfId="0" applyNumberFormat="1" applyFont="1" applyFill="1" applyBorder="1" applyAlignment="1">
      <alignment horizontal="center" vertical="center"/>
    </xf>
    <xf numFmtId="2" fontId="76" fillId="13" borderId="3" xfId="0" applyNumberFormat="1" applyFont="1" applyFill="1" applyBorder="1" applyAlignment="1">
      <alignment horizontal="center" vertical="center"/>
    </xf>
    <xf numFmtId="2" fontId="55" fillId="10" borderId="7" xfId="0" applyNumberFormat="1" applyFont="1" applyFill="1" applyBorder="1" applyAlignment="1">
      <alignment horizontal="center" vertical="center" wrapText="1"/>
    </xf>
    <xf numFmtId="0" fontId="74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6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6" fillId="13" borderId="12" xfId="0" applyFont="1" applyFill="1" applyBorder="1" applyAlignment="1">
      <alignment horizontal="center" vertical="center"/>
    </xf>
    <xf numFmtId="0" fontId="76" fillId="13" borderId="12" xfId="0" applyFont="1" applyFill="1" applyBorder="1" applyAlignment="1">
      <alignment horizontal="center" vertical="center"/>
    </xf>
    <xf numFmtId="0" fontId="76" fillId="13" borderId="9" xfId="0" applyFont="1" applyFill="1" applyBorder="1" applyAlignment="1">
      <alignment horizontal="center" vertical="center"/>
    </xf>
    <xf numFmtId="168" fontId="59" fillId="4" borderId="36" xfId="0" applyNumberFormat="1" applyFont="1" applyFill="1" applyBorder="1" applyAlignment="1">
      <alignment horizontal="center" vertical="center"/>
    </xf>
    <xf numFmtId="168" fontId="59" fillId="4" borderId="38" xfId="0" applyNumberFormat="1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2" fontId="76" fillId="15" borderId="5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5" fillId="4" borderId="3" xfId="0" applyNumberFormat="1" applyFont="1" applyFill="1" applyBorder="1"/>
    <xf numFmtId="2" fontId="65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6" fillId="4" borderId="15" xfId="0" applyNumberFormat="1" applyFont="1" applyFill="1" applyBorder="1" applyAlignment="1">
      <alignment horizontal="center" vertical="center"/>
    </xf>
    <xf numFmtId="1" fontId="70" fillId="7" borderId="15" xfId="0" applyNumberFormat="1" applyFont="1" applyFill="1" applyBorder="1" applyAlignment="1">
      <alignment horizontal="center" vertical="center"/>
    </xf>
    <xf numFmtId="1" fontId="116" fillId="7" borderId="8" xfId="0" applyNumberFormat="1" applyFont="1" applyFill="1" applyBorder="1" applyAlignment="1">
      <alignment horizontal="center" vertical="center"/>
    </xf>
    <xf numFmtId="1" fontId="59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4" borderId="5" xfId="0" applyNumberFormat="1" applyFont="1" applyFill="1" applyBorder="1" applyAlignment="1">
      <alignment horizontal="center" vertical="center"/>
    </xf>
    <xf numFmtId="166" fontId="109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1" fontId="106" fillId="4" borderId="18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" fontId="41" fillId="4" borderId="3" xfId="0" applyNumberFormat="1" applyFont="1" applyFill="1" applyBorder="1" applyAlignment="1">
      <alignment horizontal="center" vertical="center" wrapText="1"/>
    </xf>
    <xf numFmtId="1" fontId="59" fillId="4" borderId="35" xfId="0" applyNumberFormat="1" applyFont="1" applyFill="1" applyBorder="1" applyAlignment="1">
      <alignment horizontal="center" vertical="center"/>
    </xf>
    <xf numFmtId="1" fontId="59" fillId="7" borderId="31" xfId="0" applyNumberFormat="1" applyFont="1" applyFill="1" applyBorder="1" applyAlignment="1">
      <alignment horizontal="center" vertical="center"/>
    </xf>
    <xf numFmtId="2" fontId="59" fillId="7" borderId="32" xfId="0" applyNumberFormat="1" applyFont="1" applyFill="1" applyBorder="1" applyAlignment="1">
      <alignment horizontal="center" vertical="center"/>
    </xf>
    <xf numFmtId="1" fontId="59" fillId="7" borderId="32" xfId="0" applyNumberFormat="1" applyFont="1" applyFill="1" applyBorder="1" applyAlignment="1">
      <alignment horizontal="center" vertical="center"/>
    </xf>
    <xf numFmtId="1" fontId="41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1" fontId="106" fillId="4" borderId="7" xfId="0" applyNumberFormat="1" applyFont="1" applyFill="1" applyBorder="1" applyAlignment="1">
      <alignment horizontal="center" vertical="center"/>
    </xf>
    <xf numFmtId="1" fontId="70" fillId="7" borderId="4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117" fillId="2" borderId="0" xfId="0" applyFont="1" applyFill="1"/>
    <xf numFmtId="1" fontId="59" fillId="21" borderId="5" xfId="0" applyNumberFormat="1" applyFont="1" applyFill="1" applyBorder="1" applyAlignment="1">
      <alignment horizontal="center" vertical="center"/>
    </xf>
    <xf numFmtId="1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6" fillId="21" borderId="3" xfId="0" applyNumberFormat="1" applyFont="1" applyFill="1" applyBorder="1" applyAlignment="1">
      <alignment horizontal="center" vertical="center"/>
    </xf>
    <xf numFmtId="1" fontId="59" fillId="21" borderId="17" xfId="0" applyNumberFormat="1" applyFont="1" applyFill="1" applyBorder="1" applyAlignment="1">
      <alignment horizontal="center" vertical="center"/>
    </xf>
    <xf numFmtId="0" fontId="1" fillId="21" borderId="7" xfId="0" applyFont="1" applyFill="1" applyBorder="1"/>
    <xf numFmtId="1" fontId="59" fillId="21" borderId="14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1" fontId="106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2" fillId="7" borderId="3" xfId="0" applyNumberFormat="1" applyFont="1" applyFill="1" applyBorder="1"/>
    <xf numFmtId="2" fontId="59" fillId="7" borderId="3" xfId="0" applyNumberFormat="1" applyFont="1" applyFill="1" applyBorder="1" applyAlignment="1">
      <alignment horizontal="center"/>
    </xf>
    <xf numFmtId="1" fontId="59" fillId="7" borderId="3" xfId="0" applyNumberFormat="1" applyFont="1" applyFill="1" applyBorder="1" applyAlignment="1">
      <alignment horizont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1" fillId="21" borderId="0" xfId="0" applyFont="1" applyFill="1"/>
    <xf numFmtId="1" fontId="1" fillId="21" borderId="7" xfId="0" applyNumberFormat="1" applyFont="1" applyFill="1" applyBorder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6" fillId="9" borderId="0" xfId="0" applyFont="1" applyFill="1" applyAlignment="1">
      <alignment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66" fillId="9" borderId="0" xfId="0" applyFont="1" applyFill="1" applyBorder="1" applyAlignment="1"/>
    <xf numFmtId="2" fontId="40" fillId="7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5" fillId="4" borderId="11" xfId="0" applyFont="1" applyFill="1" applyBorder="1"/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1" fillId="7" borderId="5" xfId="0" applyFont="1" applyFill="1" applyBorder="1"/>
    <xf numFmtId="1" fontId="1" fillId="7" borderId="5" xfId="0" applyNumberFormat="1" applyFont="1" applyFill="1" applyBorder="1"/>
    <xf numFmtId="0" fontId="1" fillId="4" borderId="11" xfId="0" applyFont="1" applyFill="1" applyBorder="1"/>
    <xf numFmtId="2" fontId="6" fillId="7" borderId="12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/>
    <xf numFmtId="0" fontId="0" fillId="7" borderId="5" xfId="0" applyFill="1" applyBorder="1"/>
    <xf numFmtId="2" fontId="59" fillId="4" borderId="36" xfId="0" applyNumberFormat="1" applyFont="1" applyFill="1" applyBorder="1" applyAlignment="1">
      <alignment horizontal="center" vertical="center"/>
    </xf>
    <xf numFmtId="1" fontId="106" fillId="0" borderId="3" xfId="0" applyNumberFormat="1" applyFont="1" applyFill="1" applyBorder="1" applyAlignment="1">
      <alignment horizontal="center" vertical="center"/>
    </xf>
    <xf numFmtId="1" fontId="59" fillId="0" borderId="3" xfId="0" applyNumberFormat="1" applyFont="1" applyFill="1" applyBorder="1" applyAlignment="1">
      <alignment horizontal="center" vertical="center"/>
    </xf>
    <xf numFmtId="1" fontId="106" fillId="7" borderId="7" xfId="0" applyNumberFormat="1" applyFont="1" applyFill="1" applyBorder="1" applyAlignment="1">
      <alignment horizontal="center" vertical="center"/>
    </xf>
    <xf numFmtId="166" fontId="79" fillId="4" borderId="0" xfId="2" applyNumberFormat="1" applyFont="1" applyFill="1" applyBorder="1" applyAlignment="1" applyProtection="1">
      <alignment horizontal="center"/>
    </xf>
    <xf numFmtId="0" fontId="73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1" fillId="2" borderId="3" xfId="0" applyFont="1" applyFill="1" applyBorder="1"/>
    <xf numFmtId="0" fontId="4" fillId="4" borderId="3" xfId="0" applyFont="1" applyFill="1" applyBorder="1" applyAlignment="1"/>
    <xf numFmtId="1" fontId="59" fillId="21" borderId="7" xfId="0" applyNumberFormat="1" applyFont="1" applyFill="1" applyBorder="1" applyAlignment="1">
      <alignment horizontal="center" vertical="center"/>
    </xf>
    <xf numFmtId="1" fontId="59" fillId="4" borderId="10" xfId="0" applyNumberFormat="1" applyFont="1" applyFill="1" applyBorder="1" applyAlignment="1">
      <alignment horizontal="center" vertical="center"/>
    </xf>
    <xf numFmtId="1" fontId="59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1" fontId="59" fillId="7" borderId="34" xfId="0" applyNumberFormat="1" applyFont="1" applyFill="1" applyBorder="1" applyAlignment="1">
      <alignment horizontal="center" vertical="center"/>
    </xf>
    <xf numFmtId="1" fontId="59" fillId="4" borderId="34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9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5" fillId="7" borderId="3" xfId="0" applyFont="1" applyFill="1" applyBorder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62" fillId="4" borderId="3" xfId="0" applyNumberFormat="1" applyFont="1" applyFill="1" applyBorder="1"/>
    <xf numFmtId="2" fontId="59" fillId="4" borderId="3" xfId="0" applyNumberFormat="1" applyFont="1" applyFill="1" applyBorder="1" applyAlignment="1">
      <alignment horizontal="center"/>
    </xf>
    <xf numFmtId="1" fontId="59" fillId="4" borderId="3" xfId="0" applyNumberFormat="1" applyFont="1" applyFill="1" applyBorder="1" applyAlignment="1">
      <alignment horizont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66" fillId="7" borderId="3" xfId="0" applyNumberFormat="1" applyFont="1" applyFill="1" applyBorder="1" applyAlignment="1">
      <alignment horizontal="center" vertical="center"/>
    </xf>
    <xf numFmtId="2" fontId="66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1" fontId="107" fillId="7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2" fontId="40" fillId="7" borderId="3" xfId="0" applyNumberFormat="1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4" borderId="0" xfId="0" applyFont="1" applyFill="1" applyBorder="1"/>
    <xf numFmtId="2" fontId="59" fillId="21" borderId="3" xfId="0" applyNumberFormat="1" applyFont="1" applyFill="1" applyBorder="1" applyAlignment="1">
      <alignment horizontal="center" vertical="center"/>
    </xf>
    <xf numFmtId="0" fontId="61" fillId="0" borderId="3" xfId="0" applyFont="1" applyBorder="1" applyAlignment="1">
      <alignment horizontal="center" vertical="center" wrapText="1"/>
    </xf>
    <xf numFmtId="0" fontId="61" fillId="7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2" fontId="59" fillId="21" borderId="5" xfId="3" applyNumberFormat="1" applyFont="1" applyFill="1" applyBorder="1" applyAlignment="1">
      <alignment horizontal="center" vertical="center"/>
    </xf>
    <xf numFmtId="1" fontId="59" fillId="21" borderId="8" xfId="0" applyNumberFormat="1" applyFont="1" applyFill="1" applyBorder="1" applyAlignment="1">
      <alignment horizontal="center" vertical="center"/>
    </xf>
    <xf numFmtId="2" fontId="59" fillId="21" borderId="5" xfId="0" applyNumberFormat="1" applyFont="1" applyFill="1" applyBorder="1" applyAlignment="1">
      <alignment horizontal="center" vertical="center"/>
    </xf>
    <xf numFmtId="2" fontId="4" fillId="21" borderId="7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2" fontId="70" fillId="21" borderId="3" xfId="0" applyNumberFormat="1" applyFont="1" applyFill="1" applyBorder="1" applyAlignment="1">
      <alignment horizontal="center" vertical="center"/>
    </xf>
    <xf numFmtId="1" fontId="70" fillId="21" borderId="3" xfId="0" applyNumberFormat="1" applyFont="1" applyFill="1" applyBorder="1" applyAlignment="1">
      <alignment horizontal="center" vertical="center"/>
    </xf>
    <xf numFmtId="2" fontId="66" fillId="21" borderId="3" xfId="0" applyNumberFormat="1" applyFont="1" applyFill="1" applyBorder="1" applyAlignment="1">
      <alignment horizontal="center" vertical="center"/>
    </xf>
    <xf numFmtId="1" fontId="59" fillId="21" borderId="4" xfId="0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2" fontId="5" fillId="6" borderId="3" xfId="0" applyNumberFormat="1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2" fillId="9" borderId="0" xfId="0" applyFont="1" applyFill="1" applyBorder="1" applyAlignment="1"/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2" fontId="5" fillId="6" borderId="3" xfId="0" applyNumberFormat="1" applyFont="1" applyFill="1" applyBorder="1" applyAlignment="1"/>
    <xf numFmtId="0" fontId="0" fillId="6" borderId="3" xfId="0" applyFill="1" applyBorder="1" applyAlignment="1"/>
    <xf numFmtId="0" fontId="4" fillId="19" borderId="16" xfId="2" applyFont="1" applyFill="1" applyBorder="1" applyAlignment="1" applyProtection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0" fontId="2" fillId="9" borderId="1" xfId="0" applyFont="1" applyFill="1" applyBorder="1" applyAlignment="1"/>
    <xf numFmtId="0" fontId="2" fillId="9" borderId="22" xfId="0" applyFont="1" applyFill="1" applyBorder="1" applyAlignment="1"/>
    <xf numFmtId="2" fontId="5" fillId="4" borderId="3" xfId="0" applyNumberFormat="1" applyFont="1" applyFill="1" applyBorder="1" applyAlignment="1"/>
    <xf numFmtId="0" fontId="0" fillId="4" borderId="3" xfId="0" applyFill="1" applyBorder="1" applyAlignment="1"/>
    <xf numFmtId="2" fontId="5" fillId="7" borderId="11" xfId="0" applyNumberFormat="1" applyFon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2" fontId="5" fillId="4" borderId="11" xfId="0" applyNumberFormat="1" applyFont="1" applyFill="1" applyBorder="1" applyAlignment="1"/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21" borderId="11" xfId="0" applyNumberFormat="1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0" fontId="18" fillId="7" borderId="3" xfId="0" applyFont="1" applyFill="1" applyBorder="1" applyAlignment="1">
      <alignment wrapText="1"/>
    </xf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2" fontId="5" fillId="6" borderId="11" xfId="0" applyNumberFormat="1" applyFont="1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0" fontId="2" fillId="9" borderId="0" xfId="0" applyFont="1" applyFill="1" applyAlignment="1"/>
    <xf numFmtId="0" fontId="0" fillId="4" borderId="2" xfId="0" applyFill="1" applyBorder="1" applyAlignment="1"/>
    <xf numFmtId="0" fontId="0" fillId="4" borderId="4" xfId="0" applyFill="1" applyBorder="1" applyAlignment="1"/>
    <xf numFmtId="0" fontId="1" fillId="7" borderId="3" xfId="0" applyFont="1" applyFill="1" applyBorder="1" applyAlignment="1">
      <alignment wrapText="1"/>
    </xf>
    <xf numFmtId="2" fontId="5" fillId="4" borderId="7" xfId="0" applyNumberFormat="1" applyFont="1" applyFill="1" applyBorder="1" applyAlignment="1">
      <alignment wrapText="1"/>
    </xf>
    <xf numFmtId="0" fontId="18" fillId="4" borderId="7" xfId="0" applyFont="1" applyFill="1" applyBorder="1" applyAlignment="1">
      <alignment wrapText="1"/>
    </xf>
    <xf numFmtId="0" fontId="61" fillId="11" borderId="3" xfId="0" applyFont="1" applyFill="1" applyBorder="1" applyAlignment="1">
      <alignment horizontal="center" vertical="center" wrapText="1"/>
    </xf>
    <xf numFmtId="0" fontId="60" fillId="11" borderId="3" xfId="0" applyFont="1" applyFill="1" applyBorder="1" applyAlignment="1">
      <alignment horizontal="center" vertical="center" wrapText="1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04" fillId="13" borderId="3" xfId="0" applyNumberFormat="1" applyFont="1" applyFill="1" applyBorder="1" applyAlignment="1">
      <alignment horizontal="center" vertical="center" wrapText="1"/>
    </xf>
    <xf numFmtId="0" fontId="78" fillId="13" borderId="3" xfId="0" applyFont="1" applyFill="1" applyBorder="1" applyAlignment="1">
      <alignment horizontal="center" vertical="center" wrapText="1"/>
    </xf>
    <xf numFmtId="0" fontId="0" fillId="7" borderId="2" xfId="0" applyFill="1" applyBorder="1" applyAlignment="1"/>
    <xf numFmtId="0" fontId="0" fillId="7" borderId="4" xfId="0" applyFill="1" applyBorder="1" applyAlignment="1"/>
    <xf numFmtId="2" fontId="17" fillId="4" borderId="11" xfId="0" applyNumberFormat="1" applyFont="1" applyFill="1" applyBorder="1" applyAlignment="1"/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2" fontId="5" fillId="4" borderId="3" xfId="0" applyNumberFormat="1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18" fillId="6" borderId="3" xfId="0" applyFont="1" applyFill="1" applyBorder="1" applyAlignment="1">
      <alignment wrapText="1"/>
    </xf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2" fontId="5" fillId="4" borderId="5" xfId="0" applyNumberFormat="1" applyFont="1" applyFill="1" applyBorder="1" applyAlignment="1"/>
    <xf numFmtId="0" fontId="0" fillId="4" borderId="5" xfId="0" applyFill="1" applyBorder="1" applyAlignment="1"/>
    <xf numFmtId="0" fontId="18" fillId="7" borderId="3" xfId="0" applyFont="1" applyFill="1" applyBorder="1" applyAlignment="1"/>
    <xf numFmtId="2" fontId="84" fillId="4" borderId="3" xfId="0" applyNumberFormat="1" applyFont="1" applyFill="1" applyBorder="1" applyAlignment="1">
      <alignment wrapText="1"/>
    </xf>
    <xf numFmtId="0" fontId="83" fillId="4" borderId="3" xfId="0" applyFont="1" applyFill="1" applyBorder="1" applyAlignment="1">
      <alignment wrapText="1"/>
    </xf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2" fontId="5" fillId="4" borderId="11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18" fillId="4" borderId="3" xfId="0" applyFont="1" applyFill="1" applyBorder="1" applyAlignment="1"/>
    <xf numFmtId="2" fontId="5" fillId="7" borderId="11" xfId="0" applyNumberFormat="1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0" fillId="7" borderId="5" xfId="0" applyFill="1" applyBorder="1" applyAlignment="1"/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1" fillId="4" borderId="3" xfId="0" applyFont="1" applyFill="1" applyBorder="1" applyAlignment="1"/>
    <xf numFmtId="0" fontId="4" fillId="19" borderId="3" xfId="2" applyFont="1" applyFill="1" applyBorder="1" applyAlignment="1" applyProtection="1">
      <alignment horizontal="center" vertical="center" wrapText="1"/>
    </xf>
    <xf numFmtId="0" fontId="77" fillId="13" borderId="11" xfId="0" applyFont="1" applyFill="1" applyBorder="1" applyAlignment="1">
      <alignment wrapText="1"/>
    </xf>
    <xf numFmtId="0" fontId="78" fillId="1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77" fillId="16" borderId="11" xfId="0" applyFont="1" applyFill="1" applyBorder="1" applyAlignment="1">
      <alignment wrapText="1"/>
    </xf>
    <xf numFmtId="0" fontId="78" fillId="16" borderId="2" xfId="0" applyFont="1" applyFill="1" applyBorder="1" applyAlignment="1">
      <alignment wrapText="1"/>
    </xf>
    <xf numFmtId="0" fontId="66" fillId="9" borderId="1" xfId="0" applyFont="1" applyFill="1" applyBorder="1" applyAlignment="1"/>
    <xf numFmtId="0" fontId="66" fillId="9" borderId="0" xfId="0" applyFont="1" applyFill="1" applyAlignment="1"/>
    <xf numFmtId="0" fontId="66" fillId="9" borderId="22" xfId="0" applyFont="1" applyFill="1" applyBorder="1" applyAlignment="1"/>
    <xf numFmtId="2" fontId="17" fillId="4" borderId="11" xfId="0" applyNumberFormat="1" applyFont="1" applyFill="1" applyBorder="1" applyAlignment="1">
      <alignment wrapText="1"/>
    </xf>
    <xf numFmtId="0" fontId="39" fillId="4" borderId="2" xfId="0" applyFont="1" applyFill="1" applyBorder="1" applyAlignment="1">
      <alignment wrapText="1"/>
    </xf>
    <xf numFmtId="0" fontId="39" fillId="4" borderId="4" xfId="0" applyFont="1" applyFill="1" applyBorder="1" applyAlignment="1">
      <alignment wrapText="1"/>
    </xf>
    <xf numFmtId="0" fontId="66" fillId="9" borderId="0" xfId="0" applyFont="1" applyFill="1" applyBorder="1" applyAlignment="1"/>
    <xf numFmtId="0" fontId="65" fillId="0" borderId="0" xfId="0" applyFont="1" applyAlignment="1"/>
    <xf numFmtId="0" fontId="65" fillId="0" borderId="22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5" fillId="21" borderId="3" xfId="0" applyNumberFormat="1" applyFont="1" applyFill="1" applyBorder="1" applyAlignment="1"/>
    <xf numFmtId="0" fontId="0" fillId="21" borderId="3" xfId="0" applyFill="1" applyBorder="1" applyAlignment="1"/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0" fontId="18" fillId="21" borderId="3" xfId="0" applyFont="1" applyFill="1" applyBorder="1" applyAlignment="1"/>
    <xf numFmtId="0" fontId="50" fillId="2" borderId="0" xfId="2" applyFont="1" applyFill="1" applyAlignment="1" applyProtection="1"/>
    <xf numFmtId="0" fontId="50" fillId="0" borderId="0" xfId="2" applyFont="1" applyAlignment="1" applyProtection="1"/>
    <xf numFmtId="0" fontId="88" fillId="10" borderId="0" xfId="0" applyFont="1" applyFill="1" applyBorder="1" applyAlignment="1">
      <alignment horizontal="center" vertical="center" wrapText="1"/>
    </xf>
    <xf numFmtId="0" fontId="80" fillId="10" borderId="0" xfId="0" applyFont="1" applyFill="1" applyBorder="1" applyAlignment="1">
      <alignment horizontal="center" vertical="center" wrapText="1"/>
    </xf>
    <xf numFmtId="2" fontId="17" fillId="7" borderId="3" xfId="0" applyNumberFormat="1" applyFont="1" applyFill="1" applyBorder="1" applyAlignment="1"/>
    <xf numFmtId="0" fontId="11" fillId="7" borderId="3" xfId="0" applyFont="1" applyFill="1" applyBorder="1" applyAlignment="1"/>
    <xf numFmtId="0" fontId="1" fillId="7" borderId="3" xfId="0" applyFont="1" applyFill="1" applyBorder="1" applyAlignment="1"/>
    <xf numFmtId="0" fontId="36" fillId="9" borderId="0" xfId="0" applyFont="1" applyFill="1" applyBorder="1" applyAlignment="1"/>
    <xf numFmtId="0" fontId="36" fillId="9" borderId="0" xfId="0" applyFont="1" applyFill="1" applyAlignment="1"/>
    <xf numFmtId="0" fontId="66" fillId="12" borderId="16" xfId="0" applyFont="1" applyFill="1" applyBorder="1" applyAlignment="1">
      <alignment horizontal="center" vertical="center" wrapText="1"/>
    </xf>
    <xf numFmtId="0" fontId="65" fillId="12" borderId="25" xfId="0" applyFont="1" applyFill="1" applyBorder="1" applyAlignment="1">
      <alignment horizontal="center" vertical="center" wrapText="1"/>
    </xf>
    <xf numFmtId="0" fontId="65" fillId="12" borderId="19" xfId="0" applyFont="1" applyFill="1" applyBorder="1" applyAlignment="1">
      <alignment horizontal="center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65" fillId="12" borderId="0" xfId="0" applyFont="1" applyFill="1" applyAlignment="1">
      <alignment horizontal="center" vertical="center" wrapText="1"/>
    </xf>
    <xf numFmtId="0" fontId="65" fillId="12" borderId="22" xfId="0" applyFont="1" applyFill="1" applyBorder="1" applyAlignment="1">
      <alignment horizontal="center" vertical="center" wrapText="1"/>
    </xf>
    <xf numFmtId="0" fontId="65" fillId="12" borderId="18" xfId="0" applyFont="1" applyFill="1" applyBorder="1" applyAlignment="1">
      <alignment horizontal="center" vertical="center" wrapText="1"/>
    </xf>
    <xf numFmtId="0" fontId="65" fillId="12" borderId="12" xfId="0" applyFont="1" applyFill="1" applyBorder="1" applyAlignment="1">
      <alignment horizontal="center" vertical="center" wrapText="1"/>
    </xf>
    <xf numFmtId="0" fontId="65" fillId="12" borderId="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/>
    <xf numFmtId="0" fontId="5" fillId="7" borderId="3" xfId="0" applyFont="1" applyFill="1" applyBorder="1" applyAlignment="1"/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7" borderId="5" xfId="0" applyFont="1" applyFill="1" applyBorder="1" applyAlignment="1"/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0" fontId="5" fillId="7" borderId="11" xfId="0" applyFont="1" applyFill="1" applyBorder="1" applyAlignment="1"/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0" fontId="5" fillId="6" borderId="11" xfId="0" applyFont="1" applyFill="1" applyBorder="1" applyAlignment="1"/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0" fontId="5" fillId="4" borderId="5" xfId="0" applyFont="1" applyFill="1" applyBorder="1" applyAlignment="1"/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0" fontId="61" fillId="19" borderId="7" xfId="0" applyFont="1" applyFill="1" applyBorder="1" applyAlignment="1">
      <alignment horizontal="center" vertical="center" wrapText="1"/>
    </xf>
    <xf numFmtId="0" fontId="61" fillId="19" borderId="5" xfId="0" applyFont="1" applyFill="1" applyBorder="1" applyAlignment="1">
      <alignment horizontal="center" vertical="center" wrapText="1"/>
    </xf>
    <xf numFmtId="2" fontId="76" fillId="15" borderId="15" xfId="0" applyNumberFormat="1" applyFont="1" applyFill="1" applyBorder="1" applyAlignment="1">
      <alignment horizontal="center" vertical="center" wrapText="1"/>
    </xf>
    <xf numFmtId="0" fontId="104" fillId="15" borderId="15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4" fillId="4" borderId="3" xfId="0" applyFont="1" applyFill="1" applyBorder="1" applyAlignment="1">
      <alignment horizontal="left" wrapText="1"/>
    </xf>
    <xf numFmtId="2" fontId="5" fillId="4" borderId="18" xfId="0" applyNumberFormat="1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77" fillId="13" borderId="23" xfId="0" applyFont="1" applyFill="1" applyBorder="1" applyAlignment="1">
      <alignment horizontal="center" vertical="center" wrapText="1"/>
    </xf>
    <xf numFmtId="0" fontId="77" fillId="13" borderId="26" xfId="0" applyFont="1" applyFill="1" applyBorder="1" applyAlignment="1">
      <alignment horizontal="center" vertical="center" wrapText="1"/>
    </xf>
    <xf numFmtId="0" fontId="77" fillId="13" borderId="27" xfId="0" applyFont="1" applyFill="1" applyBorder="1" applyAlignment="1">
      <alignment horizontal="center" vertical="center" wrapText="1"/>
    </xf>
    <xf numFmtId="0" fontId="77" fillId="13" borderId="6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3" xfId="0" applyFont="1" applyFill="1" applyBorder="1" applyAlignment="1">
      <alignment horizontal="center" vertical="center" wrapText="1"/>
    </xf>
    <xf numFmtId="0" fontId="77" fillId="13" borderId="24" xfId="0" applyFont="1" applyFill="1" applyBorder="1" applyAlignment="1">
      <alignment horizontal="center" vertical="center" wrapText="1"/>
    </xf>
    <xf numFmtId="0" fontId="77" fillId="13" borderId="20" xfId="0" applyFont="1" applyFill="1" applyBorder="1" applyAlignment="1">
      <alignment horizontal="center" vertical="center" wrapText="1"/>
    </xf>
    <xf numFmtId="0" fontId="77" fillId="13" borderId="28" xfId="0" applyFont="1" applyFill="1" applyBorder="1" applyAlignment="1">
      <alignment horizontal="center" vertical="center" wrapText="1"/>
    </xf>
    <xf numFmtId="0" fontId="66" fillId="9" borderId="0" xfId="0" applyFont="1" applyFill="1" applyAlignment="1">
      <alignment vertical="center"/>
    </xf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85" fillId="13" borderId="16" xfId="0" applyFont="1" applyFill="1" applyBorder="1" applyAlignment="1">
      <alignment horizontal="center" vertical="center" wrapText="1"/>
    </xf>
    <xf numFmtId="0" fontId="86" fillId="13" borderId="25" xfId="0" applyFont="1" applyFill="1" applyBorder="1" applyAlignment="1">
      <alignment horizontal="center" vertical="center" wrapText="1"/>
    </xf>
    <xf numFmtId="0" fontId="86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6" fillId="13" borderId="11" xfId="0" applyNumberFormat="1" applyFont="1" applyFill="1" applyBorder="1" applyAlignment="1">
      <alignment horizontal="center" vertical="center"/>
    </xf>
    <xf numFmtId="0" fontId="76" fillId="13" borderId="2" xfId="0" applyFont="1" applyFill="1" applyBorder="1" applyAlignment="1">
      <alignment horizontal="center" vertical="center"/>
    </xf>
    <xf numFmtId="0" fontId="78" fillId="13" borderId="4" xfId="0" applyFont="1" applyFill="1" applyBorder="1" applyAlignment="1">
      <alignment horizontal="center" vertical="center"/>
    </xf>
    <xf numFmtId="2" fontId="77" fillId="15" borderId="15" xfId="0" applyNumberFormat="1" applyFont="1" applyFill="1" applyBorder="1" applyAlignment="1">
      <alignment horizontal="center" vertical="center" wrapText="1"/>
    </xf>
    <xf numFmtId="0" fontId="78" fillId="15" borderId="15" xfId="0" applyFont="1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18" fillId="4" borderId="5" xfId="0" applyFont="1" applyFill="1" applyBorder="1" applyAlignment="1"/>
    <xf numFmtId="2" fontId="5" fillId="21" borderId="5" xfId="0" applyNumberFormat="1" applyFont="1" applyFill="1" applyBorder="1" applyAlignment="1"/>
    <xf numFmtId="0" fontId="18" fillId="21" borderId="5" xfId="0" applyFont="1" applyFill="1" applyBorder="1" applyAlignment="1"/>
    <xf numFmtId="0" fontId="76" fillId="17" borderId="5" xfId="0" applyFont="1" applyFill="1" applyBorder="1" applyAlignment="1"/>
    <xf numFmtId="0" fontId="104" fillId="17" borderId="5" xfId="0" applyFont="1" applyFill="1" applyBorder="1" applyAlignment="1"/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2" fontId="84" fillId="4" borderId="11" xfId="0" applyNumberFormat="1" applyFont="1" applyFill="1" applyBorder="1" applyAlignment="1"/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0" fontId="18" fillId="4" borderId="7" xfId="0" applyFont="1" applyFill="1" applyBorder="1" applyAlignment="1"/>
    <xf numFmtId="0" fontId="73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1" fillId="4" borderId="3" xfId="0" applyFont="1" applyFill="1" applyBorder="1" applyAlignment="1">
      <alignment wrapText="1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14" fillId="0" borderId="0" xfId="0" applyFont="1" applyAlignment="1"/>
    <xf numFmtId="0" fontId="14" fillId="0" borderId="22" xfId="0" applyFont="1" applyBorder="1" applyAlignment="1"/>
    <xf numFmtId="0" fontId="73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0" fontId="73" fillId="9" borderId="1" xfId="0" applyFont="1" applyFill="1" applyBorder="1" applyAlignment="1">
      <alignment vertical="center"/>
    </xf>
    <xf numFmtId="0" fontId="75" fillId="9" borderId="0" xfId="0" applyFont="1" applyFill="1" applyBorder="1" applyAlignment="1">
      <alignment vertical="center"/>
    </xf>
    <xf numFmtId="0" fontId="75" fillId="9" borderId="22" xfId="0" applyFont="1" applyFill="1" applyBorder="1" applyAlignment="1">
      <alignment vertical="center"/>
    </xf>
    <xf numFmtId="2" fontId="84" fillId="7" borderId="3" xfId="0" applyNumberFormat="1" applyFont="1" applyFill="1" applyBorder="1" applyAlignment="1"/>
    <xf numFmtId="0" fontId="83" fillId="7" borderId="3" xfId="0" applyFont="1" applyFill="1" applyBorder="1" applyAlignment="1"/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2" fontId="0" fillId="7" borderId="3" xfId="0" applyNumberFormat="1" applyFill="1" applyBorder="1" applyAlignment="1"/>
    <xf numFmtId="2" fontId="0" fillId="6" borderId="3" xfId="0" applyNumberFormat="1" applyFill="1" applyBorder="1" applyAlignment="1"/>
    <xf numFmtId="2" fontId="0" fillId="4" borderId="3" xfId="0" applyNumberFormat="1" applyFill="1" applyBorder="1" applyAlignment="1"/>
    <xf numFmtId="0" fontId="100" fillId="13" borderId="11" xfId="2" applyFont="1" applyFill="1" applyBorder="1" applyAlignment="1" applyProtection="1">
      <alignment horizontal="center" vertical="center" wrapText="1"/>
    </xf>
    <xf numFmtId="0" fontId="100" fillId="13" borderId="2" xfId="2" applyFont="1" applyFill="1" applyBorder="1" applyAlignment="1" applyProtection="1">
      <alignment horizontal="center" vertical="center" wrapText="1"/>
    </xf>
    <xf numFmtId="0" fontId="100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104" fillId="1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9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2" fillId="13" borderId="37" xfId="0" applyFont="1" applyFill="1" applyBorder="1" applyAlignment="1">
      <alignment horizontal="center" vertical="center" wrapText="1"/>
    </xf>
    <xf numFmtId="0" fontId="78" fillId="13" borderId="29" xfId="0" applyFont="1" applyFill="1" applyBorder="1" applyAlignment="1">
      <alignment horizontal="center" vertical="center" wrapText="1"/>
    </xf>
    <xf numFmtId="0" fontId="78" fillId="13" borderId="3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5" fillId="13" borderId="3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104" fillId="15" borderId="5" xfId="0" applyFont="1" applyFill="1" applyBorder="1" applyAlignment="1">
      <alignment horizontal="center" vertical="center" wrapText="1"/>
    </xf>
    <xf numFmtId="0" fontId="84" fillId="7" borderId="3" xfId="0" applyFont="1" applyFill="1" applyBorder="1" applyAlignment="1">
      <alignment horizontal="left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2" fontId="17" fillId="7" borderId="11" xfId="0" applyNumberFormat="1" applyFont="1" applyFill="1" applyBorder="1" applyAlignment="1"/>
    <xf numFmtId="0" fontId="66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18" fillId="4" borderId="2" xfId="0" applyFont="1" applyFill="1" applyBorder="1" applyAlignment="1">
      <alignment wrapText="1"/>
    </xf>
    <xf numFmtId="0" fontId="18" fillId="4" borderId="4" xfId="0" applyFont="1" applyFill="1" applyBorder="1" applyAlignment="1">
      <alignment wrapText="1"/>
    </xf>
    <xf numFmtId="0" fontId="1" fillId="6" borderId="3" xfId="0" applyFont="1" applyFill="1" applyBorder="1" applyAlignment="1">
      <alignment wrapText="1"/>
    </xf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0" fontId="1" fillId="4" borderId="5" xfId="0" applyFont="1" applyFill="1" applyBorder="1" applyAlignment="1"/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51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0" fontId="1" fillId="21" borderId="3" xfId="0" applyFont="1" applyFill="1" applyBorder="1" applyAlignment="1"/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0" fontId="39" fillId="7" borderId="3" xfId="0" applyFont="1" applyFill="1" applyBorder="1" applyAlignment="1"/>
    <xf numFmtId="2" fontId="17" fillId="4" borderId="3" xfId="0" applyNumberFormat="1" applyFont="1" applyFill="1" applyBorder="1" applyAlignment="1"/>
    <xf numFmtId="0" fontId="39" fillId="4" borderId="3" xfId="0" applyFont="1" applyFill="1" applyBorder="1" applyAlignment="1"/>
    <xf numFmtId="0" fontId="0" fillId="4" borderId="11" xfId="0" applyFill="1" applyBorder="1" applyAlignment="1"/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5" fillId="12" borderId="16" xfId="0" applyFont="1" applyFill="1" applyBorder="1" applyAlignment="1">
      <alignment horizontal="center" vertical="center" wrapText="1"/>
    </xf>
    <xf numFmtId="0" fontId="105" fillId="12" borderId="25" xfId="0" applyFont="1" applyFill="1" applyBorder="1" applyAlignment="1">
      <alignment horizontal="center" vertical="center" wrapText="1"/>
    </xf>
    <xf numFmtId="0" fontId="105" fillId="12" borderId="19" xfId="0" applyFont="1" applyFill="1" applyBorder="1" applyAlignment="1">
      <alignment horizontal="center" vertical="center" wrapText="1"/>
    </xf>
    <xf numFmtId="0" fontId="105" fillId="12" borderId="1" xfId="0" applyFont="1" applyFill="1" applyBorder="1" applyAlignment="1">
      <alignment horizontal="center" vertical="center" wrapText="1"/>
    </xf>
    <xf numFmtId="0" fontId="105" fillId="12" borderId="0" xfId="0" applyFont="1" applyFill="1" applyBorder="1" applyAlignment="1">
      <alignment horizontal="center" vertical="center" wrapText="1"/>
    </xf>
    <xf numFmtId="0" fontId="105" fillId="12" borderId="22" xfId="0" applyFont="1" applyFill="1" applyBorder="1" applyAlignment="1">
      <alignment horizontal="center" vertical="center" wrapText="1"/>
    </xf>
    <xf numFmtId="0" fontId="105" fillId="12" borderId="18" xfId="0" applyFont="1" applyFill="1" applyBorder="1" applyAlignment="1">
      <alignment horizontal="center" vertical="center" wrapText="1"/>
    </xf>
    <xf numFmtId="0" fontId="105" fillId="12" borderId="12" xfId="0" applyFont="1" applyFill="1" applyBorder="1" applyAlignment="1">
      <alignment horizontal="center" vertical="center" wrapText="1"/>
    </xf>
    <xf numFmtId="0" fontId="105" fillId="12" borderId="9" xfId="0" applyFont="1" applyFill="1" applyBorder="1" applyAlignment="1">
      <alignment horizontal="center" vertical="center" wrapText="1"/>
    </xf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0" fontId="0" fillId="7" borderId="18" xfId="0" applyFill="1" applyBorder="1" applyAlignment="1"/>
    <xf numFmtId="2" fontId="5" fillId="7" borderId="7" xfId="0" applyNumberFormat="1" applyFont="1" applyFill="1" applyBorder="1" applyAlignment="1"/>
    <xf numFmtId="0" fontId="0" fillId="7" borderId="7" xfId="0" applyFill="1" applyBorder="1" applyAlignment="1"/>
    <xf numFmtId="0" fontId="0" fillId="7" borderId="11" xfId="0" applyFill="1" applyBorder="1" applyAlignment="1"/>
    <xf numFmtId="0" fontId="94" fillId="9" borderId="0" xfId="0" applyFont="1" applyFill="1" applyBorder="1" applyAlignment="1"/>
    <xf numFmtId="0" fontId="65" fillId="9" borderId="0" xfId="0" applyFont="1" applyFill="1" applyBorder="1" applyAlignment="1"/>
    <xf numFmtId="2" fontId="66" fillId="12" borderId="16" xfId="0" applyNumberFormat="1" applyFont="1" applyFill="1" applyBorder="1" applyAlignment="1">
      <alignment horizontal="center" vertical="center" wrapText="1"/>
    </xf>
    <xf numFmtId="0" fontId="72" fillId="12" borderId="25" xfId="0" applyFont="1" applyFill="1" applyBorder="1" applyAlignment="1">
      <alignment horizontal="center" vertical="center" wrapText="1"/>
    </xf>
    <xf numFmtId="0" fontId="72" fillId="12" borderId="19" xfId="0" applyFont="1" applyFill="1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wrapText="1"/>
    </xf>
    <xf numFmtId="0" fontId="72" fillId="12" borderId="0" xfId="0" applyFont="1" applyFill="1" applyBorder="1" applyAlignment="1">
      <alignment horizontal="center" vertical="center" wrapText="1"/>
    </xf>
    <xf numFmtId="0" fontId="72" fillId="12" borderId="12" xfId="0" applyFont="1" applyFill="1" applyBorder="1" applyAlignment="1">
      <alignment horizontal="center" vertical="center" wrapText="1"/>
    </xf>
    <xf numFmtId="0" fontId="72" fillId="12" borderId="9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/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0" xfId="0" applyAlignment="1"/>
    <xf numFmtId="2" fontId="58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8" fillId="7" borderId="7" xfId="0" applyNumberFormat="1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2" fontId="58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horizontal="left"/>
    </xf>
    <xf numFmtId="2" fontId="59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2" fontId="59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63" fillId="2" borderId="7" xfId="2" applyFont="1" applyFill="1" applyBorder="1" applyAlignment="1" applyProtection="1">
      <alignment horizontal="center" vertical="center"/>
    </xf>
    <xf numFmtId="0" fontId="63" fillId="0" borderId="5" xfId="2" applyFont="1" applyBorder="1" applyAlignment="1" applyProtection="1">
      <alignment horizontal="center" vertical="center"/>
    </xf>
    <xf numFmtId="0" fontId="45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4" fillId="19" borderId="25" xfId="0" applyFont="1" applyFill="1" applyBorder="1" applyAlignment="1">
      <alignment horizontal="center" vertical="center" wrapText="1"/>
    </xf>
    <xf numFmtId="0" fontId="44" fillId="19" borderId="19" xfId="0" applyFont="1" applyFill="1" applyBorder="1" applyAlignment="1">
      <alignment horizontal="center" vertical="center" wrapText="1"/>
    </xf>
    <xf numFmtId="0" fontId="52" fillId="2" borderId="0" xfId="2" applyFont="1" applyFill="1" applyAlignment="1" applyProtection="1"/>
    <xf numFmtId="0" fontId="87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15" fillId="19" borderId="18" xfId="2" applyFont="1" applyFill="1" applyBorder="1" applyAlignment="1" applyProtection="1">
      <alignment horizontal="left" vertical="center"/>
    </xf>
    <xf numFmtId="0" fontId="115" fillId="19" borderId="12" xfId="2" applyFont="1" applyFill="1" applyBorder="1" applyAlignment="1" applyProtection="1">
      <alignment horizontal="left" vertical="center"/>
    </xf>
    <xf numFmtId="0" fontId="90" fillId="20" borderId="11" xfId="0" applyFont="1" applyFill="1" applyBorder="1" applyAlignment="1">
      <alignment horizontal="center" vertical="center"/>
    </xf>
    <xf numFmtId="0" fontId="91" fillId="20" borderId="2" xfId="0" applyFont="1" applyFill="1" applyBorder="1" applyAlignment="1">
      <alignment horizontal="center" vertical="center"/>
    </xf>
    <xf numFmtId="0" fontId="91" fillId="20" borderId="4" xfId="0" applyFont="1" applyFill="1" applyBorder="1" applyAlignment="1">
      <alignment horizontal="center" vertical="center"/>
    </xf>
    <xf numFmtId="0" fontId="118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4" fillId="19" borderId="16" xfId="2" applyFont="1" applyFill="1" applyBorder="1" applyAlignment="1" applyProtection="1">
      <alignment horizontal="center" vertical="center" wrapText="1"/>
    </xf>
    <xf numFmtId="0" fontId="114" fillId="19" borderId="25" xfId="2" applyFont="1" applyFill="1" applyBorder="1" applyAlignment="1" applyProtection="1">
      <alignment horizontal="center" vertical="center" wrapText="1"/>
    </xf>
    <xf numFmtId="0" fontId="114" fillId="19" borderId="19" xfId="2" applyFont="1" applyFill="1" applyBorder="1" applyAlignment="1" applyProtection="1">
      <alignment horizontal="center" vertical="center" wrapText="1"/>
    </xf>
    <xf numFmtId="0" fontId="114" fillId="19" borderId="18" xfId="2" applyFont="1" applyFill="1" applyBorder="1" applyAlignment="1" applyProtection="1">
      <alignment horizontal="center" vertical="center" wrapText="1"/>
    </xf>
    <xf numFmtId="0" fontId="114" fillId="19" borderId="12" xfId="2" applyFont="1" applyFill="1" applyBorder="1" applyAlignment="1" applyProtection="1">
      <alignment horizontal="center" vertical="center" wrapText="1"/>
    </xf>
    <xf numFmtId="0" fontId="114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2" fillId="8" borderId="11" xfId="0" applyFont="1" applyFill="1" applyBorder="1" applyAlignment="1">
      <alignment horizontal="center" vertical="center" wrapText="1"/>
    </xf>
    <xf numFmtId="0" fontId="112" fillId="8" borderId="2" xfId="0" applyFont="1" applyFill="1" applyBorder="1" applyAlignment="1">
      <alignment horizontal="center" vertical="center" wrapText="1"/>
    </xf>
    <xf numFmtId="0" fontId="113" fillId="8" borderId="4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wrapText="1"/>
    </xf>
    <xf numFmtId="0" fontId="53" fillId="3" borderId="2" xfId="0" applyFont="1" applyFill="1" applyBorder="1" applyAlignment="1">
      <alignment horizontal="center" wrapText="1"/>
    </xf>
    <xf numFmtId="0" fontId="47" fillId="3" borderId="4" xfId="0" applyFont="1" applyFill="1" applyBorder="1" applyAlignment="1">
      <alignment horizontal="center" wrapText="1"/>
    </xf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93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91" fillId="4" borderId="2" xfId="0" applyFont="1" applyFill="1" applyBorder="1" applyAlignment="1"/>
    <xf numFmtId="0" fontId="91" fillId="4" borderId="4" xfId="0" applyFont="1" applyFill="1" applyBorder="1" applyAlignment="1"/>
    <xf numFmtId="0" fontId="110" fillId="19" borderId="11" xfId="0" applyFont="1" applyFill="1" applyBorder="1" applyAlignment="1">
      <alignment horizontal="center" vertical="center" wrapText="1"/>
    </xf>
    <xf numFmtId="0" fontId="111" fillId="19" borderId="2" xfId="0" applyFont="1" applyFill="1" applyBorder="1" applyAlignment="1">
      <alignment horizontal="center" vertical="center" wrapText="1"/>
    </xf>
    <xf numFmtId="0" fontId="111" fillId="19" borderId="4" xfId="0" applyFont="1" applyFill="1" applyBorder="1" applyAlignment="1">
      <alignment horizontal="center" vertical="center" wrapText="1"/>
    </xf>
    <xf numFmtId="0" fontId="88" fillId="13" borderId="11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/>
    </xf>
    <xf numFmtId="0" fontId="78" fillId="13" borderId="4" xfId="0" applyFont="1" applyFill="1" applyBorder="1" applyAlignment="1">
      <alignment horizontal="center"/>
    </xf>
    <xf numFmtId="0" fontId="12" fillId="19" borderId="11" xfId="2" applyFill="1" applyBorder="1" applyAlignment="1" applyProtection="1">
      <alignment horizontal="center" vertical="center" wrapText="1"/>
    </xf>
    <xf numFmtId="0" fontId="12" fillId="19" borderId="2" xfId="2" applyFill="1" applyBorder="1" applyAlignment="1" applyProtection="1">
      <alignment horizontal="center" vertical="center" wrapText="1"/>
    </xf>
    <xf numFmtId="0" fontId="12" fillId="19" borderId="4" xfId="2" applyFill="1" applyBorder="1" applyAlignment="1" applyProtection="1">
      <alignment horizontal="center" vertical="center" wrapText="1"/>
    </xf>
    <xf numFmtId="0" fontId="89" fillId="4" borderId="0" xfId="2" applyFont="1" applyFill="1" applyBorder="1" applyAlignment="1" applyProtection="1">
      <alignment horizontal="center" vertical="center" wrapText="1"/>
    </xf>
    <xf numFmtId="0" fontId="5" fillId="7" borderId="18" xfId="0" applyNumberFormat="1" applyFont="1" applyFill="1" applyBorder="1" applyAlignment="1"/>
    <xf numFmtId="0" fontId="0" fillId="7" borderId="12" xfId="0" applyNumberFormat="1" applyFill="1" applyBorder="1" applyAlignment="1"/>
    <xf numFmtId="0" fontId="0" fillId="7" borderId="9" xfId="0" applyNumberFormat="1" applyFill="1" applyBorder="1" applyAlignment="1"/>
    <xf numFmtId="0" fontId="52" fillId="4" borderId="0" xfId="2" applyFont="1" applyFill="1" applyAlignment="1" applyProtection="1"/>
    <xf numFmtId="0" fontId="52" fillId="0" borderId="0" xfId="2" applyFont="1" applyAlignment="1" applyProtection="1"/>
    <xf numFmtId="0" fontId="5" fillId="7" borderId="16" xfId="0" applyFont="1" applyFill="1" applyBorder="1" applyAlignment="1"/>
    <xf numFmtId="0" fontId="0" fillId="7" borderId="25" xfId="0" applyFill="1" applyBorder="1" applyAlignment="1"/>
    <xf numFmtId="0" fontId="0" fillId="7" borderId="19" xfId="0" applyFill="1" applyBorder="1" applyAlignment="1"/>
    <xf numFmtId="2" fontId="58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0" fillId="21" borderId="5" xfId="0" applyFill="1" applyBorder="1" applyAlignment="1"/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5" fillId="21" borderId="5" xfId="0" applyFont="1" applyFill="1" applyBorder="1" applyAlignment="1"/>
    <xf numFmtId="2" fontId="58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39" fillId="7" borderId="4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5" fillId="7" borderId="7" xfId="0" applyFont="1" applyFill="1" applyBorder="1" applyAlignment="1"/>
    <xf numFmtId="0" fontId="18" fillId="7" borderId="7" xfId="0" applyFont="1" applyFill="1" applyBorder="1" applyAlignment="1"/>
    <xf numFmtId="0" fontId="73" fillId="4" borderId="1" xfId="0" applyFont="1" applyFill="1" applyBorder="1" applyAlignment="1"/>
    <xf numFmtId="0" fontId="0" fillId="4" borderId="0" xfId="0" applyFill="1" applyBorder="1" applyAlignment="1"/>
    <xf numFmtId="0" fontId="73" fillId="9" borderId="0" xfId="0" applyFont="1" applyFill="1" applyBorder="1" applyAlignment="1"/>
    <xf numFmtId="0" fontId="73" fillId="9" borderId="22" xfId="0" applyFont="1" applyFill="1" applyBorder="1" applyAlignment="1"/>
    <xf numFmtId="2" fontId="5" fillId="7" borderId="18" xfId="0" applyNumberFormat="1" applyFont="1" applyFill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0" fontId="1" fillId="4" borderId="7" xfId="0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vertical="center" wrapText="1"/>
    </xf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0" fontId="39" fillId="4" borderId="4" xfId="0" applyFont="1" applyFill="1" applyBorder="1" applyAlignment="1"/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72" fillId="4" borderId="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2" fontId="5" fillId="21" borderId="3" xfId="0" applyNumberFormat="1" applyFont="1" applyFill="1" applyBorder="1" applyAlignment="1">
      <alignment wrapText="1"/>
    </xf>
    <xf numFmtId="2" fontId="4" fillId="21" borderId="2" xfId="0" applyNumberFormat="1" applyFont="1" applyFill="1" applyBorder="1" applyAlignment="1">
      <alignment horizontal="center" vertical="center" wrapText="1"/>
    </xf>
    <xf numFmtId="0" fontId="1" fillId="21" borderId="2" xfId="0" applyFont="1" applyFill="1" applyBorder="1" applyAlignment="1">
      <alignment horizontal="center" vertical="center" wrapText="1"/>
    </xf>
    <xf numFmtId="0" fontId="1" fillId="21" borderId="4" xfId="0" applyFont="1" applyFill="1" applyBorder="1" applyAlignment="1">
      <alignment horizontal="center" vertical="center" wrapText="1"/>
    </xf>
    <xf numFmtId="2" fontId="72" fillId="21" borderId="3" xfId="0" applyNumberFormat="1" applyFont="1" applyFill="1" applyBorder="1" applyAlignment="1"/>
    <xf numFmtId="0" fontId="65" fillId="21" borderId="3" xfId="0" applyFont="1" applyFill="1" applyBorder="1" applyAlignment="1"/>
    <xf numFmtId="2" fontId="40" fillId="7" borderId="3" xfId="0" applyNumberFormat="1" applyFont="1" applyFill="1" applyBorder="1" applyAlignment="1">
      <alignment horizontal="center" vertical="center" wrapText="1"/>
    </xf>
    <xf numFmtId="2" fontId="45" fillId="7" borderId="3" xfId="0" applyNumberFormat="1" applyFont="1" applyFill="1" applyBorder="1" applyAlignment="1">
      <alignment horizontal="center" vertical="center" wrapText="1"/>
    </xf>
    <xf numFmtId="0" fontId="60" fillId="7" borderId="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/>
    <xf numFmtId="0" fontId="1" fillId="7" borderId="4" xfId="0" applyFont="1" applyFill="1" applyBorder="1" applyAlignment="1"/>
    <xf numFmtId="2" fontId="1" fillId="21" borderId="5" xfId="0" applyNumberFormat="1" applyFont="1" applyFill="1" applyBorder="1" applyAlignment="1"/>
    <xf numFmtId="2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5" fillId="4" borderId="18" xfId="0" applyFont="1" applyFill="1" applyBorder="1" applyAlignment="1"/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61" fillId="11" borderId="7" xfId="0" applyFont="1" applyFill="1" applyBorder="1" applyAlignment="1">
      <alignment horizontal="center" vertical="center" wrapText="1"/>
    </xf>
    <xf numFmtId="0" fontId="60" fillId="11" borderId="5" xfId="0" applyFont="1" applyFill="1" applyBorder="1" applyAlignment="1">
      <alignment horizontal="center" vertical="center" wrapText="1"/>
    </xf>
    <xf numFmtId="2" fontId="104" fillId="13" borderId="25" xfId="0" applyNumberFormat="1" applyFont="1" applyFill="1" applyBorder="1" applyAlignment="1">
      <alignment horizontal="center" vertical="center" wrapText="1"/>
    </xf>
    <xf numFmtId="0" fontId="78" fillId="13" borderId="25" xfId="0" applyFont="1" applyFill="1" applyBorder="1" applyAlignment="1">
      <alignment horizontal="center" vertical="center" wrapText="1"/>
    </xf>
    <xf numFmtId="0" fontId="78" fillId="13" borderId="19" xfId="0" applyFont="1" applyFill="1" applyBorder="1" applyAlignment="1">
      <alignment horizontal="center" vertical="center" wrapText="1"/>
    </xf>
    <xf numFmtId="0" fontId="61" fillId="19" borderId="1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2" fillId="12" borderId="1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78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97" fillId="10" borderId="11" xfId="0" applyFont="1" applyFill="1" applyBorder="1" applyAlignment="1">
      <alignment horizontal="center" vertical="center" wrapText="1"/>
    </xf>
    <xf numFmtId="0" fontId="97" fillId="10" borderId="2" xfId="0" applyFont="1" applyFill="1" applyBorder="1" applyAlignment="1">
      <alignment horizontal="center" vertical="center" wrapText="1"/>
    </xf>
    <xf numFmtId="0" fontId="98" fillId="10" borderId="4" xfId="0" applyFont="1" applyFill="1" applyBorder="1" applyAlignment="1">
      <alignment horizontal="center" vertical="center" wrapText="1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CCFF99"/>
      <color rgb="FFFF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jpe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jpe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745</xdr:row>
      <xdr:rowOff>28575</xdr:rowOff>
    </xdr:from>
    <xdr:to>
      <xdr:col>1</xdr:col>
      <xdr:colOff>295275</xdr:colOff>
      <xdr:row>745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104</xdr:row>
      <xdr:rowOff>19050</xdr:rowOff>
    </xdr:from>
    <xdr:to>
      <xdr:col>0</xdr:col>
      <xdr:colOff>295275</xdr:colOff>
      <xdr:row>104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743</xdr:row>
      <xdr:rowOff>19050</xdr:rowOff>
    </xdr:from>
    <xdr:to>
      <xdr:col>1</xdr:col>
      <xdr:colOff>180975</xdr:colOff>
      <xdr:row>743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120</xdr:row>
      <xdr:rowOff>0</xdr:rowOff>
    </xdr:from>
    <xdr:to>
      <xdr:col>38</xdr:col>
      <xdr:colOff>371475</xdr:colOff>
      <xdr:row>123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62</xdr:row>
      <xdr:rowOff>19050</xdr:rowOff>
    </xdr:from>
    <xdr:to>
      <xdr:col>0</xdr:col>
      <xdr:colOff>295275</xdr:colOff>
      <xdr:row>62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733</xdr:row>
      <xdr:rowOff>76200</xdr:rowOff>
    </xdr:from>
    <xdr:to>
      <xdr:col>8</xdr:col>
      <xdr:colOff>353861</xdr:colOff>
      <xdr:row>739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63</xdr:row>
      <xdr:rowOff>28575</xdr:rowOff>
    </xdr:from>
    <xdr:to>
      <xdr:col>0</xdr:col>
      <xdr:colOff>295275</xdr:colOff>
      <xdr:row>64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747</xdr:row>
      <xdr:rowOff>38100</xdr:rowOff>
    </xdr:from>
    <xdr:to>
      <xdr:col>1</xdr:col>
      <xdr:colOff>295275</xdr:colOff>
      <xdr:row>747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115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746</xdr:row>
      <xdr:rowOff>38100</xdr:rowOff>
    </xdr:from>
    <xdr:to>
      <xdr:col>1</xdr:col>
      <xdr:colOff>295275</xdr:colOff>
      <xdr:row>746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651</xdr:row>
      <xdr:rowOff>19050</xdr:rowOff>
    </xdr:from>
    <xdr:to>
      <xdr:col>1</xdr:col>
      <xdr:colOff>0</xdr:colOff>
      <xdr:row>651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652</xdr:row>
      <xdr:rowOff>19050</xdr:rowOff>
    </xdr:from>
    <xdr:to>
      <xdr:col>1</xdr:col>
      <xdr:colOff>0</xdr:colOff>
      <xdr:row>652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653</xdr:row>
      <xdr:rowOff>19050</xdr:rowOff>
    </xdr:from>
    <xdr:to>
      <xdr:col>1</xdr:col>
      <xdr:colOff>0</xdr:colOff>
      <xdr:row>653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357</xdr:row>
      <xdr:rowOff>28575</xdr:rowOff>
    </xdr:from>
    <xdr:to>
      <xdr:col>1</xdr:col>
      <xdr:colOff>0</xdr:colOff>
      <xdr:row>357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228</xdr:row>
      <xdr:rowOff>28575</xdr:rowOff>
    </xdr:from>
    <xdr:to>
      <xdr:col>1</xdr:col>
      <xdr:colOff>0</xdr:colOff>
      <xdr:row>228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28575</xdr:rowOff>
    </xdr:from>
    <xdr:to>
      <xdr:col>1</xdr:col>
      <xdr:colOff>0</xdr:colOff>
      <xdr:row>96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453</xdr:row>
      <xdr:rowOff>28575</xdr:rowOff>
    </xdr:from>
    <xdr:to>
      <xdr:col>1</xdr:col>
      <xdr:colOff>0</xdr:colOff>
      <xdr:row>453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452</xdr:row>
      <xdr:rowOff>19050</xdr:rowOff>
    </xdr:from>
    <xdr:to>
      <xdr:col>24</xdr:col>
      <xdr:colOff>47625</xdr:colOff>
      <xdr:row>452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449</xdr:row>
      <xdr:rowOff>19050</xdr:rowOff>
    </xdr:from>
    <xdr:to>
      <xdr:col>24</xdr:col>
      <xdr:colOff>47625</xdr:colOff>
      <xdr:row>449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446</xdr:row>
      <xdr:rowOff>19050</xdr:rowOff>
    </xdr:from>
    <xdr:to>
      <xdr:col>24</xdr:col>
      <xdr:colOff>47625</xdr:colOff>
      <xdr:row>446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445</xdr:row>
      <xdr:rowOff>19050</xdr:rowOff>
    </xdr:from>
    <xdr:to>
      <xdr:col>24</xdr:col>
      <xdr:colOff>47625</xdr:colOff>
      <xdr:row>445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480</xdr:row>
      <xdr:rowOff>19050</xdr:rowOff>
    </xdr:from>
    <xdr:to>
      <xdr:col>24</xdr:col>
      <xdr:colOff>47625</xdr:colOff>
      <xdr:row>480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482</xdr:row>
      <xdr:rowOff>19050</xdr:rowOff>
    </xdr:from>
    <xdr:to>
      <xdr:col>24</xdr:col>
      <xdr:colOff>47625</xdr:colOff>
      <xdr:row>482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483</xdr:row>
      <xdr:rowOff>19050</xdr:rowOff>
    </xdr:from>
    <xdr:to>
      <xdr:col>24</xdr:col>
      <xdr:colOff>47625</xdr:colOff>
      <xdr:row>483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484</xdr:row>
      <xdr:rowOff>19050</xdr:rowOff>
    </xdr:from>
    <xdr:to>
      <xdr:col>24</xdr:col>
      <xdr:colOff>47625</xdr:colOff>
      <xdr:row>484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485</xdr:row>
      <xdr:rowOff>19050</xdr:rowOff>
    </xdr:from>
    <xdr:to>
      <xdr:col>24</xdr:col>
      <xdr:colOff>47625</xdr:colOff>
      <xdr:row>485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481</xdr:row>
      <xdr:rowOff>19050</xdr:rowOff>
    </xdr:from>
    <xdr:to>
      <xdr:col>24</xdr:col>
      <xdr:colOff>47625</xdr:colOff>
      <xdr:row>481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487</xdr:row>
      <xdr:rowOff>19050</xdr:rowOff>
    </xdr:from>
    <xdr:to>
      <xdr:col>24</xdr:col>
      <xdr:colOff>47625</xdr:colOff>
      <xdr:row>487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513</xdr:row>
      <xdr:rowOff>19050</xdr:rowOff>
    </xdr:from>
    <xdr:to>
      <xdr:col>24</xdr:col>
      <xdr:colOff>47625</xdr:colOff>
      <xdr:row>513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627</xdr:row>
      <xdr:rowOff>19050</xdr:rowOff>
    </xdr:from>
    <xdr:to>
      <xdr:col>24</xdr:col>
      <xdr:colOff>47625</xdr:colOff>
      <xdr:row>627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628</xdr:row>
      <xdr:rowOff>19050</xdr:rowOff>
    </xdr:from>
    <xdr:to>
      <xdr:col>24</xdr:col>
      <xdr:colOff>47625</xdr:colOff>
      <xdr:row>628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629</xdr:row>
      <xdr:rowOff>19050</xdr:rowOff>
    </xdr:from>
    <xdr:to>
      <xdr:col>24</xdr:col>
      <xdr:colOff>47625</xdr:colOff>
      <xdr:row>629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636</xdr:row>
      <xdr:rowOff>19050</xdr:rowOff>
    </xdr:from>
    <xdr:to>
      <xdr:col>24</xdr:col>
      <xdr:colOff>47625</xdr:colOff>
      <xdr:row>636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637</xdr:row>
      <xdr:rowOff>19050</xdr:rowOff>
    </xdr:from>
    <xdr:to>
      <xdr:col>24</xdr:col>
      <xdr:colOff>47625</xdr:colOff>
      <xdr:row>637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674</xdr:row>
      <xdr:rowOff>19050</xdr:rowOff>
    </xdr:from>
    <xdr:to>
      <xdr:col>24</xdr:col>
      <xdr:colOff>47625</xdr:colOff>
      <xdr:row>674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675</xdr:row>
      <xdr:rowOff>19050</xdr:rowOff>
    </xdr:from>
    <xdr:to>
      <xdr:col>24</xdr:col>
      <xdr:colOff>47625</xdr:colOff>
      <xdr:row>675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676</xdr:row>
      <xdr:rowOff>19050</xdr:rowOff>
    </xdr:from>
    <xdr:to>
      <xdr:col>24</xdr:col>
      <xdr:colOff>47625</xdr:colOff>
      <xdr:row>676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677</xdr:row>
      <xdr:rowOff>19050</xdr:rowOff>
    </xdr:from>
    <xdr:to>
      <xdr:col>24</xdr:col>
      <xdr:colOff>47625</xdr:colOff>
      <xdr:row>677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678</xdr:row>
      <xdr:rowOff>19050</xdr:rowOff>
    </xdr:from>
    <xdr:to>
      <xdr:col>24</xdr:col>
      <xdr:colOff>47625</xdr:colOff>
      <xdr:row>678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679</xdr:row>
      <xdr:rowOff>19050</xdr:rowOff>
    </xdr:from>
    <xdr:to>
      <xdr:col>24</xdr:col>
      <xdr:colOff>47625</xdr:colOff>
      <xdr:row>679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665</xdr:row>
      <xdr:rowOff>19050</xdr:rowOff>
    </xdr:from>
    <xdr:to>
      <xdr:col>24</xdr:col>
      <xdr:colOff>47625</xdr:colOff>
      <xdr:row>665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666</xdr:row>
      <xdr:rowOff>19050</xdr:rowOff>
    </xdr:from>
    <xdr:to>
      <xdr:col>24</xdr:col>
      <xdr:colOff>47625</xdr:colOff>
      <xdr:row>666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667</xdr:row>
      <xdr:rowOff>19050</xdr:rowOff>
    </xdr:from>
    <xdr:to>
      <xdr:col>24</xdr:col>
      <xdr:colOff>47625</xdr:colOff>
      <xdr:row>667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668</xdr:row>
      <xdr:rowOff>19050</xdr:rowOff>
    </xdr:from>
    <xdr:to>
      <xdr:col>24</xdr:col>
      <xdr:colOff>47625</xdr:colOff>
      <xdr:row>668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661</xdr:row>
      <xdr:rowOff>19050</xdr:rowOff>
    </xdr:from>
    <xdr:to>
      <xdr:col>24</xdr:col>
      <xdr:colOff>47625</xdr:colOff>
      <xdr:row>661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660</xdr:row>
      <xdr:rowOff>19050</xdr:rowOff>
    </xdr:from>
    <xdr:to>
      <xdr:col>24</xdr:col>
      <xdr:colOff>47625</xdr:colOff>
      <xdr:row>660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658</xdr:row>
      <xdr:rowOff>19050</xdr:rowOff>
    </xdr:from>
    <xdr:to>
      <xdr:col>24</xdr:col>
      <xdr:colOff>47625</xdr:colOff>
      <xdr:row>658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657</xdr:row>
      <xdr:rowOff>19050</xdr:rowOff>
    </xdr:from>
    <xdr:to>
      <xdr:col>24</xdr:col>
      <xdr:colOff>47625</xdr:colOff>
      <xdr:row>657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656</xdr:row>
      <xdr:rowOff>19050</xdr:rowOff>
    </xdr:from>
    <xdr:to>
      <xdr:col>24</xdr:col>
      <xdr:colOff>47625</xdr:colOff>
      <xdr:row>656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655</xdr:row>
      <xdr:rowOff>19050</xdr:rowOff>
    </xdr:from>
    <xdr:to>
      <xdr:col>24</xdr:col>
      <xdr:colOff>47625</xdr:colOff>
      <xdr:row>655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281</xdr:row>
      <xdr:rowOff>19050</xdr:rowOff>
    </xdr:from>
    <xdr:to>
      <xdr:col>24</xdr:col>
      <xdr:colOff>47625</xdr:colOff>
      <xdr:row>281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283</xdr:row>
      <xdr:rowOff>19050</xdr:rowOff>
    </xdr:from>
    <xdr:to>
      <xdr:col>26</xdr:col>
      <xdr:colOff>9524</xdr:colOff>
      <xdr:row>283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231</xdr:row>
      <xdr:rowOff>19050</xdr:rowOff>
    </xdr:from>
    <xdr:to>
      <xdr:col>24</xdr:col>
      <xdr:colOff>47625</xdr:colOff>
      <xdr:row>231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230</xdr:row>
      <xdr:rowOff>19050</xdr:rowOff>
    </xdr:from>
    <xdr:to>
      <xdr:col>24</xdr:col>
      <xdr:colOff>47625</xdr:colOff>
      <xdr:row>230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228</xdr:row>
      <xdr:rowOff>19050</xdr:rowOff>
    </xdr:from>
    <xdr:to>
      <xdr:col>24</xdr:col>
      <xdr:colOff>47625</xdr:colOff>
      <xdr:row>228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188</xdr:row>
      <xdr:rowOff>19050</xdr:rowOff>
    </xdr:from>
    <xdr:to>
      <xdr:col>26</xdr:col>
      <xdr:colOff>9524</xdr:colOff>
      <xdr:row>188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181</xdr:row>
      <xdr:rowOff>19050</xdr:rowOff>
    </xdr:from>
    <xdr:to>
      <xdr:col>24</xdr:col>
      <xdr:colOff>47625</xdr:colOff>
      <xdr:row>181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154</xdr:row>
      <xdr:rowOff>19050</xdr:rowOff>
    </xdr:from>
    <xdr:to>
      <xdr:col>26</xdr:col>
      <xdr:colOff>9524</xdr:colOff>
      <xdr:row>154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151</xdr:row>
      <xdr:rowOff>19050</xdr:rowOff>
    </xdr:from>
    <xdr:to>
      <xdr:col>9</xdr:col>
      <xdr:colOff>9526</xdr:colOff>
      <xdr:row>151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152</xdr:row>
      <xdr:rowOff>19050</xdr:rowOff>
    </xdr:from>
    <xdr:to>
      <xdr:col>9</xdr:col>
      <xdr:colOff>9526</xdr:colOff>
      <xdr:row>152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154</xdr:row>
      <xdr:rowOff>19050</xdr:rowOff>
    </xdr:from>
    <xdr:to>
      <xdr:col>9</xdr:col>
      <xdr:colOff>9526</xdr:colOff>
      <xdr:row>154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145</xdr:row>
      <xdr:rowOff>19050</xdr:rowOff>
    </xdr:from>
    <xdr:to>
      <xdr:col>26</xdr:col>
      <xdr:colOff>447675</xdr:colOff>
      <xdr:row>145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144</xdr:row>
      <xdr:rowOff>19050</xdr:rowOff>
    </xdr:from>
    <xdr:to>
      <xdr:col>26</xdr:col>
      <xdr:colOff>9524</xdr:colOff>
      <xdr:row>144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144</xdr:row>
      <xdr:rowOff>19050</xdr:rowOff>
    </xdr:from>
    <xdr:to>
      <xdr:col>26</xdr:col>
      <xdr:colOff>447675</xdr:colOff>
      <xdr:row>144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145</xdr:row>
      <xdr:rowOff>19050</xdr:rowOff>
    </xdr:from>
    <xdr:to>
      <xdr:col>26</xdr:col>
      <xdr:colOff>9524</xdr:colOff>
      <xdr:row>145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146</xdr:row>
      <xdr:rowOff>19050</xdr:rowOff>
    </xdr:from>
    <xdr:to>
      <xdr:col>26</xdr:col>
      <xdr:colOff>447675</xdr:colOff>
      <xdr:row>146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105</xdr:row>
      <xdr:rowOff>19050</xdr:rowOff>
    </xdr:from>
    <xdr:to>
      <xdr:col>25</xdr:col>
      <xdr:colOff>380999</xdr:colOff>
      <xdr:row>105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107</xdr:row>
      <xdr:rowOff>19050</xdr:rowOff>
    </xdr:from>
    <xdr:to>
      <xdr:col>25</xdr:col>
      <xdr:colOff>380999</xdr:colOff>
      <xdr:row>107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120</xdr:row>
      <xdr:rowOff>19050</xdr:rowOff>
    </xdr:from>
    <xdr:to>
      <xdr:col>26</xdr:col>
      <xdr:colOff>9524</xdr:colOff>
      <xdr:row>120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121</xdr:row>
      <xdr:rowOff>19050</xdr:rowOff>
    </xdr:from>
    <xdr:to>
      <xdr:col>26</xdr:col>
      <xdr:colOff>9524</xdr:colOff>
      <xdr:row>121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122</xdr:row>
      <xdr:rowOff>19050</xdr:rowOff>
    </xdr:from>
    <xdr:to>
      <xdr:col>26</xdr:col>
      <xdr:colOff>9524</xdr:colOff>
      <xdr:row>122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</xdr:row>
      <xdr:rowOff>19050</xdr:rowOff>
    </xdr:from>
    <xdr:to>
      <xdr:col>24</xdr:col>
      <xdr:colOff>47625</xdr:colOff>
      <xdr:row>62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101</xdr:row>
      <xdr:rowOff>19050</xdr:rowOff>
    </xdr:from>
    <xdr:to>
      <xdr:col>26</xdr:col>
      <xdr:colOff>9524</xdr:colOff>
      <xdr:row>101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67</xdr:row>
      <xdr:rowOff>19050</xdr:rowOff>
    </xdr:from>
    <xdr:to>
      <xdr:col>25</xdr:col>
      <xdr:colOff>323849</xdr:colOff>
      <xdr:row>67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68</xdr:row>
      <xdr:rowOff>19050</xdr:rowOff>
    </xdr:from>
    <xdr:to>
      <xdr:col>25</xdr:col>
      <xdr:colOff>323849</xdr:colOff>
      <xdr:row>68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68</xdr:row>
      <xdr:rowOff>19050</xdr:rowOff>
    </xdr:from>
    <xdr:to>
      <xdr:col>24</xdr:col>
      <xdr:colOff>114300</xdr:colOff>
      <xdr:row>68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68</xdr:row>
      <xdr:rowOff>19050</xdr:rowOff>
    </xdr:from>
    <xdr:to>
      <xdr:col>5</xdr:col>
      <xdr:colOff>194</xdr:colOff>
      <xdr:row>68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67</xdr:row>
      <xdr:rowOff>19049</xdr:rowOff>
    </xdr:from>
    <xdr:to>
      <xdr:col>24</xdr:col>
      <xdr:colOff>466725</xdr:colOff>
      <xdr:row>67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71</xdr:row>
      <xdr:rowOff>95250</xdr:rowOff>
    </xdr:from>
    <xdr:to>
      <xdr:col>24</xdr:col>
      <xdr:colOff>123825</xdr:colOff>
      <xdr:row>72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71</xdr:row>
      <xdr:rowOff>95250</xdr:rowOff>
    </xdr:from>
    <xdr:to>
      <xdr:col>24</xdr:col>
      <xdr:colOff>466725</xdr:colOff>
      <xdr:row>72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71</xdr:row>
      <xdr:rowOff>95250</xdr:rowOff>
    </xdr:from>
    <xdr:to>
      <xdr:col>25</xdr:col>
      <xdr:colOff>333374</xdr:colOff>
      <xdr:row>72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</xdr:row>
      <xdr:rowOff>95250</xdr:rowOff>
    </xdr:from>
    <xdr:to>
      <xdr:col>23</xdr:col>
      <xdr:colOff>542925</xdr:colOff>
      <xdr:row>72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68</xdr:row>
      <xdr:rowOff>19050</xdr:rowOff>
    </xdr:from>
    <xdr:to>
      <xdr:col>23</xdr:col>
      <xdr:colOff>552450</xdr:colOff>
      <xdr:row>68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</xdr:row>
      <xdr:rowOff>19050</xdr:rowOff>
    </xdr:from>
    <xdr:to>
      <xdr:col>10</xdr:col>
      <xdr:colOff>930</xdr:colOff>
      <xdr:row>70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69</xdr:row>
      <xdr:rowOff>19050</xdr:rowOff>
    </xdr:from>
    <xdr:to>
      <xdr:col>5</xdr:col>
      <xdr:colOff>194</xdr:colOff>
      <xdr:row>69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469</xdr:row>
      <xdr:rowOff>19050</xdr:rowOff>
    </xdr:from>
    <xdr:to>
      <xdr:col>24</xdr:col>
      <xdr:colOff>47625</xdr:colOff>
      <xdr:row>469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470</xdr:row>
      <xdr:rowOff>19050</xdr:rowOff>
    </xdr:from>
    <xdr:to>
      <xdr:col>24</xdr:col>
      <xdr:colOff>47625</xdr:colOff>
      <xdr:row>470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125</xdr:row>
      <xdr:rowOff>19050</xdr:rowOff>
    </xdr:from>
    <xdr:to>
      <xdr:col>24</xdr:col>
      <xdr:colOff>47625</xdr:colOff>
      <xdr:row>125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468</xdr:row>
      <xdr:rowOff>19050</xdr:rowOff>
    </xdr:from>
    <xdr:to>
      <xdr:col>24</xdr:col>
      <xdr:colOff>47625</xdr:colOff>
      <xdr:row>468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631</xdr:row>
      <xdr:rowOff>19050</xdr:rowOff>
    </xdr:from>
    <xdr:to>
      <xdr:col>24</xdr:col>
      <xdr:colOff>47625</xdr:colOff>
      <xdr:row>631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325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662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632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633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659</xdr:row>
      <xdr:rowOff>19050</xdr:rowOff>
    </xdr:from>
    <xdr:to>
      <xdr:col>24</xdr:col>
      <xdr:colOff>47625</xdr:colOff>
      <xdr:row>659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486</xdr:row>
      <xdr:rowOff>19050</xdr:rowOff>
    </xdr:from>
    <xdr:to>
      <xdr:col>24</xdr:col>
      <xdr:colOff>47625</xdr:colOff>
      <xdr:row>486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361</xdr:row>
      <xdr:rowOff>28575</xdr:rowOff>
    </xdr:from>
    <xdr:to>
      <xdr:col>1</xdr:col>
      <xdr:colOff>0</xdr:colOff>
      <xdr:row>361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489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624</xdr:row>
      <xdr:rowOff>19050</xdr:rowOff>
    </xdr:from>
    <xdr:to>
      <xdr:col>24</xdr:col>
      <xdr:colOff>47625</xdr:colOff>
      <xdr:row>624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625</xdr:row>
      <xdr:rowOff>19050</xdr:rowOff>
    </xdr:from>
    <xdr:to>
      <xdr:col>24</xdr:col>
      <xdr:colOff>47625</xdr:colOff>
      <xdr:row>625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56</xdr:row>
      <xdr:rowOff>28575</xdr:rowOff>
    </xdr:from>
    <xdr:to>
      <xdr:col>1</xdr:col>
      <xdr:colOff>0</xdr:colOff>
      <xdr:row>56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232</xdr:row>
      <xdr:rowOff>19050</xdr:rowOff>
    </xdr:from>
    <xdr:to>
      <xdr:col>24</xdr:col>
      <xdr:colOff>47625</xdr:colOff>
      <xdr:row>232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232</xdr:row>
      <xdr:rowOff>19050</xdr:rowOff>
    </xdr:from>
    <xdr:to>
      <xdr:col>26</xdr:col>
      <xdr:colOff>9524</xdr:colOff>
      <xdr:row>232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321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548</xdr:row>
      <xdr:rowOff>19050</xdr:rowOff>
    </xdr:from>
    <xdr:to>
      <xdr:col>24</xdr:col>
      <xdr:colOff>48389</xdr:colOff>
      <xdr:row>548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542</xdr:row>
      <xdr:rowOff>19050</xdr:rowOff>
    </xdr:from>
    <xdr:to>
      <xdr:col>24</xdr:col>
      <xdr:colOff>48389</xdr:colOff>
      <xdr:row>542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539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551</xdr:row>
      <xdr:rowOff>19050</xdr:rowOff>
    </xdr:from>
    <xdr:to>
      <xdr:col>24</xdr:col>
      <xdr:colOff>47625</xdr:colOff>
      <xdr:row>551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298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275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322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307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420</xdr:row>
      <xdr:rowOff>19050</xdr:rowOff>
    </xdr:from>
    <xdr:to>
      <xdr:col>24</xdr:col>
      <xdr:colOff>47625</xdr:colOff>
      <xdr:row>420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634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137</xdr:row>
      <xdr:rowOff>19050</xdr:rowOff>
    </xdr:from>
    <xdr:to>
      <xdr:col>10</xdr:col>
      <xdr:colOff>1</xdr:colOff>
      <xdr:row>137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138</xdr:row>
      <xdr:rowOff>19050</xdr:rowOff>
    </xdr:from>
    <xdr:to>
      <xdr:col>10</xdr:col>
      <xdr:colOff>1</xdr:colOff>
      <xdr:row>138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139</xdr:row>
      <xdr:rowOff>19050</xdr:rowOff>
    </xdr:from>
    <xdr:to>
      <xdr:col>10</xdr:col>
      <xdr:colOff>1</xdr:colOff>
      <xdr:row>139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651</xdr:row>
      <xdr:rowOff>19050</xdr:rowOff>
    </xdr:from>
    <xdr:to>
      <xdr:col>10</xdr:col>
      <xdr:colOff>1</xdr:colOff>
      <xdr:row>651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592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652</xdr:row>
      <xdr:rowOff>19050</xdr:rowOff>
    </xdr:from>
    <xdr:to>
      <xdr:col>10</xdr:col>
      <xdr:colOff>1</xdr:colOff>
      <xdr:row>652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653</xdr:row>
      <xdr:rowOff>19050</xdr:rowOff>
    </xdr:from>
    <xdr:to>
      <xdr:col>10</xdr:col>
      <xdr:colOff>1</xdr:colOff>
      <xdr:row>653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646</xdr:row>
      <xdr:rowOff>19050</xdr:rowOff>
    </xdr:from>
    <xdr:to>
      <xdr:col>10</xdr:col>
      <xdr:colOff>1</xdr:colOff>
      <xdr:row>646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626</xdr:row>
      <xdr:rowOff>19050</xdr:rowOff>
    </xdr:from>
    <xdr:to>
      <xdr:col>24</xdr:col>
      <xdr:colOff>47625</xdr:colOff>
      <xdr:row>626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635</xdr:row>
      <xdr:rowOff>19050</xdr:rowOff>
    </xdr:from>
    <xdr:to>
      <xdr:col>10</xdr:col>
      <xdr:colOff>1</xdr:colOff>
      <xdr:row>635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636</xdr:row>
      <xdr:rowOff>19050</xdr:rowOff>
    </xdr:from>
    <xdr:to>
      <xdr:col>10</xdr:col>
      <xdr:colOff>1</xdr:colOff>
      <xdr:row>636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637</xdr:row>
      <xdr:rowOff>19050</xdr:rowOff>
    </xdr:from>
    <xdr:to>
      <xdr:col>10</xdr:col>
      <xdr:colOff>1</xdr:colOff>
      <xdr:row>637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689</xdr:row>
      <xdr:rowOff>19050</xdr:rowOff>
    </xdr:from>
    <xdr:to>
      <xdr:col>10</xdr:col>
      <xdr:colOff>1</xdr:colOff>
      <xdr:row>689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295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68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67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67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67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67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69</xdr:row>
      <xdr:rowOff>19050</xdr:rowOff>
    </xdr:from>
    <xdr:to>
      <xdr:col>24</xdr:col>
      <xdr:colOff>114300</xdr:colOff>
      <xdr:row>69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69</xdr:row>
      <xdr:rowOff>19050</xdr:rowOff>
    </xdr:from>
    <xdr:to>
      <xdr:col>23</xdr:col>
      <xdr:colOff>552450</xdr:colOff>
      <xdr:row>69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69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219</xdr:row>
      <xdr:rowOff>28575</xdr:rowOff>
    </xdr:from>
    <xdr:to>
      <xdr:col>1</xdr:col>
      <xdr:colOff>0</xdr:colOff>
      <xdr:row>219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218</xdr:row>
      <xdr:rowOff>19050</xdr:rowOff>
    </xdr:from>
    <xdr:to>
      <xdr:col>10</xdr:col>
      <xdr:colOff>1</xdr:colOff>
      <xdr:row>218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216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282</xdr:row>
      <xdr:rowOff>19050</xdr:rowOff>
    </xdr:from>
    <xdr:to>
      <xdr:col>24</xdr:col>
      <xdr:colOff>47625</xdr:colOff>
      <xdr:row>282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132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442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645</xdr:row>
      <xdr:rowOff>19050</xdr:rowOff>
    </xdr:from>
    <xdr:to>
      <xdr:col>10</xdr:col>
      <xdr:colOff>1</xdr:colOff>
      <xdr:row>645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221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61</xdr:row>
      <xdr:rowOff>19050</xdr:rowOff>
    </xdr:from>
    <xdr:to>
      <xdr:col>24</xdr:col>
      <xdr:colOff>47624</xdr:colOff>
      <xdr:row>61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47624</xdr:colOff>
      <xdr:row>66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225</xdr:row>
      <xdr:rowOff>19050</xdr:rowOff>
    </xdr:from>
    <xdr:to>
      <xdr:col>24</xdr:col>
      <xdr:colOff>47624</xdr:colOff>
      <xdr:row>225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295</xdr:row>
      <xdr:rowOff>19050</xdr:rowOff>
    </xdr:from>
    <xdr:to>
      <xdr:col>25</xdr:col>
      <xdr:colOff>83819</xdr:colOff>
      <xdr:row>295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297</xdr:row>
      <xdr:rowOff>19050</xdr:rowOff>
    </xdr:from>
    <xdr:to>
      <xdr:col>25</xdr:col>
      <xdr:colOff>83819</xdr:colOff>
      <xdr:row>297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298</xdr:row>
      <xdr:rowOff>19050</xdr:rowOff>
    </xdr:from>
    <xdr:to>
      <xdr:col>25</xdr:col>
      <xdr:colOff>83819</xdr:colOff>
      <xdr:row>298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307</xdr:row>
      <xdr:rowOff>19050</xdr:rowOff>
    </xdr:from>
    <xdr:to>
      <xdr:col>25</xdr:col>
      <xdr:colOff>83819</xdr:colOff>
      <xdr:row>307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313</xdr:row>
      <xdr:rowOff>19050</xdr:rowOff>
    </xdr:from>
    <xdr:to>
      <xdr:col>25</xdr:col>
      <xdr:colOff>83819</xdr:colOff>
      <xdr:row>313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320</xdr:row>
      <xdr:rowOff>19050</xdr:rowOff>
    </xdr:from>
    <xdr:to>
      <xdr:col>25</xdr:col>
      <xdr:colOff>83819</xdr:colOff>
      <xdr:row>320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321</xdr:row>
      <xdr:rowOff>19050</xdr:rowOff>
    </xdr:from>
    <xdr:to>
      <xdr:col>25</xdr:col>
      <xdr:colOff>83819</xdr:colOff>
      <xdr:row>321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322</xdr:row>
      <xdr:rowOff>19050</xdr:rowOff>
    </xdr:from>
    <xdr:to>
      <xdr:col>25</xdr:col>
      <xdr:colOff>83819</xdr:colOff>
      <xdr:row>322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680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681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268</xdr:row>
      <xdr:rowOff>19050</xdr:rowOff>
    </xdr:from>
    <xdr:to>
      <xdr:col>24</xdr:col>
      <xdr:colOff>47624</xdr:colOff>
      <xdr:row>268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276</xdr:row>
      <xdr:rowOff>19050</xdr:rowOff>
    </xdr:from>
    <xdr:to>
      <xdr:col>24</xdr:col>
      <xdr:colOff>47625</xdr:colOff>
      <xdr:row>276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275</xdr:row>
      <xdr:rowOff>19050</xdr:rowOff>
    </xdr:from>
    <xdr:to>
      <xdr:col>26</xdr:col>
      <xdr:colOff>9524</xdr:colOff>
      <xdr:row>275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282</xdr:row>
      <xdr:rowOff>19050</xdr:rowOff>
    </xdr:from>
    <xdr:to>
      <xdr:col>26</xdr:col>
      <xdr:colOff>9524</xdr:colOff>
      <xdr:row>282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153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406</xdr:row>
      <xdr:rowOff>19050</xdr:rowOff>
    </xdr:from>
    <xdr:to>
      <xdr:col>24</xdr:col>
      <xdr:colOff>47625</xdr:colOff>
      <xdr:row>406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365</xdr:row>
      <xdr:rowOff>19050</xdr:rowOff>
    </xdr:from>
    <xdr:to>
      <xdr:col>26</xdr:col>
      <xdr:colOff>9524</xdr:colOff>
      <xdr:row>365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52</xdr:row>
      <xdr:rowOff>19050</xdr:rowOff>
    </xdr:from>
    <xdr:to>
      <xdr:col>26</xdr:col>
      <xdr:colOff>9524</xdr:colOff>
      <xdr:row>52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17</xdr:row>
      <xdr:rowOff>19050</xdr:rowOff>
    </xdr:from>
    <xdr:to>
      <xdr:col>9</xdr:col>
      <xdr:colOff>12838</xdr:colOff>
      <xdr:row>17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143</xdr:row>
      <xdr:rowOff>19050</xdr:rowOff>
    </xdr:from>
    <xdr:to>
      <xdr:col>26</xdr:col>
      <xdr:colOff>9524</xdr:colOff>
      <xdr:row>143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143</xdr:row>
      <xdr:rowOff>19050</xdr:rowOff>
    </xdr:from>
    <xdr:to>
      <xdr:col>26</xdr:col>
      <xdr:colOff>447675</xdr:colOff>
      <xdr:row>143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147</xdr:row>
      <xdr:rowOff>19050</xdr:rowOff>
    </xdr:from>
    <xdr:to>
      <xdr:col>26</xdr:col>
      <xdr:colOff>447675</xdr:colOff>
      <xdr:row>147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630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052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407</xdr:row>
      <xdr:rowOff>19050</xdr:rowOff>
    </xdr:from>
    <xdr:to>
      <xdr:col>24</xdr:col>
      <xdr:colOff>47625</xdr:colOff>
      <xdr:row>407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184</xdr:row>
      <xdr:rowOff>19050</xdr:rowOff>
    </xdr:from>
    <xdr:to>
      <xdr:col>24</xdr:col>
      <xdr:colOff>47625</xdr:colOff>
      <xdr:row>184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447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227</xdr:row>
      <xdr:rowOff>28575</xdr:rowOff>
    </xdr:from>
    <xdr:to>
      <xdr:col>1</xdr:col>
      <xdr:colOff>0</xdr:colOff>
      <xdr:row>227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</xdr:row>
      <xdr:rowOff>19050</xdr:rowOff>
    </xdr:from>
    <xdr:to>
      <xdr:col>10</xdr:col>
      <xdr:colOff>930</xdr:colOff>
      <xdr:row>64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</xdr:row>
      <xdr:rowOff>19050</xdr:rowOff>
    </xdr:from>
    <xdr:to>
      <xdr:col>10</xdr:col>
      <xdr:colOff>930</xdr:colOff>
      <xdr:row>65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663</xdr:row>
      <xdr:rowOff>19050</xdr:rowOff>
    </xdr:from>
    <xdr:to>
      <xdr:col>10</xdr:col>
      <xdr:colOff>1</xdr:colOff>
      <xdr:row>663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664</xdr:row>
      <xdr:rowOff>19050</xdr:rowOff>
    </xdr:from>
    <xdr:to>
      <xdr:col>10</xdr:col>
      <xdr:colOff>1</xdr:colOff>
      <xdr:row>664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665</xdr:row>
      <xdr:rowOff>19050</xdr:rowOff>
    </xdr:from>
    <xdr:to>
      <xdr:col>10</xdr:col>
      <xdr:colOff>1</xdr:colOff>
      <xdr:row>665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666</xdr:row>
      <xdr:rowOff>19050</xdr:rowOff>
    </xdr:from>
    <xdr:to>
      <xdr:col>10</xdr:col>
      <xdr:colOff>1</xdr:colOff>
      <xdr:row>666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667</xdr:row>
      <xdr:rowOff>19050</xdr:rowOff>
    </xdr:from>
    <xdr:to>
      <xdr:col>10</xdr:col>
      <xdr:colOff>1</xdr:colOff>
      <xdr:row>667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668</xdr:row>
      <xdr:rowOff>19050</xdr:rowOff>
    </xdr:from>
    <xdr:to>
      <xdr:col>10</xdr:col>
      <xdr:colOff>1</xdr:colOff>
      <xdr:row>668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303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305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323</xdr:row>
      <xdr:rowOff>19050</xdr:rowOff>
    </xdr:from>
    <xdr:to>
      <xdr:col>25</xdr:col>
      <xdr:colOff>74294</xdr:colOff>
      <xdr:row>323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292</xdr:row>
      <xdr:rowOff>19050</xdr:rowOff>
    </xdr:from>
    <xdr:to>
      <xdr:col>25</xdr:col>
      <xdr:colOff>83819</xdr:colOff>
      <xdr:row>292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409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293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573</xdr:row>
      <xdr:rowOff>19050</xdr:rowOff>
    </xdr:from>
    <xdr:to>
      <xdr:col>24</xdr:col>
      <xdr:colOff>75821</xdr:colOff>
      <xdr:row>573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577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588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589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596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597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604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599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500</xdr:row>
      <xdr:rowOff>19050</xdr:rowOff>
    </xdr:from>
    <xdr:to>
      <xdr:col>24</xdr:col>
      <xdr:colOff>75821</xdr:colOff>
      <xdr:row>500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515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501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502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503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498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499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504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505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508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496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497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595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190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191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194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194</xdr:row>
      <xdr:rowOff>19050</xdr:rowOff>
    </xdr:from>
    <xdr:to>
      <xdr:col>26</xdr:col>
      <xdr:colOff>9524</xdr:colOff>
      <xdr:row>194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192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193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284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432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549</xdr:row>
      <xdr:rowOff>19050</xdr:rowOff>
    </xdr:from>
    <xdr:to>
      <xdr:col>24</xdr:col>
      <xdr:colOff>47625</xdr:colOff>
      <xdr:row>549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546</xdr:row>
      <xdr:rowOff>19050</xdr:rowOff>
    </xdr:from>
    <xdr:to>
      <xdr:col>24</xdr:col>
      <xdr:colOff>47625</xdr:colOff>
      <xdr:row>546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541</xdr:row>
      <xdr:rowOff>19050</xdr:rowOff>
    </xdr:from>
    <xdr:to>
      <xdr:col>24</xdr:col>
      <xdr:colOff>47625</xdr:colOff>
      <xdr:row>541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531</xdr:row>
      <xdr:rowOff>19050</xdr:rowOff>
    </xdr:from>
    <xdr:to>
      <xdr:col>24</xdr:col>
      <xdr:colOff>47625</xdr:colOff>
      <xdr:row>531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529</xdr:row>
      <xdr:rowOff>19050</xdr:rowOff>
    </xdr:from>
    <xdr:to>
      <xdr:col>24</xdr:col>
      <xdr:colOff>47625</xdr:colOff>
      <xdr:row>529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310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310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183</xdr:row>
      <xdr:rowOff>19050</xdr:rowOff>
    </xdr:from>
    <xdr:to>
      <xdr:col>24</xdr:col>
      <xdr:colOff>47625</xdr:colOff>
      <xdr:row>183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182</xdr:row>
      <xdr:rowOff>19050</xdr:rowOff>
    </xdr:from>
    <xdr:to>
      <xdr:col>24</xdr:col>
      <xdr:colOff>47625</xdr:colOff>
      <xdr:row>182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491</xdr:row>
      <xdr:rowOff>19050</xdr:rowOff>
    </xdr:from>
    <xdr:to>
      <xdr:col>11</xdr:col>
      <xdr:colOff>9525</xdr:colOff>
      <xdr:row>491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492</xdr:row>
      <xdr:rowOff>19050</xdr:rowOff>
    </xdr:from>
    <xdr:to>
      <xdr:col>11</xdr:col>
      <xdr:colOff>9525</xdr:colOff>
      <xdr:row>492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493</xdr:row>
      <xdr:rowOff>19050</xdr:rowOff>
    </xdr:from>
    <xdr:to>
      <xdr:col>11</xdr:col>
      <xdr:colOff>9525</xdr:colOff>
      <xdr:row>493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494</xdr:row>
      <xdr:rowOff>19050</xdr:rowOff>
    </xdr:from>
    <xdr:to>
      <xdr:col>11</xdr:col>
      <xdr:colOff>9525</xdr:colOff>
      <xdr:row>494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114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496</xdr:row>
      <xdr:rowOff>19050</xdr:rowOff>
    </xdr:from>
    <xdr:to>
      <xdr:col>11</xdr:col>
      <xdr:colOff>9525</xdr:colOff>
      <xdr:row>496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497</xdr:row>
      <xdr:rowOff>19050</xdr:rowOff>
    </xdr:from>
    <xdr:to>
      <xdr:col>11</xdr:col>
      <xdr:colOff>9525</xdr:colOff>
      <xdr:row>497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279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584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585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208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514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614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528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544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545</xdr:row>
      <xdr:rowOff>19050</xdr:rowOff>
    </xdr:from>
    <xdr:to>
      <xdr:col>24</xdr:col>
      <xdr:colOff>48389</xdr:colOff>
      <xdr:row>545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410</xdr:row>
      <xdr:rowOff>19050</xdr:rowOff>
    </xdr:from>
    <xdr:to>
      <xdr:col>24</xdr:col>
      <xdr:colOff>47625</xdr:colOff>
      <xdr:row>410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411</xdr:row>
      <xdr:rowOff>19050</xdr:rowOff>
    </xdr:from>
    <xdr:to>
      <xdr:col>24</xdr:col>
      <xdr:colOff>47625</xdr:colOff>
      <xdr:row>411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404</xdr:row>
      <xdr:rowOff>16566</xdr:rowOff>
    </xdr:from>
    <xdr:to>
      <xdr:col>24</xdr:col>
      <xdr:colOff>46383</xdr:colOff>
      <xdr:row>404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5231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135</xdr:row>
      <xdr:rowOff>19050</xdr:rowOff>
    </xdr:from>
    <xdr:to>
      <xdr:col>10</xdr:col>
      <xdr:colOff>1</xdr:colOff>
      <xdr:row>135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136</xdr:row>
      <xdr:rowOff>19050</xdr:rowOff>
    </xdr:from>
    <xdr:to>
      <xdr:col>10</xdr:col>
      <xdr:colOff>1</xdr:colOff>
      <xdr:row>136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372</xdr:row>
      <xdr:rowOff>16566</xdr:rowOff>
    </xdr:from>
    <xdr:to>
      <xdr:col>24</xdr:col>
      <xdr:colOff>46383</xdr:colOff>
      <xdr:row>372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540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290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290</xdr:row>
      <xdr:rowOff>16566</xdr:rowOff>
    </xdr:from>
    <xdr:to>
      <xdr:col>25</xdr:col>
      <xdr:colOff>82577</xdr:colOff>
      <xdr:row>290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722</xdr:row>
      <xdr:rowOff>19050</xdr:rowOff>
    </xdr:from>
    <xdr:to>
      <xdr:col>13</xdr:col>
      <xdr:colOff>1</xdr:colOff>
      <xdr:row>722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723</xdr:row>
      <xdr:rowOff>19050</xdr:rowOff>
    </xdr:from>
    <xdr:to>
      <xdr:col>13</xdr:col>
      <xdr:colOff>1</xdr:colOff>
      <xdr:row>723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724</xdr:row>
      <xdr:rowOff>19050</xdr:rowOff>
    </xdr:from>
    <xdr:to>
      <xdr:col>13</xdr:col>
      <xdr:colOff>1</xdr:colOff>
      <xdr:row>724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383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457</xdr:row>
      <xdr:rowOff>19050</xdr:rowOff>
    </xdr:from>
    <xdr:to>
      <xdr:col>24</xdr:col>
      <xdr:colOff>47625</xdr:colOff>
      <xdr:row>457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458</xdr:row>
      <xdr:rowOff>19050</xdr:rowOff>
    </xdr:from>
    <xdr:to>
      <xdr:col>24</xdr:col>
      <xdr:colOff>47625</xdr:colOff>
      <xdr:row>458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99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382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526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23</xdr:row>
      <xdr:rowOff>19050</xdr:rowOff>
    </xdr:from>
    <xdr:to>
      <xdr:col>9</xdr:col>
      <xdr:colOff>12838</xdr:colOff>
      <xdr:row>23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538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537</xdr:row>
      <xdr:rowOff>19050</xdr:rowOff>
    </xdr:from>
    <xdr:to>
      <xdr:col>24</xdr:col>
      <xdr:colOff>47625</xdr:colOff>
      <xdr:row>537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444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433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411</xdr:row>
      <xdr:rowOff>28575</xdr:rowOff>
    </xdr:from>
    <xdr:to>
      <xdr:col>1</xdr:col>
      <xdr:colOff>0</xdr:colOff>
      <xdr:row>411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292</xdr:row>
      <xdr:rowOff>19050</xdr:rowOff>
    </xdr:from>
    <xdr:to>
      <xdr:col>24</xdr:col>
      <xdr:colOff>47624</xdr:colOff>
      <xdr:row>292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293</xdr:row>
      <xdr:rowOff>19050</xdr:rowOff>
    </xdr:from>
    <xdr:to>
      <xdr:col>24</xdr:col>
      <xdr:colOff>47624</xdr:colOff>
      <xdr:row>293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47624</xdr:colOff>
      <xdr:row>313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296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586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587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516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358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427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426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430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429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359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360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615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525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523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653</xdr:row>
      <xdr:rowOff>19050</xdr:rowOff>
    </xdr:from>
    <xdr:to>
      <xdr:col>24</xdr:col>
      <xdr:colOff>49180</xdr:colOff>
      <xdr:row>653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652</xdr:row>
      <xdr:rowOff>19050</xdr:rowOff>
    </xdr:from>
    <xdr:to>
      <xdr:col>24</xdr:col>
      <xdr:colOff>49180</xdr:colOff>
      <xdr:row>652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651</xdr:row>
      <xdr:rowOff>19050</xdr:rowOff>
    </xdr:from>
    <xdr:to>
      <xdr:col>24</xdr:col>
      <xdr:colOff>49180</xdr:colOff>
      <xdr:row>651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647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649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685</xdr:row>
      <xdr:rowOff>19050</xdr:rowOff>
    </xdr:from>
    <xdr:to>
      <xdr:col>24</xdr:col>
      <xdr:colOff>47625</xdr:colOff>
      <xdr:row>685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689</xdr:row>
      <xdr:rowOff>19050</xdr:rowOff>
    </xdr:from>
    <xdr:to>
      <xdr:col>24</xdr:col>
      <xdr:colOff>49180</xdr:colOff>
      <xdr:row>689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692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683</xdr:row>
      <xdr:rowOff>19050</xdr:rowOff>
    </xdr:from>
    <xdr:to>
      <xdr:col>24</xdr:col>
      <xdr:colOff>49180</xdr:colOff>
      <xdr:row>683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684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670</xdr:row>
      <xdr:rowOff>19050</xdr:rowOff>
    </xdr:from>
    <xdr:to>
      <xdr:col>24</xdr:col>
      <xdr:colOff>47625</xdr:colOff>
      <xdr:row>670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673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696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697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698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700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699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654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608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522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521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644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679</xdr:row>
      <xdr:rowOff>19050</xdr:rowOff>
    </xdr:from>
    <xdr:to>
      <xdr:col>18</xdr:col>
      <xdr:colOff>9526</xdr:colOff>
      <xdr:row>679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431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535</xdr:row>
      <xdr:rowOff>19050</xdr:rowOff>
    </xdr:from>
    <xdr:to>
      <xdr:col>24</xdr:col>
      <xdr:colOff>47625</xdr:colOff>
      <xdr:row>535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536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301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301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</xdr:row>
      <xdr:rowOff>19050</xdr:rowOff>
    </xdr:from>
    <xdr:to>
      <xdr:col>24</xdr:col>
      <xdr:colOff>47624</xdr:colOff>
      <xdr:row>60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574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273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25</xdr:row>
      <xdr:rowOff>19050</xdr:rowOff>
    </xdr:from>
    <xdr:to>
      <xdr:col>9</xdr:col>
      <xdr:colOff>9526</xdr:colOff>
      <xdr:row>25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226</xdr:row>
      <xdr:rowOff>19050</xdr:rowOff>
    </xdr:from>
    <xdr:to>
      <xdr:col>24</xdr:col>
      <xdr:colOff>75821</xdr:colOff>
      <xdr:row>226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47624</xdr:colOff>
      <xdr:row>223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47624</xdr:colOff>
      <xdr:row>224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118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123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119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124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119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124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299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212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306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306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209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131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269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363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324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324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373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361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19150" cy="123825"/>
    <xdr:pic>
      <xdr:nvPicPr>
        <xdr:cNvPr id="951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653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375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283</xdr:row>
      <xdr:rowOff>19050</xdr:rowOff>
    </xdr:from>
    <xdr:to>
      <xdr:col>24</xdr:col>
      <xdr:colOff>47625</xdr:colOff>
      <xdr:row>283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663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664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</xdr:row>
      <xdr:rowOff>19050</xdr:rowOff>
    </xdr:from>
    <xdr:to>
      <xdr:col>24</xdr:col>
      <xdr:colOff>47624</xdr:colOff>
      <xdr:row>51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472</xdr:row>
      <xdr:rowOff>19050</xdr:rowOff>
    </xdr:from>
    <xdr:to>
      <xdr:col>24</xdr:col>
      <xdr:colOff>47624</xdr:colOff>
      <xdr:row>472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471</xdr:row>
      <xdr:rowOff>19050</xdr:rowOff>
    </xdr:from>
    <xdr:to>
      <xdr:col>24</xdr:col>
      <xdr:colOff>47624</xdr:colOff>
      <xdr:row>471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416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646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385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384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291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380</xdr:row>
      <xdr:rowOff>28575</xdr:rowOff>
    </xdr:from>
    <xdr:to>
      <xdr:col>1</xdr:col>
      <xdr:colOff>0</xdr:colOff>
      <xdr:row>380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428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428</xdr:row>
      <xdr:rowOff>28575</xdr:rowOff>
    </xdr:from>
    <xdr:ext cx="342900" cy="104775"/>
    <xdr:pic>
      <xdr:nvPicPr>
        <xdr:cNvPr id="8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126</xdr:row>
      <xdr:rowOff>28575</xdr:rowOff>
    </xdr:from>
    <xdr:ext cx="342900" cy="104775"/>
    <xdr:pic>
      <xdr:nvPicPr>
        <xdr:cNvPr id="86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280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349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294</xdr:row>
      <xdr:rowOff>19050</xdr:rowOff>
    </xdr:from>
    <xdr:to>
      <xdr:col>25</xdr:col>
      <xdr:colOff>83819</xdr:colOff>
      <xdr:row>294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289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270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308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130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648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648</xdr:row>
      <xdr:rowOff>19050</xdr:rowOff>
    </xdr:from>
    <xdr:to>
      <xdr:col>24</xdr:col>
      <xdr:colOff>47625</xdr:colOff>
      <xdr:row>648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672</xdr:row>
      <xdr:rowOff>19050</xdr:rowOff>
    </xdr:from>
    <xdr:ext cx="819150" cy="123825"/>
    <xdr:pic>
      <xdr:nvPicPr>
        <xdr:cNvPr id="97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5192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394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561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580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580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563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564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565</xdr:row>
      <xdr:rowOff>28575</xdr:rowOff>
    </xdr:from>
    <xdr:ext cx="342900" cy="104775"/>
    <xdr:pic>
      <xdr:nvPicPr>
        <xdr:cNvPr id="10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575</xdr:row>
      <xdr:rowOff>19050</xdr:rowOff>
    </xdr:from>
    <xdr:ext cx="847346" cy="121920"/>
    <xdr:pic>
      <xdr:nvPicPr>
        <xdr:cNvPr id="1060" name="Imagen 105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314</xdr:row>
      <xdr:rowOff>19050</xdr:rowOff>
    </xdr:from>
    <xdr:to>
      <xdr:col>24</xdr:col>
      <xdr:colOff>47625</xdr:colOff>
      <xdr:row>314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314</xdr:row>
      <xdr:rowOff>19050</xdr:rowOff>
    </xdr:from>
    <xdr:to>
      <xdr:col>25</xdr:col>
      <xdr:colOff>83819</xdr:colOff>
      <xdr:row>314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311</xdr:row>
      <xdr:rowOff>28575</xdr:rowOff>
    </xdr:from>
    <xdr:to>
      <xdr:col>25</xdr:col>
      <xdr:colOff>83819</xdr:colOff>
      <xdr:row>311</xdr:row>
      <xdr:rowOff>150495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4805600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381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381</xdr:row>
      <xdr:rowOff>28575</xdr:rowOff>
    </xdr:from>
    <xdr:ext cx="342900" cy="104775"/>
    <xdr:pic>
      <xdr:nvPicPr>
        <xdr:cNvPr id="112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247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286</xdr:row>
      <xdr:rowOff>28575</xdr:rowOff>
    </xdr:from>
    <xdr:ext cx="342900" cy="104775"/>
    <xdr:pic>
      <xdr:nvPicPr>
        <xdr:cNvPr id="113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9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594</xdr:row>
      <xdr:rowOff>19050</xdr:rowOff>
    </xdr:from>
    <xdr:ext cx="847346" cy="121920"/>
    <xdr:pic>
      <xdr:nvPicPr>
        <xdr:cNvPr id="933" name="Imagen 93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97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583</xdr:row>
      <xdr:rowOff>19050</xdr:rowOff>
    </xdr:from>
    <xdr:ext cx="847346" cy="121920"/>
    <xdr:pic>
      <xdr:nvPicPr>
        <xdr:cNvPr id="953" name="Imagen 9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838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598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576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576</xdr:row>
      <xdr:rowOff>28575</xdr:rowOff>
    </xdr:from>
    <xdr:ext cx="342900" cy="104775"/>
    <xdr:pic>
      <xdr:nvPicPr>
        <xdr:cNvPr id="115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43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602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688</xdr:row>
      <xdr:rowOff>19050</xdr:rowOff>
    </xdr:from>
    <xdr:to>
      <xdr:col>24</xdr:col>
      <xdr:colOff>47624</xdr:colOff>
      <xdr:row>688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368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368</xdr:row>
      <xdr:rowOff>28575</xdr:rowOff>
    </xdr:from>
    <xdr:ext cx="342900" cy="104775"/>
    <xdr:pic>
      <xdr:nvPicPr>
        <xdr:cNvPr id="11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3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256</xdr:row>
      <xdr:rowOff>28575</xdr:rowOff>
    </xdr:from>
    <xdr:ext cx="342900" cy="104775"/>
    <xdr:pic>
      <xdr:nvPicPr>
        <xdr:cNvPr id="118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465</xdr:row>
      <xdr:rowOff>19050</xdr:rowOff>
    </xdr:from>
    <xdr:to>
      <xdr:col>24</xdr:col>
      <xdr:colOff>47624</xdr:colOff>
      <xdr:row>465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169</xdr:row>
      <xdr:rowOff>19050</xdr:rowOff>
    </xdr:from>
    <xdr:ext cx="819150" cy="123825"/>
    <xdr:pic>
      <xdr:nvPicPr>
        <xdr:cNvPr id="1193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19150" cy="125505"/>
    <xdr:pic>
      <xdr:nvPicPr>
        <xdr:cNvPr id="1214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144555</xdr:rowOff>
    </xdr:to>
    <xdr:pic>
      <xdr:nvPicPr>
        <xdr:cNvPr id="12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592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578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579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572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570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571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419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419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495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495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9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249</xdr:row>
      <xdr:rowOff>19050</xdr:rowOff>
    </xdr:from>
    <xdr:ext cx="342900" cy="104775"/>
    <xdr:pic>
      <xdr:nvPicPr>
        <xdr:cNvPr id="131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0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569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569</xdr:row>
      <xdr:rowOff>28575</xdr:rowOff>
    </xdr:from>
    <xdr:ext cx="342900" cy="104775"/>
    <xdr:pic>
      <xdr:nvPicPr>
        <xdr:cNvPr id="132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76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418</xdr:row>
      <xdr:rowOff>28575</xdr:rowOff>
    </xdr:from>
    <xdr:ext cx="342900" cy="104775"/>
    <xdr:pic>
      <xdr:nvPicPr>
        <xdr:cNvPr id="10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434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28575</xdr:rowOff>
    </xdr:from>
    <xdr:ext cx="342900" cy="104775"/>
    <xdr:pic>
      <xdr:nvPicPr>
        <xdr:cNvPr id="10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272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272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288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288</xdr:row>
      <xdr:rowOff>28575</xdr:rowOff>
    </xdr:from>
    <xdr:ext cx="342900" cy="104775"/>
    <xdr:pic>
      <xdr:nvPicPr>
        <xdr:cNvPr id="122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14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234</xdr:row>
      <xdr:rowOff>28575</xdr:rowOff>
    </xdr:from>
    <xdr:ext cx="342900" cy="104775"/>
    <xdr:pic>
      <xdr:nvPicPr>
        <xdr:cNvPr id="131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233</xdr:row>
      <xdr:rowOff>28575</xdr:rowOff>
    </xdr:from>
    <xdr:to>
      <xdr:col>1</xdr:col>
      <xdr:colOff>0</xdr:colOff>
      <xdr:row>233</xdr:row>
      <xdr:rowOff>133350</xdr:rowOff>
    </xdr:to>
    <xdr:pic>
      <xdr:nvPicPr>
        <xdr:cNvPr id="1323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329</xdr:row>
      <xdr:rowOff>28575</xdr:rowOff>
    </xdr:from>
    <xdr:ext cx="342900" cy="104775"/>
    <xdr:pic>
      <xdr:nvPicPr>
        <xdr:cNvPr id="116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466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467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415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415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616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687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687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687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3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693</xdr:row>
      <xdr:rowOff>19050</xdr:rowOff>
    </xdr:from>
    <xdr:to>
      <xdr:col>24</xdr:col>
      <xdr:colOff>47625</xdr:colOff>
      <xdr:row>693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694</xdr:row>
      <xdr:rowOff>19050</xdr:rowOff>
    </xdr:from>
    <xdr:to>
      <xdr:col>24</xdr:col>
      <xdr:colOff>47625</xdr:colOff>
      <xdr:row>694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695</xdr:row>
      <xdr:rowOff>19050</xdr:rowOff>
    </xdr:from>
    <xdr:to>
      <xdr:col>24</xdr:col>
      <xdr:colOff>47625</xdr:colOff>
      <xdr:row>695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647</xdr:row>
      <xdr:rowOff>19050</xdr:rowOff>
    </xdr:from>
    <xdr:to>
      <xdr:col>26</xdr:col>
      <xdr:colOff>0</xdr:colOff>
      <xdr:row>647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690</xdr:row>
      <xdr:rowOff>19050</xdr:rowOff>
    </xdr:from>
    <xdr:to>
      <xdr:col>24</xdr:col>
      <xdr:colOff>47625</xdr:colOff>
      <xdr:row>690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691</xdr:row>
      <xdr:rowOff>19050</xdr:rowOff>
    </xdr:from>
    <xdr:to>
      <xdr:col>24</xdr:col>
      <xdr:colOff>47625</xdr:colOff>
      <xdr:row>691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649</xdr:row>
      <xdr:rowOff>19050</xdr:rowOff>
    </xdr:from>
    <xdr:to>
      <xdr:col>26</xdr:col>
      <xdr:colOff>0</xdr:colOff>
      <xdr:row>649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671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671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78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506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507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510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506</xdr:row>
      <xdr:rowOff>28575</xdr:rowOff>
    </xdr:from>
    <xdr:ext cx="342900" cy="104775"/>
    <xdr:pic>
      <xdr:nvPicPr>
        <xdr:cNvPr id="141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63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507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90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510</xdr:row>
      <xdr:rowOff>28575</xdr:rowOff>
    </xdr:from>
    <xdr:ext cx="342900" cy="104775"/>
    <xdr:pic>
      <xdr:nvPicPr>
        <xdr:cNvPr id="143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389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388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388</xdr:row>
      <xdr:rowOff>28575</xdr:rowOff>
    </xdr:from>
    <xdr:ext cx="342900" cy="104775"/>
    <xdr:pic>
      <xdr:nvPicPr>
        <xdr:cNvPr id="1365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4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389</xdr:row>
      <xdr:rowOff>28575</xdr:rowOff>
    </xdr:from>
    <xdr:ext cx="342900" cy="104775"/>
    <xdr:pic>
      <xdr:nvPicPr>
        <xdr:cNvPr id="13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9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274</xdr:row>
      <xdr:rowOff>28575</xdr:rowOff>
    </xdr:from>
    <xdr:ext cx="342900" cy="104775"/>
    <xdr:pic>
      <xdr:nvPicPr>
        <xdr:cNvPr id="144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19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309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309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309</xdr:row>
      <xdr:rowOff>28575</xdr:rowOff>
    </xdr:from>
    <xdr:ext cx="342900" cy="104775"/>
    <xdr:pic>
      <xdr:nvPicPr>
        <xdr:cNvPr id="145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41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312</xdr:row>
      <xdr:rowOff>28575</xdr:rowOff>
    </xdr:from>
    <xdr:ext cx="447675" cy="108527"/>
    <xdr:pic>
      <xdr:nvPicPr>
        <xdr:cNvPr id="1451" name="Imagen 145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45872400"/>
          <a:ext cx="447675" cy="108527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312</xdr:row>
      <xdr:rowOff>19050</xdr:rowOff>
    </xdr:from>
    <xdr:ext cx="819149" cy="123825"/>
    <xdr:pic>
      <xdr:nvPicPr>
        <xdr:cNvPr id="14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601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47625</xdr:colOff>
      <xdr:row>312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45862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312</xdr:row>
      <xdr:rowOff>28575</xdr:rowOff>
    </xdr:from>
    <xdr:ext cx="342900" cy="104775"/>
    <xdr:pic>
      <xdr:nvPicPr>
        <xdr:cNvPr id="14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72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174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174</xdr:row>
      <xdr:rowOff>28575</xdr:rowOff>
    </xdr:from>
    <xdr:ext cx="342900" cy="104775"/>
    <xdr:pic>
      <xdr:nvPicPr>
        <xdr:cNvPr id="147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1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601</xdr:row>
      <xdr:rowOff>28575</xdr:rowOff>
    </xdr:from>
    <xdr:ext cx="342900" cy="104775"/>
    <xdr:pic>
      <xdr:nvPicPr>
        <xdr:cNvPr id="147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0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166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166</xdr:row>
      <xdr:rowOff>28575</xdr:rowOff>
    </xdr:from>
    <xdr:ext cx="342900" cy="104775"/>
    <xdr:pic>
      <xdr:nvPicPr>
        <xdr:cNvPr id="14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165</xdr:row>
      <xdr:rowOff>16566</xdr:rowOff>
    </xdr:from>
    <xdr:ext cx="819150" cy="123825"/>
    <xdr:pic>
      <xdr:nvPicPr>
        <xdr:cNvPr id="102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428123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165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261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243</xdr:row>
      <xdr:rowOff>28575</xdr:rowOff>
    </xdr:from>
    <xdr:ext cx="342900" cy="104775"/>
    <xdr:pic>
      <xdr:nvPicPr>
        <xdr:cNvPr id="14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1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243</xdr:row>
      <xdr:rowOff>19050</xdr:rowOff>
    </xdr:from>
    <xdr:to>
      <xdr:col>26</xdr:col>
      <xdr:colOff>0</xdr:colOff>
      <xdr:row>243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245</xdr:row>
      <xdr:rowOff>28575</xdr:rowOff>
    </xdr:from>
    <xdr:to>
      <xdr:col>26</xdr:col>
      <xdr:colOff>0</xdr:colOff>
      <xdr:row>246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686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686</xdr:row>
      <xdr:rowOff>28575</xdr:rowOff>
    </xdr:from>
    <xdr:ext cx="342900" cy="104775"/>
    <xdr:pic>
      <xdr:nvPicPr>
        <xdr:cNvPr id="15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946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669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669</xdr:row>
      <xdr:rowOff>28575</xdr:rowOff>
    </xdr:from>
    <xdr:ext cx="342900" cy="104775"/>
    <xdr:pic>
      <xdr:nvPicPr>
        <xdr:cNvPr id="15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682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682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168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168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0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271</xdr:row>
      <xdr:rowOff>19050</xdr:rowOff>
    </xdr:from>
    <xdr:ext cx="819150" cy="123825"/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271</xdr:row>
      <xdr:rowOff>28575</xdr:rowOff>
    </xdr:from>
    <xdr:to>
      <xdr:col>1</xdr:col>
      <xdr:colOff>0</xdr:colOff>
      <xdr:row>271</xdr:row>
      <xdr:rowOff>133350</xdr:rowOff>
    </xdr:to>
    <xdr:pic>
      <xdr:nvPicPr>
        <xdr:cNvPr id="1537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199</xdr:row>
      <xdr:rowOff>28575</xdr:rowOff>
    </xdr:from>
    <xdr:ext cx="342900" cy="104775"/>
    <xdr:pic>
      <xdr:nvPicPr>
        <xdr:cNvPr id="153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200</xdr:row>
      <xdr:rowOff>28575</xdr:rowOff>
    </xdr:from>
    <xdr:ext cx="342900" cy="104775"/>
    <xdr:pic>
      <xdr:nvPicPr>
        <xdr:cNvPr id="15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7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435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28575</xdr:rowOff>
    </xdr:from>
    <xdr:ext cx="342900" cy="104775"/>
    <xdr:pic>
      <xdr:nvPicPr>
        <xdr:cNvPr id="154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2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436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436</xdr:row>
      <xdr:rowOff>28575</xdr:rowOff>
    </xdr:from>
    <xdr:ext cx="342900" cy="104775"/>
    <xdr:pic>
      <xdr:nvPicPr>
        <xdr:cNvPr id="154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567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567</xdr:row>
      <xdr:rowOff>28575</xdr:rowOff>
    </xdr:from>
    <xdr:ext cx="342900" cy="104775"/>
    <xdr:pic>
      <xdr:nvPicPr>
        <xdr:cNvPr id="154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81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600</xdr:row>
      <xdr:rowOff>28575</xdr:rowOff>
    </xdr:from>
    <xdr:ext cx="342900" cy="104775"/>
    <xdr:pic>
      <xdr:nvPicPr>
        <xdr:cNvPr id="155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3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618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618</xdr:row>
      <xdr:rowOff>28575</xdr:rowOff>
    </xdr:from>
    <xdr:ext cx="342900" cy="104775"/>
    <xdr:pic>
      <xdr:nvPicPr>
        <xdr:cNvPr id="15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1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19150" cy="123825"/>
    <xdr:pic>
      <xdr:nvPicPr>
        <xdr:cNvPr id="944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5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302</xdr:row>
      <xdr:rowOff>19050</xdr:rowOff>
    </xdr:from>
    <xdr:ext cx="502919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55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562</xdr:row>
      <xdr:rowOff>28575</xdr:rowOff>
    </xdr:from>
    <xdr:ext cx="342900" cy="104775"/>
    <xdr:pic>
      <xdr:nvPicPr>
        <xdr:cNvPr id="102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619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171</xdr:row>
      <xdr:rowOff>28575</xdr:rowOff>
    </xdr:from>
    <xdr:ext cx="342900" cy="104775"/>
    <xdr:pic>
      <xdr:nvPicPr>
        <xdr:cNvPr id="10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171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176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176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170</xdr:row>
      <xdr:rowOff>28575</xdr:rowOff>
    </xdr:from>
    <xdr:ext cx="342900" cy="104775"/>
    <xdr:pic>
      <xdr:nvPicPr>
        <xdr:cNvPr id="121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69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170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177</xdr:row>
      <xdr:rowOff>28575</xdr:rowOff>
    </xdr:from>
    <xdr:ext cx="342900" cy="104775"/>
    <xdr:pic>
      <xdr:nvPicPr>
        <xdr:cNvPr id="12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69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177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102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102</xdr:row>
      <xdr:rowOff>28575</xdr:rowOff>
    </xdr:from>
    <xdr:ext cx="342900" cy="104775"/>
    <xdr:pic>
      <xdr:nvPicPr>
        <xdr:cNvPr id="15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59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617</xdr:row>
      <xdr:rowOff>28575</xdr:rowOff>
    </xdr:from>
    <xdr:ext cx="342900" cy="104775"/>
    <xdr:pic>
      <xdr:nvPicPr>
        <xdr:cNvPr id="99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49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617</xdr:row>
      <xdr:rowOff>19050</xdr:rowOff>
    </xdr:from>
    <xdr:to>
      <xdr:col>24</xdr:col>
      <xdr:colOff>47624</xdr:colOff>
      <xdr:row>617</xdr:row>
      <xdr:rowOff>142875</xdr:rowOff>
    </xdr:to>
    <xdr:pic>
      <xdr:nvPicPr>
        <xdr:cNvPr id="15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935926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371</xdr:row>
      <xdr:rowOff>28575</xdr:rowOff>
    </xdr:from>
    <xdr:to>
      <xdr:col>1</xdr:col>
      <xdr:colOff>0</xdr:colOff>
      <xdr:row>371</xdr:row>
      <xdr:rowOff>133350</xdr:rowOff>
    </xdr:to>
    <xdr:pic>
      <xdr:nvPicPr>
        <xdr:cNvPr id="9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440</xdr:row>
      <xdr:rowOff>19050</xdr:rowOff>
    </xdr:from>
    <xdr:ext cx="819150" cy="123825"/>
    <xdr:pic>
      <xdr:nvPicPr>
        <xdr:cNvPr id="15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698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367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367</xdr:row>
      <xdr:rowOff>28575</xdr:rowOff>
    </xdr:from>
    <xdr:ext cx="342900" cy="104775"/>
    <xdr:pic>
      <xdr:nvPicPr>
        <xdr:cNvPr id="1559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441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441</xdr:row>
      <xdr:rowOff>28575</xdr:rowOff>
    </xdr:from>
    <xdr:ext cx="342900" cy="104775"/>
    <xdr:pic>
      <xdr:nvPicPr>
        <xdr:cNvPr id="99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6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511</xdr:row>
      <xdr:rowOff>28575</xdr:rowOff>
    </xdr:from>
    <xdr:ext cx="342900" cy="104775"/>
    <xdr:pic>
      <xdr:nvPicPr>
        <xdr:cNvPr id="105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62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512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512</xdr:row>
      <xdr:rowOff>28575</xdr:rowOff>
    </xdr:from>
    <xdr:ext cx="342900" cy="104775"/>
    <xdr:pic>
      <xdr:nvPicPr>
        <xdr:cNvPr id="105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1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173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173</xdr:row>
      <xdr:rowOff>28575</xdr:rowOff>
    </xdr:from>
    <xdr:ext cx="342900" cy="104775"/>
    <xdr:pic>
      <xdr:nvPicPr>
        <xdr:cNvPr id="11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27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627</xdr:row>
      <xdr:rowOff>19050</xdr:rowOff>
    </xdr:from>
    <xdr:to>
      <xdr:col>8</xdr:col>
      <xdr:colOff>181168</xdr:colOff>
      <xdr:row>627</xdr:row>
      <xdr:rowOff>142875</xdr:rowOff>
    </xdr:to>
    <xdr:pic>
      <xdr:nvPicPr>
        <xdr:cNvPr id="1142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6440625"/>
          <a:ext cx="58121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650</xdr:row>
      <xdr:rowOff>19050</xdr:rowOff>
    </xdr:from>
    <xdr:to>
      <xdr:col>8</xdr:col>
      <xdr:colOff>181168</xdr:colOff>
      <xdr:row>650</xdr:row>
      <xdr:rowOff>142875</xdr:rowOff>
    </xdr:to>
    <xdr:pic>
      <xdr:nvPicPr>
        <xdr:cNvPr id="913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0022025"/>
          <a:ext cx="58121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262</xdr:row>
      <xdr:rowOff>28575</xdr:rowOff>
    </xdr:from>
    <xdr:ext cx="342900" cy="104775"/>
    <xdr:pic>
      <xdr:nvPicPr>
        <xdr:cNvPr id="9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11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263</xdr:row>
      <xdr:rowOff>28575</xdr:rowOff>
    </xdr:from>
    <xdr:ext cx="342900" cy="104775"/>
    <xdr:pic>
      <xdr:nvPicPr>
        <xdr:cNvPr id="11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2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50" cy="123825"/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103</xdr:row>
      <xdr:rowOff>19050</xdr:rowOff>
    </xdr:from>
    <xdr:ext cx="819150" cy="123825"/>
    <xdr:pic>
      <xdr:nvPicPr>
        <xdr:cNvPr id="11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20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1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49" cy="123825"/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254</xdr:row>
      <xdr:rowOff>19050</xdr:rowOff>
    </xdr:from>
    <xdr:ext cx="819149" cy="123825"/>
    <xdr:pic>
      <xdr:nvPicPr>
        <xdr:cNvPr id="11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49" cy="123825"/>
    <xdr:pic>
      <xdr:nvPicPr>
        <xdr:cNvPr id="12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52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49" cy="123825"/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00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49" cy="123825"/>
    <xdr:pic>
      <xdr:nvPicPr>
        <xdr:cNvPr id="13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15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49" cy="123825"/>
    <xdr:pic>
      <xdr:nvPicPr>
        <xdr:cNvPr id="14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49" cy="123825"/>
    <xdr:pic>
      <xdr:nvPicPr>
        <xdr:cNvPr id="15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49" cy="123825"/>
    <xdr:pic>
      <xdr:nvPicPr>
        <xdr:cNvPr id="15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61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49" cy="123825"/>
    <xdr:pic>
      <xdr:nvPicPr>
        <xdr:cNvPr id="15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766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461</xdr:row>
      <xdr:rowOff>28575</xdr:rowOff>
    </xdr:from>
    <xdr:ext cx="342900" cy="104775"/>
    <xdr:pic>
      <xdr:nvPicPr>
        <xdr:cNvPr id="11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462</xdr:row>
      <xdr:rowOff>28575</xdr:rowOff>
    </xdr:from>
    <xdr:ext cx="342900" cy="104775"/>
    <xdr:pic>
      <xdr:nvPicPr>
        <xdr:cNvPr id="117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461</xdr:row>
      <xdr:rowOff>19050</xdr:rowOff>
    </xdr:from>
    <xdr:to>
      <xdr:col>24</xdr:col>
      <xdr:colOff>47625</xdr:colOff>
      <xdr:row>461</xdr:row>
      <xdr:rowOff>142875</xdr:rowOff>
    </xdr:to>
    <xdr:pic>
      <xdr:nvPicPr>
        <xdr:cNvPr id="124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40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462</xdr:row>
      <xdr:rowOff>19050</xdr:rowOff>
    </xdr:from>
    <xdr:to>
      <xdr:col>24</xdr:col>
      <xdr:colOff>47625</xdr:colOff>
      <xdr:row>462</xdr:row>
      <xdr:rowOff>142875</xdr:rowOff>
    </xdr:to>
    <xdr:pic>
      <xdr:nvPicPr>
        <xdr:cNvPr id="1265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463</xdr:row>
      <xdr:rowOff>28575</xdr:rowOff>
    </xdr:from>
    <xdr:ext cx="342900" cy="104775"/>
    <xdr:pic>
      <xdr:nvPicPr>
        <xdr:cNvPr id="136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19150" cy="123825"/>
    <xdr:pic>
      <xdr:nvPicPr>
        <xdr:cNvPr id="136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464</xdr:row>
      <xdr:rowOff>28575</xdr:rowOff>
    </xdr:from>
    <xdr:ext cx="342900" cy="104775"/>
    <xdr:pic>
      <xdr:nvPicPr>
        <xdr:cNvPr id="14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19150" cy="123825"/>
    <xdr:pic>
      <xdr:nvPicPr>
        <xdr:cNvPr id="143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244</xdr:row>
      <xdr:rowOff>28575</xdr:rowOff>
    </xdr:from>
    <xdr:to>
      <xdr:col>26</xdr:col>
      <xdr:colOff>0</xdr:colOff>
      <xdr:row>245</xdr:row>
      <xdr:rowOff>0</xdr:rowOff>
    </xdr:to>
    <xdr:pic>
      <xdr:nvPicPr>
        <xdr:cNvPr id="144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4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277</xdr:row>
      <xdr:rowOff>19050</xdr:rowOff>
    </xdr:from>
    <xdr:to>
      <xdr:col>24</xdr:col>
      <xdr:colOff>47625</xdr:colOff>
      <xdr:row>277</xdr:row>
      <xdr:rowOff>142875</xdr:rowOff>
    </xdr:to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20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278</xdr:row>
      <xdr:rowOff>19050</xdr:rowOff>
    </xdr:from>
    <xdr:to>
      <xdr:col>24</xdr:col>
      <xdr:colOff>47625</xdr:colOff>
      <xdr:row>278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35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311</xdr:row>
      <xdr:rowOff>19050</xdr:rowOff>
    </xdr:from>
    <xdr:ext cx="828675" cy="123825"/>
    <xdr:pic>
      <xdr:nvPicPr>
        <xdr:cNvPr id="149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30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15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5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15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5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5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547</xdr:row>
      <xdr:rowOff>19050</xdr:rowOff>
    </xdr:from>
    <xdr:to>
      <xdr:col>24</xdr:col>
      <xdr:colOff>48389</xdr:colOff>
      <xdr:row>547</xdr:row>
      <xdr:rowOff>140970</xdr:rowOff>
    </xdr:to>
    <xdr:pic>
      <xdr:nvPicPr>
        <xdr:cNvPr id="938" name="Imagen 937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191475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109</xdr:row>
      <xdr:rowOff>19050</xdr:rowOff>
    </xdr:from>
    <xdr:ext cx="819150" cy="123825"/>
    <xdr:pic>
      <xdr:nvPicPr>
        <xdr:cNvPr id="1037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109</xdr:row>
      <xdr:rowOff>19050</xdr:rowOff>
    </xdr:from>
    <xdr:ext cx="819149" cy="123825"/>
    <xdr:pic>
      <xdr:nvPicPr>
        <xdr:cNvPr id="1084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811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109</xdr:row>
      <xdr:rowOff>28575</xdr:rowOff>
    </xdr:from>
    <xdr:ext cx="342900" cy="104775"/>
    <xdr:pic>
      <xdr:nvPicPr>
        <xdr:cNvPr id="109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110</xdr:row>
      <xdr:rowOff>19050</xdr:rowOff>
    </xdr:from>
    <xdr:ext cx="819150" cy="123825"/>
    <xdr:pic>
      <xdr:nvPicPr>
        <xdr:cNvPr id="1091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110</xdr:row>
      <xdr:rowOff>28575</xdr:rowOff>
    </xdr:from>
    <xdr:ext cx="342900" cy="104775"/>
    <xdr:pic>
      <xdr:nvPicPr>
        <xdr:cNvPr id="117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111</xdr:row>
      <xdr:rowOff>19050</xdr:rowOff>
    </xdr:from>
    <xdr:ext cx="819150" cy="123825"/>
    <xdr:pic>
      <xdr:nvPicPr>
        <xdr:cNvPr id="118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111</xdr:row>
      <xdr:rowOff>19050</xdr:rowOff>
    </xdr:from>
    <xdr:ext cx="819149" cy="123825"/>
    <xdr:pic>
      <xdr:nvPicPr>
        <xdr:cNvPr id="1198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1164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111</xdr:row>
      <xdr:rowOff>28575</xdr:rowOff>
    </xdr:from>
    <xdr:ext cx="342900" cy="104775"/>
    <xdr:pic>
      <xdr:nvPicPr>
        <xdr:cNvPr id="121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112</xdr:row>
      <xdr:rowOff>19050</xdr:rowOff>
    </xdr:from>
    <xdr:ext cx="819150" cy="123825"/>
    <xdr:pic>
      <xdr:nvPicPr>
        <xdr:cNvPr id="135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112</xdr:row>
      <xdr:rowOff>28575</xdr:rowOff>
    </xdr:from>
    <xdr:ext cx="342900" cy="104775"/>
    <xdr:pic>
      <xdr:nvPicPr>
        <xdr:cNvPr id="145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78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49</xdr:row>
      <xdr:rowOff>19050</xdr:rowOff>
    </xdr:from>
    <xdr:to>
      <xdr:col>10</xdr:col>
      <xdr:colOff>400049</xdr:colOff>
      <xdr:row>49</xdr:row>
      <xdr:rowOff>142875</xdr:rowOff>
    </xdr:to>
    <xdr:pic>
      <xdr:nvPicPr>
        <xdr:cNvPr id="15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50</xdr:row>
      <xdr:rowOff>19050</xdr:rowOff>
    </xdr:from>
    <xdr:to>
      <xdr:col>10</xdr:col>
      <xdr:colOff>400049</xdr:colOff>
      <xdr:row>50</xdr:row>
      <xdr:rowOff>142875</xdr:rowOff>
    </xdr:to>
    <xdr:pic>
      <xdr:nvPicPr>
        <xdr:cNvPr id="15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198</xdr:row>
      <xdr:rowOff>28575</xdr:rowOff>
    </xdr:from>
    <xdr:to>
      <xdr:col>1</xdr:col>
      <xdr:colOff>0</xdr:colOff>
      <xdr:row>198</xdr:row>
      <xdr:rowOff>133350</xdr:rowOff>
    </xdr:to>
    <xdr:pic>
      <xdr:nvPicPr>
        <xdr:cNvPr id="916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46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264</xdr:row>
      <xdr:rowOff>28575</xdr:rowOff>
    </xdr:from>
    <xdr:to>
      <xdr:col>1</xdr:col>
      <xdr:colOff>0</xdr:colOff>
      <xdr:row>264</xdr:row>
      <xdr:rowOff>133350</xdr:rowOff>
    </xdr:to>
    <xdr:pic>
      <xdr:nvPicPr>
        <xdr:cNvPr id="919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4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578</xdr:row>
      <xdr:rowOff>28575</xdr:rowOff>
    </xdr:from>
    <xdr:to>
      <xdr:col>1</xdr:col>
      <xdr:colOff>0</xdr:colOff>
      <xdr:row>578</xdr:row>
      <xdr:rowOff>133350</xdr:rowOff>
    </xdr:to>
    <xdr:pic>
      <xdr:nvPicPr>
        <xdr:cNvPr id="920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92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607</xdr:row>
      <xdr:rowOff>28575</xdr:rowOff>
    </xdr:from>
    <xdr:to>
      <xdr:col>1</xdr:col>
      <xdr:colOff>0</xdr:colOff>
      <xdr:row>607</xdr:row>
      <xdr:rowOff>133350</xdr:rowOff>
    </xdr:to>
    <xdr:pic>
      <xdr:nvPicPr>
        <xdr:cNvPr id="105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570</xdr:row>
      <xdr:rowOff>28575</xdr:rowOff>
    </xdr:from>
    <xdr:to>
      <xdr:col>1</xdr:col>
      <xdr:colOff>0</xdr:colOff>
      <xdr:row>570</xdr:row>
      <xdr:rowOff>133350</xdr:rowOff>
    </xdr:to>
    <xdr:pic>
      <xdr:nvPicPr>
        <xdr:cNvPr id="113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72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577</xdr:row>
      <xdr:rowOff>28575</xdr:rowOff>
    </xdr:from>
    <xdr:to>
      <xdr:col>1</xdr:col>
      <xdr:colOff>0</xdr:colOff>
      <xdr:row>577</xdr:row>
      <xdr:rowOff>133350</xdr:rowOff>
    </xdr:to>
    <xdr:pic>
      <xdr:nvPicPr>
        <xdr:cNvPr id="115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83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709" TargetMode="External"/><Relationship Id="rId21" Type="http://schemas.openxmlformats.org/officeDocument/2006/relationships/hyperlink" Target="https://www.jivi.com.ar/ficha.php?id=101" TargetMode="External"/><Relationship Id="rId324" Type="http://schemas.openxmlformats.org/officeDocument/2006/relationships/hyperlink" Target="https://www.jivi.com.ar/ficha.php?id=1509" TargetMode="External"/><Relationship Id="rId531" Type="http://schemas.openxmlformats.org/officeDocument/2006/relationships/hyperlink" Target="https://www.jivi.com.ar/ficha.php?id=1077" TargetMode="External"/><Relationship Id="rId629" Type="http://schemas.openxmlformats.org/officeDocument/2006/relationships/hyperlink" Target="https://www.jivi.com.ar/ficha.php?id=1403" TargetMode="External"/><Relationship Id="rId170" Type="http://schemas.openxmlformats.org/officeDocument/2006/relationships/hyperlink" Target="https://www.jivi.com.ar/ficha.php?id=1172" TargetMode="External"/><Relationship Id="rId268" Type="http://schemas.openxmlformats.org/officeDocument/2006/relationships/hyperlink" Target="https://www.jivi.com.ar/ficha.php?id=1429" TargetMode="External"/><Relationship Id="rId475" Type="http://schemas.openxmlformats.org/officeDocument/2006/relationships/hyperlink" Target="https://www.jivi.com.ar/ficha.php?id=1744" TargetMode="External"/><Relationship Id="rId32" Type="http://schemas.openxmlformats.org/officeDocument/2006/relationships/hyperlink" Target="https://www.jivi.com.ar/ficha.php?id=113" TargetMode="External"/><Relationship Id="rId128" Type="http://schemas.openxmlformats.org/officeDocument/2006/relationships/hyperlink" Target="https://www.jivi.com.ar/ficha.php?id=918" TargetMode="External"/><Relationship Id="rId335" Type="http://schemas.openxmlformats.org/officeDocument/2006/relationships/hyperlink" Target="https://www.jivi.com.ar/ficha.php?id=1536" TargetMode="External"/><Relationship Id="rId542" Type="http://schemas.openxmlformats.org/officeDocument/2006/relationships/hyperlink" Target="https://www.jivi.com.ar/ficha.php?id=1380" TargetMode="External"/><Relationship Id="rId181" Type="http://schemas.openxmlformats.org/officeDocument/2006/relationships/hyperlink" Target="https://www.jivi.com.ar/ficha.php?id=1209" TargetMode="External"/><Relationship Id="rId402" Type="http://schemas.openxmlformats.org/officeDocument/2006/relationships/hyperlink" Target="https://www.jivi.com.ar/ficha.php?id=1606" TargetMode="External"/><Relationship Id="rId279" Type="http://schemas.openxmlformats.org/officeDocument/2006/relationships/hyperlink" Target="https://www.jivi.com.ar/ficha.php?id=1334" TargetMode="External"/><Relationship Id="rId486" Type="http://schemas.openxmlformats.org/officeDocument/2006/relationships/hyperlink" Target="https://www.jivi.com.ar/ficha.php?id=1310" TargetMode="External"/><Relationship Id="rId43" Type="http://schemas.openxmlformats.org/officeDocument/2006/relationships/hyperlink" Target="https://www.jivi.com.ar/ficha.php?id=638" TargetMode="External"/><Relationship Id="rId139" Type="http://schemas.openxmlformats.org/officeDocument/2006/relationships/hyperlink" Target="https://www.jivi.com.ar/ficha.php?id=850" TargetMode="External"/><Relationship Id="rId346" Type="http://schemas.openxmlformats.org/officeDocument/2006/relationships/hyperlink" Target="https://www.jivi.com.ar/ficha.php?id=1552" TargetMode="External"/><Relationship Id="rId553" Type="http://schemas.openxmlformats.org/officeDocument/2006/relationships/hyperlink" Target="https://www.jivi.com.ar/ficha.php?id=1566" TargetMode="External"/><Relationship Id="rId192" Type="http://schemas.openxmlformats.org/officeDocument/2006/relationships/hyperlink" Target="https://www.jivi.com.ar/ficha.php?id=1060" TargetMode="External"/><Relationship Id="rId206" Type="http://schemas.openxmlformats.org/officeDocument/2006/relationships/hyperlink" Target="https://www.jivi.com.ar/ficha.php?id=1607" TargetMode="External"/><Relationship Id="rId413" Type="http://schemas.openxmlformats.org/officeDocument/2006/relationships/hyperlink" Target="https://www.jivi.com.ar/ficha.php?id=1452" TargetMode="External"/><Relationship Id="rId497" Type="http://schemas.openxmlformats.org/officeDocument/2006/relationships/hyperlink" Target="https://www.jivi.com.ar/ficha.php?id=1293" TargetMode="External"/><Relationship Id="rId620" Type="http://schemas.openxmlformats.org/officeDocument/2006/relationships/hyperlink" Target="https://www.jivi.com.ar/ficha.php?id=1786" TargetMode="External"/><Relationship Id="rId357" Type="http://schemas.openxmlformats.org/officeDocument/2006/relationships/hyperlink" Target="https://www.jivi.com.ar/ficha.php?id=1562" TargetMode="External"/><Relationship Id="rId54" Type="http://schemas.openxmlformats.org/officeDocument/2006/relationships/hyperlink" Target="https://www.jivi.com.ar/ficha.php?id=120" TargetMode="External"/><Relationship Id="rId217" Type="http://schemas.openxmlformats.org/officeDocument/2006/relationships/hyperlink" Target="https://www.jivi.com.ar/ficha.php?id=1333" TargetMode="External"/><Relationship Id="rId564" Type="http://schemas.openxmlformats.org/officeDocument/2006/relationships/hyperlink" Target="https://www.jivi.com.ar/ficha.php?id=2008" TargetMode="External"/><Relationship Id="rId424" Type="http://schemas.openxmlformats.org/officeDocument/2006/relationships/hyperlink" Target="https://www.jivi.com.ar/ficha.php?id=1643" TargetMode="External"/><Relationship Id="rId631" Type="http://schemas.openxmlformats.org/officeDocument/2006/relationships/hyperlink" Target="https://www.jivi.com.ar/ficha.php?id=2170" TargetMode="External"/><Relationship Id="rId270" Type="http://schemas.openxmlformats.org/officeDocument/2006/relationships/hyperlink" Target="https://www.jivi.com.ar/ficha.php?id=1432" TargetMode="External"/><Relationship Id="rId65" Type="http://schemas.openxmlformats.org/officeDocument/2006/relationships/hyperlink" Target="https://www.jivi.com.ar/ficha.php?id=60" TargetMode="External"/><Relationship Id="rId130" Type="http://schemas.openxmlformats.org/officeDocument/2006/relationships/hyperlink" Target="https://www.jivi.com.ar/ficha.php?id=938" TargetMode="External"/><Relationship Id="rId368" Type="http://schemas.openxmlformats.org/officeDocument/2006/relationships/hyperlink" Target="https://www.jivi.com.ar/ficha.php?id=1569" TargetMode="External"/><Relationship Id="rId575" Type="http://schemas.openxmlformats.org/officeDocument/2006/relationships/hyperlink" Target="https://www.jivi.com.ar/ficha.php?id=335" TargetMode="External"/><Relationship Id="rId228" Type="http://schemas.openxmlformats.org/officeDocument/2006/relationships/hyperlink" Target="https://www.jivi.com.ar/ficha.php?id=1378" TargetMode="External"/><Relationship Id="rId435" Type="http://schemas.openxmlformats.org/officeDocument/2006/relationships/hyperlink" Target="https://www.jivi.com.ar/ficha.php?id=1664" TargetMode="External"/><Relationship Id="rId281" Type="http://schemas.openxmlformats.org/officeDocument/2006/relationships/hyperlink" Target="https://www.jivi.com.ar/ficha.php?id=1446" TargetMode="External"/><Relationship Id="rId502" Type="http://schemas.openxmlformats.org/officeDocument/2006/relationships/hyperlink" Target="https://www.jivi.com.ar/ficha.php?id=1186" TargetMode="External"/><Relationship Id="rId76" Type="http://schemas.openxmlformats.org/officeDocument/2006/relationships/hyperlink" Target="https://www.jivi.com.ar/ficha.php?id=142" TargetMode="External"/><Relationship Id="rId141" Type="http://schemas.openxmlformats.org/officeDocument/2006/relationships/hyperlink" Target="https://www.jivi.com.ar/ficha.php?id=250" TargetMode="External"/><Relationship Id="rId379" Type="http://schemas.openxmlformats.org/officeDocument/2006/relationships/hyperlink" Target="https://www.jivi.com.ar/ficha.php?id=1574" TargetMode="External"/><Relationship Id="rId586" Type="http://schemas.openxmlformats.org/officeDocument/2006/relationships/hyperlink" Target="https://www.jivi.com.ar/ficha.php?id=1280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394" TargetMode="External"/><Relationship Id="rId446" Type="http://schemas.openxmlformats.org/officeDocument/2006/relationships/hyperlink" Target="https://www.jivi.com.ar/ficha.php?id=1697" TargetMode="External"/><Relationship Id="rId292" Type="http://schemas.openxmlformats.org/officeDocument/2006/relationships/hyperlink" Target="https://www.jivi.com.ar/ficha.php?id=1466" TargetMode="External"/><Relationship Id="rId306" Type="http://schemas.openxmlformats.org/officeDocument/2006/relationships/hyperlink" Target="https://www.jivi.com.ar/ficha.php?id=1483" TargetMode="External"/><Relationship Id="rId87" Type="http://schemas.openxmlformats.org/officeDocument/2006/relationships/hyperlink" Target="https://www.jivi.com.ar/ficha.php?id=169" TargetMode="External"/><Relationship Id="rId513" Type="http://schemas.openxmlformats.org/officeDocument/2006/relationships/hyperlink" Target="https://www.jivi.com.ar/ficha.php?id=1070" TargetMode="External"/><Relationship Id="rId597" Type="http://schemas.openxmlformats.org/officeDocument/2006/relationships/hyperlink" Target="https://www.jivi.com.ar/ficha.php?id=2058" TargetMode="External"/><Relationship Id="rId152" Type="http://schemas.openxmlformats.org/officeDocument/2006/relationships/hyperlink" Target="https://www.jivi.com.ar/ficha.php?id=1079" TargetMode="External"/><Relationship Id="rId457" Type="http://schemas.openxmlformats.org/officeDocument/2006/relationships/hyperlink" Target="https://www.jivi.com.ar/ficha.php?id=1707" TargetMode="External"/><Relationship Id="rId14" Type="http://schemas.openxmlformats.org/officeDocument/2006/relationships/hyperlink" Target="https://www.jivi.com.ar/ficha.php?id=92" TargetMode="External"/><Relationship Id="rId317" Type="http://schemas.openxmlformats.org/officeDocument/2006/relationships/hyperlink" Target="https://www.jivi.com.ar/ficha.php?id=1500" TargetMode="External"/><Relationship Id="rId524" Type="http://schemas.openxmlformats.org/officeDocument/2006/relationships/hyperlink" Target="https://www.jivi.com.ar/ficha.php?id=1491" TargetMode="External"/><Relationship Id="rId98" Type="http://schemas.openxmlformats.org/officeDocument/2006/relationships/hyperlink" Target="https://www.jivi.com.ar/ficha.php?id=472" TargetMode="External"/><Relationship Id="rId163" Type="http://schemas.openxmlformats.org/officeDocument/2006/relationships/hyperlink" Target="https://www.jivi.com.ar/ficha.php?id=1120" TargetMode="External"/><Relationship Id="rId370" Type="http://schemas.openxmlformats.org/officeDocument/2006/relationships/hyperlink" Target="https://www.jivi.com.ar/ficha.php?id=1571" TargetMode="External"/><Relationship Id="rId230" Type="http://schemas.openxmlformats.org/officeDocument/2006/relationships/hyperlink" Target="https://www.jivi.com.ar/ficha.php?id=1383" TargetMode="External"/><Relationship Id="rId468" Type="http://schemas.openxmlformats.org/officeDocument/2006/relationships/hyperlink" Target="https://www.jivi.com.ar/ficha.php?id=1732" TargetMode="External"/><Relationship Id="rId25" Type="http://schemas.openxmlformats.org/officeDocument/2006/relationships/hyperlink" Target="https://www.jivi.com.ar/ficha.php?id=105" TargetMode="External"/><Relationship Id="rId328" Type="http://schemas.openxmlformats.org/officeDocument/2006/relationships/hyperlink" Target="https://www.jivi.com.ar/ficha.php?id=1517" TargetMode="External"/><Relationship Id="rId535" Type="http://schemas.openxmlformats.org/officeDocument/2006/relationships/hyperlink" Target="https://www.jivi.com.ar/ficha.php?id=1864" TargetMode="External"/><Relationship Id="rId174" Type="http://schemas.openxmlformats.org/officeDocument/2006/relationships/hyperlink" Target="https://www.jivi.com.ar/ficha.php?id=915" TargetMode="External"/><Relationship Id="rId381" Type="http://schemas.openxmlformats.org/officeDocument/2006/relationships/hyperlink" Target="https://www.jivi.com.ar/ficha.php?id=1580" TargetMode="External"/><Relationship Id="rId602" Type="http://schemas.openxmlformats.org/officeDocument/2006/relationships/hyperlink" Target="https://www.jivi.com.ar/ficha.php?id=2062" TargetMode="External"/><Relationship Id="rId241" Type="http://schemas.openxmlformats.org/officeDocument/2006/relationships/hyperlink" Target="https://www.jivi.com.ar/ficha.php?id=1399" TargetMode="External"/><Relationship Id="rId479" Type="http://schemas.openxmlformats.org/officeDocument/2006/relationships/hyperlink" Target="https://www.jivi.com.ar/ficha.php?id=1748" TargetMode="External"/><Relationship Id="rId36" Type="http://schemas.openxmlformats.org/officeDocument/2006/relationships/hyperlink" Target="https://www.jivi.com.ar/ficha.php?id=116" TargetMode="External"/><Relationship Id="rId339" Type="http://schemas.openxmlformats.org/officeDocument/2006/relationships/hyperlink" Target="https://www.jivi.com.ar/ficha.php?id=1542" TargetMode="External"/><Relationship Id="rId546" Type="http://schemas.openxmlformats.org/officeDocument/2006/relationships/hyperlink" Target="https://www.jivi.com.ar/ficha.php?id=1579" TargetMode="External"/><Relationship Id="rId101" Type="http://schemas.openxmlformats.org/officeDocument/2006/relationships/hyperlink" Target="https://www.jivi.com.ar/ficha.php?id=252" TargetMode="External"/><Relationship Id="rId185" Type="http://schemas.openxmlformats.org/officeDocument/2006/relationships/hyperlink" Target="https://www.jivi.com.ar/ficha.php?id=1222" TargetMode="External"/><Relationship Id="rId406" Type="http://schemas.openxmlformats.org/officeDocument/2006/relationships/hyperlink" Target="https://www.jivi.com.ar/ficha.php?id=1608" TargetMode="External"/><Relationship Id="rId9" Type="http://schemas.openxmlformats.org/officeDocument/2006/relationships/hyperlink" Target="https://www.jivi.com.ar/ficha.php?id=42" TargetMode="External"/><Relationship Id="rId210" Type="http://schemas.openxmlformats.org/officeDocument/2006/relationships/hyperlink" Target="https://www.jivi.com.ar/ficha.php?id=1306" TargetMode="External"/><Relationship Id="rId392" Type="http://schemas.openxmlformats.org/officeDocument/2006/relationships/hyperlink" Target="https://www.jivi.com.ar/ficha.php?id=1592" TargetMode="External"/><Relationship Id="rId448" Type="http://schemas.openxmlformats.org/officeDocument/2006/relationships/hyperlink" Target="https://www.jivi.com.ar/ficha.php?id=1699" TargetMode="External"/><Relationship Id="rId613" Type="http://schemas.openxmlformats.org/officeDocument/2006/relationships/hyperlink" Target="https://www.jivi.com.ar/ficha.php?id=2083" TargetMode="External"/><Relationship Id="rId252" Type="http://schemas.openxmlformats.org/officeDocument/2006/relationships/hyperlink" Target="https://www.jivi.com.ar/ficha.php?id=1393" TargetMode="External"/><Relationship Id="rId294" Type="http://schemas.openxmlformats.org/officeDocument/2006/relationships/hyperlink" Target="https://www.jivi.com.ar/ficha.php?id=1468" TargetMode="External"/><Relationship Id="rId308" Type="http://schemas.openxmlformats.org/officeDocument/2006/relationships/hyperlink" Target="https://www.jivi.com.ar/ficha.php?id=1488" TargetMode="External"/><Relationship Id="rId515" Type="http://schemas.openxmlformats.org/officeDocument/2006/relationships/hyperlink" Target="https://www.jivi.com.ar/ficha.php?id=1453" TargetMode="External"/><Relationship Id="rId47" Type="http://schemas.openxmlformats.org/officeDocument/2006/relationships/hyperlink" Target="https://www.jivi.com.ar/ficha.php?id=405" TargetMode="External"/><Relationship Id="rId89" Type="http://schemas.openxmlformats.org/officeDocument/2006/relationships/hyperlink" Target="https://www.jivi.com.ar/ficha.php?id=158" TargetMode="External"/><Relationship Id="rId112" Type="http://schemas.openxmlformats.org/officeDocument/2006/relationships/hyperlink" Target="https://www.jivi.com.ar/ficha.php?id=51" TargetMode="External"/><Relationship Id="rId154" Type="http://schemas.openxmlformats.org/officeDocument/2006/relationships/hyperlink" Target="https://www.jivi.com.ar/ficha.php?id=1094" TargetMode="External"/><Relationship Id="rId361" Type="http://schemas.openxmlformats.org/officeDocument/2006/relationships/hyperlink" Target="https://www.jivi.com.ar/ficha.php?id=1407" TargetMode="External"/><Relationship Id="rId557" Type="http://schemas.openxmlformats.org/officeDocument/2006/relationships/hyperlink" Target="https://www.jivi.com.ar/ficha.php?id=2002" TargetMode="External"/><Relationship Id="rId599" Type="http://schemas.openxmlformats.org/officeDocument/2006/relationships/hyperlink" Target="https://www.jivi.com.ar/ficha.php?id=2059" TargetMode="External"/><Relationship Id="rId196" Type="http://schemas.openxmlformats.org/officeDocument/2006/relationships/hyperlink" Target="https://jivi.com.ar/ficha.php?id=89" TargetMode="External"/><Relationship Id="rId417" Type="http://schemas.openxmlformats.org/officeDocument/2006/relationships/hyperlink" Target="https://www.jivi.com.ar/ficha.php?id=1619" TargetMode="External"/><Relationship Id="rId459" Type="http://schemas.openxmlformats.org/officeDocument/2006/relationships/hyperlink" Target="https://www.jivi.com.ar/ficha.php?id=1721" TargetMode="External"/><Relationship Id="rId624" Type="http://schemas.openxmlformats.org/officeDocument/2006/relationships/hyperlink" Target="https://www.jivi.com.ar/ficha.php?id=1513" TargetMode="External"/><Relationship Id="rId16" Type="http://schemas.openxmlformats.org/officeDocument/2006/relationships/hyperlink" Target="https://www.jivi.com.ar/ficha.php?id=96" TargetMode="External"/><Relationship Id="rId221" Type="http://schemas.openxmlformats.org/officeDocument/2006/relationships/hyperlink" Target="https://www.jivi.com.ar/ficha.php?id=1359" TargetMode="External"/><Relationship Id="rId263" Type="http://schemas.openxmlformats.org/officeDocument/2006/relationships/hyperlink" Target="https://www.jivi.com.ar/ficha.php?id=1421" TargetMode="External"/><Relationship Id="rId319" Type="http://schemas.openxmlformats.org/officeDocument/2006/relationships/hyperlink" Target="https://www.jivi.com.ar/ficha.php?id=1504" TargetMode="External"/><Relationship Id="rId470" Type="http://schemas.openxmlformats.org/officeDocument/2006/relationships/hyperlink" Target="https://www.jivi.com.ar/ficha.php?id=1738" TargetMode="External"/><Relationship Id="rId526" Type="http://schemas.openxmlformats.org/officeDocument/2006/relationships/hyperlink" Target="https://www.jivi.com.ar/ficha.php?id=1594" TargetMode="External"/><Relationship Id="rId58" Type="http://schemas.openxmlformats.org/officeDocument/2006/relationships/hyperlink" Target="https://www.jivi.com.ar/ficha.php?id=124" TargetMode="External"/><Relationship Id="rId123" Type="http://schemas.openxmlformats.org/officeDocument/2006/relationships/hyperlink" Target="https://www.jivi.com.ar/ficha.php?id=888" TargetMode="External"/><Relationship Id="rId330" Type="http://schemas.openxmlformats.org/officeDocument/2006/relationships/hyperlink" Target="https://www.jivi.com.ar/ficha.php?id=1559" TargetMode="External"/><Relationship Id="rId568" Type="http://schemas.openxmlformats.org/officeDocument/2006/relationships/hyperlink" Target="https://www.jivi.com.ar/ficha.php?id=2011" TargetMode="External"/><Relationship Id="rId165" Type="http://schemas.openxmlformats.org/officeDocument/2006/relationships/hyperlink" Target="https://www.jivi.com.ar/ficha.php?id=1157" TargetMode="External"/><Relationship Id="rId372" Type="http://schemas.openxmlformats.org/officeDocument/2006/relationships/hyperlink" Target="https://www.jivi.com.ar/ficha.php?id=1572" TargetMode="External"/><Relationship Id="rId428" Type="http://schemas.openxmlformats.org/officeDocument/2006/relationships/hyperlink" Target="https://www.jivi.com.ar/ficha.php?id=1639" TargetMode="External"/><Relationship Id="rId635" Type="http://schemas.openxmlformats.org/officeDocument/2006/relationships/vmlDrawing" Target="../drawings/vmlDrawing1.vml"/><Relationship Id="rId232" Type="http://schemas.openxmlformats.org/officeDocument/2006/relationships/hyperlink" Target="https://www.jivi.com.ar/ficha.php?id=1428" TargetMode="External"/><Relationship Id="rId274" Type="http://schemas.openxmlformats.org/officeDocument/2006/relationships/hyperlink" Target="https://www.jivi.com.ar/ficha.php?id=1439" TargetMode="External"/><Relationship Id="rId481" Type="http://schemas.openxmlformats.org/officeDocument/2006/relationships/hyperlink" Target="https://www.jivi.com.ar/ficha.php?id=1787" TargetMode="External"/><Relationship Id="rId27" Type="http://schemas.openxmlformats.org/officeDocument/2006/relationships/hyperlink" Target="https://www.jivi.com.ar/ficha.php?id=107" TargetMode="External"/><Relationship Id="rId69" Type="http://schemas.openxmlformats.org/officeDocument/2006/relationships/hyperlink" Target="https://www.jivi.com.ar/ficha.php?id=719" TargetMode="External"/><Relationship Id="rId134" Type="http://schemas.openxmlformats.org/officeDocument/2006/relationships/hyperlink" Target="https://www.jivi.com.ar/ficha.php?id=955" TargetMode="External"/><Relationship Id="rId537" Type="http://schemas.openxmlformats.org/officeDocument/2006/relationships/hyperlink" Target="https://www.jivi.com.ar/ficha.php?id=1055" TargetMode="External"/><Relationship Id="rId579" Type="http://schemas.openxmlformats.org/officeDocument/2006/relationships/hyperlink" Target="https://www.jivi.com.ar/ficha.php?id=2040" TargetMode="External"/><Relationship Id="rId80" Type="http://schemas.openxmlformats.org/officeDocument/2006/relationships/hyperlink" Target="https://www.jivi.com.ar/ficha.php?id=136" TargetMode="External"/><Relationship Id="rId176" Type="http://schemas.openxmlformats.org/officeDocument/2006/relationships/hyperlink" Target="https://www.jivi.com.ar/ficha.php?id=1183" TargetMode="External"/><Relationship Id="rId341" Type="http://schemas.openxmlformats.org/officeDocument/2006/relationships/hyperlink" Target="https://www.jivi.com.ar/ficha.php?id=1547" TargetMode="External"/><Relationship Id="rId383" Type="http://schemas.openxmlformats.org/officeDocument/2006/relationships/hyperlink" Target="https://www.jivi.com.ar/ficha.php?id=1583" TargetMode="External"/><Relationship Id="rId439" Type="http://schemas.openxmlformats.org/officeDocument/2006/relationships/hyperlink" Target="https://www.jivi.com.ar/ficha.php?id=1272" TargetMode="External"/><Relationship Id="rId590" Type="http://schemas.openxmlformats.org/officeDocument/2006/relationships/hyperlink" Target="https://www.jivi.com.ar/articulos.php?search=1066" TargetMode="External"/><Relationship Id="rId604" Type="http://schemas.openxmlformats.org/officeDocument/2006/relationships/hyperlink" Target="https://www.jivi.com.ar/ficha.php?id=1364" TargetMode="External"/><Relationship Id="rId201" Type="http://schemas.openxmlformats.org/officeDocument/2006/relationships/hyperlink" Target="https://www.jivi.com.ar/ficha.php?id=1267" TargetMode="External"/><Relationship Id="rId243" Type="http://schemas.openxmlformats.org/officeDocument/2006/relationships/hyperlink" Target="https://www.jivi.com.ar/ficha.php?id=1400" TargetMode="External"/><Relationship Id="rId285" Type="http://schemas.openxmlformats.org/officeDocument/2006/relationships/hyperlink" Target="https://www.jivi.com.ar/ficha.php?id=1560" TargetMode="External"/><Relationship Id="rId450" Type="http://schemas.openxmlformats.org/officeDocument/2006/relationships/hyperlink" Target="https://www.jivi.com.ar/ficha.php?id=1462" TargetMode="External"/><Relationship Id="rId506" Type="http://schemas.openxmlformats.org/officeDocument/2006/relationships/hyperlink" Target="https://www.jivi.com.ar/ficha.php?id=1447" TargetMode="External"/><Relationship Id="rId38" Type="http://schemas.openxmlformats.org/officeDocument/2006/relationships/hyperlink" Target="https://www.jivi.com.ar/ficha.php?id=399" TargetMode="External"/><Relationship Id="rId103" Type="http://schemas.openxmlformats.org/officeDocument/2006/relationships/hyperlink" Target="https://www.jivi.com.ar/ficha.php?id=220" TargetMode="External"/><Relationship Id="rId310" Type="http://schemas.openxmlformats.org/officeDocument/2006/relationships/hyperlink" Target="https://www.jivi.com.ar/ficha.php?id=1493" TargetMode="External"/><Relationship Id="rId492" Type="http://schemas.openxmlformats.org/officeDocument/2006/relationships/hyperlink" Target="https://www.jivi.com.ar/ficha.php?id=1710" TargetMode="External"/><Relationship Id="rId548" Type="http://schemas.openxmlformats.org/officeDocument/2006/relationships/hyperlink" Target="https://www.jivi.com.ar/ficha.php?id=1911" TargetMode="External"/><Relationship Id="rId91" Type="http://schemas.openxmlformats.org/officeDocument/2006/relationships/hyperlink" Target="https://www.jivi.com.ar/ficha.php?id=622" TargetMode="External"/><Relationship Id="rId145" Type="http://schemas.openxmlformats.org/officeDocument/2006/relationships/hyperlink" Target="https://www.jivi.com.ar/ficha.php?id=647" TargetMode="External"/><Relationship Id="rId187" Type="http://schemas.openxmlformats.org/officeDocument/2006/relationships/hyperlink" Target="https://www.jivi.com.ar/ficha.php?id=904" TargetMode="External"/><Relationship Id="rId352" Type="http://schemas.openxmlformats.org/officeDocument/2006/relationships/hyperlink" Target="https://www.jivi.com.ar/ficha.php?id=1558" TargetMode="External"/><Relationship Id="rId394" Type="http://schemas.openxmlformats.org/officeDocument/2006/relationships/hyperlink" Target="https://www.jivi.com.ar/ficha.php?id=1595" TargetMode="External"/><Relationship Id="rId408" Type="http://schemas.openxmlformats.org/officeDocument/2006/relationships/hyperlink" Target="https://www.jivi.com.ar/ficha.php?id=1274" TargetMode="External"/><Relationship Id="rId615" Type="http://schemas.openxmlformats.org/officeDocument/2006/relationships/hyperlink" Target="https://www.jivi.com.ar/ficha.php?id=2084" TargetMode="External"/><Relationship Id="rId212" Type="http://schemas.openxmlformats.org/officeDocument/2006/relationships/hyperlink" Target="https://www.jivi.com.ar/ficha.php?id=1290" TargetMode="External"/><Relationship Id="rId254" Type="http://schemas.openxmlformats.org/officeDocument/2006/relationships/hyperlink" Target="https://www.jivi.com.ar/ficha.php?id=1413" TargetMode="External"/><Relationship Id="rId49" Type="http://schemas.openxmlformats.org/officeDocument/2006/relationships/hyperlink" Target="https://www.jivi.com.ar/ficha.php?id=407" TargetMode="External"/><Relationship Id="rId114" Type="http://schemas.openxmlformats.org/officeDocument/2006/relationships/hyperlink" Target="https://www.jivi.com.ar/ficha.php?id=809" TargetMode="External"/><Relationship Id="rId296" Type="http://schemas.openxmlformats.org/officeDocument/2006/relationships/hyperlink" Target="https://www.jivi.com.ar/ficha.php?id=1471" TargetMode="External"/><Relationship Id="rId461" Type="http://schemas.openxmlformats.org/officeDocument/2006/relationships/hyperlink" Target="https://www.jivi.com.ar/ficha.php?id=1723" TargetMode="External"/><Relationship Id="rId517" Type="http://schemas.openxmlformats.org/officeDocument/2006/relationships/hyperlink" Target="https://www.jivi.com.ar/ficha.php?id=1131" TargetMode="External"/><Relationship Id="rId559" Type="http://schemas.openxmlformats.org/officeDocument/2006/relationships/hyperlink" Target="https://www.jivi.com.ar/ficha.php?id=1577" TargetMode="External"/><Relationship Id="rId60" Type="http://schemas.openxmlformats.org/officeDocument/2006/relationships/hyperlink" Target="https://www.jivi.com.ar/ficha.php?id=187" TargetMode="External"/><Relationship Id="rId156" Type="http://schemas.openxmlformats.org/officeDocument/2006/relationships/hyperlink" Target="https://www.jivi.com.ar/ficha.php?id=1097" TargetMode="External"/><Relationship Id="rId198" Type="http://schemas.openxmlformats.org/officeDocument/2006/relationships/hyperlink" Target="https://www.jivi.com.ar/ficha.php?id=1253" TargetMode="External"/><Relationship Id="rId321" Type="http://schemas.openxmlformats.org/officeDocument/2006/relationships/hyperlink" Target="https://www.jivi.com.ar/ficha.php?id=1506" TargetMode="External"/><Relationship Id="rId363" Type="http://schemas.openxmlformats.org/officeDocument/2006/relationships/hyperlink" Target="https://www.jivi.com.ar/ficha.php?id=1408" TargetMode="External"/><Relationship Id="rId419" Type="http://schemas.openxmlformats.org/officeDocument/2006/relationships/hyperlink" Target="https://www.jivi.com.ar/ficha.php?id=1204" TargetMode="External"/><Relationship Id="rId570" Type="http://schemas.openxmlformats.org/officeDocument/2006/relationships/hyperlink" Target="https://www.jivi.com.ar/ficha.php?id=2014" TargetMode="External"/><Relationship Id="rId626" Type="http://schemas.openxmlformats.org/officeDocument/2006/relationships/hyperlink" Target="https://www.jivi.com.ar/ficha.php?id=2142" TargetMode="External"/><Relationship Id="rId223" Type="http://schemas.openxmlformats.org/officeDocument/2006/relationships/hyperlink" Target="https://www.jivi.com.ar/ficha.php?id=1365" TargetMode="External"/><Relationship Id="rId430" Type="http://schemas.openxmlformats.org/officeDocument/2006/relationships/hyperlink" Target="https://www.jivi.com.ar/ficha.php?id=1652" TargetMode="External"/><Relationship Id="rId18" Type="http://schemas.openxmlformats.org/officeDocument/2006/relationships/hyperlink" Target="https://www.jivi.com.ar/ficha.php?id=98" TargetMode="External"/><Relationship Id="rId265" Type="http://schemas.openxmlformats.org/officeDocument/2006/relationships/hyperlink" Target="https://www.jivi.com.ar/ficha.php?id=1423" TargetMode="External"/><Relationship Id="rId472" Type="http://schemas.openxmlformats.org/officeDocument/2006/relationships/hyperlink" Target="https://www.jivi.com.ar/ficha.php?id=1742" TargetMode="External"/><Relationship Id="rId528" Type="http://schemas.openxmlformats.org/officeDocument/2006/relationships/hyperlink" Target="https://www.jivi.com.ar/ficha.php?id=1799" TargetMode="External"/><Relationship Id="rId125" Type="http://schemas.openxmlformats.org/officeDocument/2006/relationships/hyperlink" Target="https://www.jivi.com.ar/ficha.php?id=903" TargetMode="External"/><Relationship Id="rId167" Type="http://schemas.openxmlformats.org/officeDocument/2006/relationships/hyperlink" Target="hhttps://www.jivi.com.ar/ficha.php?id=1155" TargetMode="External"/><Relationship Id="rId332" Type="http://schemas.openxmlformats.org/officeDocument/2006/relationships/hyperlink" Target="https://www.jivi.com.ar/ficha.php?id=1532" TargetMode="External"/><Relationship Id="rId374" Type="http://schemas.openxmlformats.org/officeDocument/2006/relationships/hyperlink" Target="https://www.jivi.com.ar/ficha.php?id=1294" TargetMode="External"/><Relationship Id="rId581" Type="http://schemas.openxmlformats.org/officeDocument/2006/relationships/hyperlink" Target="https://www.jivi.com.ar/ficha.php?id=2042" TargetMode="External"/><Relationship Id="rId71" Type="http://schemas.openxmlformats.org/officeDocument/2006/relationships/hyperlink" Target="https://www.jivi.com.ar/ficha.php?id=134" TargetMode="External"/><Relationship Id="rId234" Type="http://schemas.openxmlformats.org/officeDocument/2006/relationships/hyperlink" Target="https://www.jivi.com.ar/ficha.php?id=1387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9" TargetMode="External"/><Relationship Id="rId276" Type="http://schemas.openxmlformats.org/officeDocument/2006/relationships/hyperlink" Target="https://www.jivi.com.ar/ficha.php?id=1427" TargetMode="External"/><Relationship Id="rId441" Type="http://schemas.openxmlformats.org/officeDocument/2006/relationships/hyperlink" Target="https://www.jivi.com.ar/ficha.php?id=1672" TargetMode="External"/><Relationship Id="rId483" Type="http://schemas.openxmlformats.org/officeDocument/2006/relationships/hyperlink" Target="https://www.jivi.com.ar/ficha.php?id=1751" TargetMode="External"/><Relationship Id="rId539" Type="http://schemas.openxmlformats.org/officeDocument/2006/relationships/hyperlink" Target="https://www.jivi.com.ar/ficha.php?id=1739" TargetMode="External"/><Relationship Id="rId40" Type="http://schemas.openxmlformats.org/officeDocument/2006/relationships/hyperlink" Target="https://www.jivi.com.ar/ficha.php?id=401" TargetMode="External"/><Relationship Id="rId136" Type="http://schemas.openxmlformats.org/officeDocument/2006/relationships/hyperlink" Target="https://www.jivi.com.ar/ficha.php?id=957" TargetMode="External"/><Relationship Id="rId178" Type="http://schemas.openxmlformats.org/officeDocument/2006/relationships/hyperlink" Target="https://www.jivi.com.ar/ficha.php?id=349" TargetMode="External"/><Relationship Id="rId301" Type="http://schemas.openxmlformats.org/officeDocument/2006/relationships/hyperlink" Target="https://www.jivi.com.ar/ficha.php?id=835" TargetMode="External"/><Relationship Id="rId343" Type="http://schemas.openxmlformats.org/officeDocument/2006/relationships/hyperlink" Target="https://www.jivi.com.ar/ficha.php?id=1548" TargetMode="External"/><Relationship Id="rId550" Type="http://schemas.openxmlformats.org/officeDocument/2006/relationships/hyperlink" Target="https://www.jivi.com.ar/ficha.php?id=1912" TargetMode="External"/><Relationship Id="rId82" Type="http://schemas.openxmlformats.org/officeDocument/2006/relationships/hyperlink" Target="https://www.jivi.com.ar/ficha.php?id=138" TargetMode="External"/><Relationship Id="rId203" Type="http://schemas.openxmlformats.org/officeDocument/2006/relationships/hyperlink" Target="https://www.jivi.com.ar/ficha.php?id=1277" TargetMode="External"/><Relationship Id="rId385" Type="http://schemas.openxmlformats.org/officeDocument/2006/relationships/hyperlink" Target="https://www.jivi.com.ar/ficha.php?id=1586" TargetMode="External"/><Relationship Id="rId592" Type="http://schemas.openxmlformats.org/officeDocument/2006/relationships/hyperlink" Target="https://www.jivi.com.ar/ficha.php?id=1416" TargetMode="External"/><Relationship Id="rId606" Type="http://schemas.openxmlformats.org/officeDocument/2006/relationships/hyperlink" Target="https://www.jivi.com.ar/ficha.php?id=2066" TargetMode="External"/><Relationship Id="rId245" Type="http://schemas.openxmlformats.org/officeDocument/2006/relationships/hyperlink" Target="https://www.jivi.com.ar/ficha.php?id=1392" TargetMode="External"/><Relationship Id="rId287" Type="http://schemas.openxmlformats.org/officeDocument/2006/relationships/hyperlink" Target="https://www.jivi.com.ar/ficha.php?id=1063" TargetMode="External"/><Relationship Id="rId410" Type="http://schemas.openxmlformats.org/officeDocument/2006/relationships/hyperlink" Target="https://www.jivi.com.ar/ficha.php?id=1611" TargetMode="External"/><Relationship Id="rId452" Type="http://schemas.openxmlformats.org/officeDocument/2006/relationships/hyperlink" Target="https://www.jivi.com.ar/ficha.php?id=1528" TargetMode="External"/><Relationship Id="rId494" Type="http://schemas.openxmlformats.org/officeDocument/2006/relationships/hyperlink" Target="https://www.jivi.com.ar/ficha.php?id=1737" TargetMode="External"/><Relationship Id="rId508" Type="http://schemas.openxmlformats.org/officeDocument/2006/relationships/hyperlink" Target="https://www.jivi.com.ar/ficha.php?id=1128" TargetMode="External"/><Relationship Id="rId105" Type="http://schemas.openxmlformats.org/officeDocument/2006/relationships/hyperlink" Target="https://www.jivi.com.ar/ficha.php?id=398" TargetMode="External"/><Relationship Id="rId147" Type="http://schemas.openxmlformats.org/officeDocument/2006/relationships/hyperlink" Target="https://www.jivi.com.ar/ficha.php?id=1059" TargetMode="External"/><Relationship Id="rId312" Type="http://schemas.openxmlformats.org/officeDocument/2006/relationships/hyperlink" Target="https://www.jivi.com.ar/ficha.php?id=1495" TargetMode="External"/><Relationship Id="rId354" Type="http://schemas.openxmlformats.org/officeDocument/2006/relationships/hyperlink" Target="https://www.jivi.com.ar/ficha.php?id=1561" TargetMode="External"/><Relationship Id="rId51" Type="http://schemas.openxmlformats.org/officeDocument/2006/relationships/hyperlink" Target="https://www.jivi.com.ar/ficha.php?id=409" TargetMode="External"/><Relationship Id="rId93" Type="http://schemas.openxmlformats.org/officeDocument/2006/relationships/hyperlink" Target="https://www.jivi.com.ar/ficha.php?id=246" TargetMode="External"/><Relationship Id="rId189" Type="http://schemas.openxmlformats.org/officeDocument/2006/relationships/hyperlink" Target="https://www.jivi.com.ar/ficha.php?id=1225" TargetMode="External"/><Relationship Id="rId396" Type="http://schemas.openxmlformats.org/officeDocument/2006/relationships/hyperlink" Target="https://www.jivi.com.ar/ficha.php?id=1598" TargetMode="External"/><Relationship Id="rId561" Type="http://schemas.openxmlformats.org/officeDocument/2006/relationships/hyperlink" Target="https://www.jivi.com.ar/ficha.php?id=2003" TargetMode="External"/><Relationship Id="rId617" Type="http://schemas.openxmlformats.org/officeDocument/2006/relationships/hyperlink" Target="https://www.jivi.com.ar/ficha.php?id=1001" TargetMode="External"/><Relationship Id="rId214" Type="http://schemas.openxmlformats.org/officeDocument/2006/relationships/hyperlink" Target="https://www.jivi.com.ar/ficha.php?id=1314" TargetMode="External"/><Relationship Id="rId256" Type="http://schemas.openxmlformats.org/officeDocument/2006/relationships/hyperlink" Target="https://www.jivi.com.ar/ficha.php?id=1356" TargetMode="External"/><Relationship Id="rId298" Type="http://schemas.openxmlformats.org/officeDocument/2006/relationships/hyperlink" Target="htthttps://www.jivi.com.ar/ficha.php?id=1476" TargetMode="External"/><Relationship Id="rId421" Type="http://schemas.openxmlformats.org/officeDocument/2006/relationships/hyperlink" Target="https://www.jivi.com.ar/ficha.php?id=1634" TargetMode="External"/><Relationship Id="rId463" Type="http://schemas.openxmlformats.org/officeDocument/2006/relationships/hyperlink" Target="https://www.jivi.com.ar/ficha.php?id=1727" TargetMode="External"/><Relationship Id="rId519" Type="http://schemas.openxmlformats.org/officeDocument/2006/relationships/hyperlink" Target="https://www.jivi.com.ar/ficha.php?id=1820" TargetMode="External"/><Relationship Id="rId116" Type="http://schemas.openxmlformats.org/officeDocument/2006/relationships/hyperlink" Target="https://www.jivi.com.ar/ficha.php?id=708" TargetMode="External"/><Relationship Id="rId158" Type="http://schemas.openxmlformats.org/officeDocument/2006/relationships/hyperlink" Target="https://www.jivi.com.ar/ficha.php?id=885" TargetMode="External"/><Relationship Id="rId323" Type="http://schemas.openxmlformats.org/officeDocument/2006/relationships/hyperlink" Target="https://www.jivi.com.ar/ficha.php?id=1508" TargetMode="External"/><Relationship Id="rId530" Type="http://schemas.openxmlformats.org/officeDocument/2006/relationships/hyperlink" Target="https://www.jivi.com.ar/ficha.php?id=666" TargetMode="External"/><Relationship Id="rId20" Type="http://schemas.openxmlformats.org/officeDocument/2006/relationships/hyperlink" Target="https://www.jivi.com.ar/ficha.php?id=100" TargetMode="External"/><Relationship Id="rId62" Type="http://schemas.openxmlformats.org/officeDocument/2006/relationships/hyperlink" Target="https://www.jivi.com.ar/ficha.php?id=55" TargetMode="External"/><Relationship Id="rId365" Type="http://schemas.openxmlformats.org/officeDocument/2006/relationships/hyperlink" Target="https://www.jivi.com.ar/ficha.php?id=1434" TargetMode="External"/><Relationship Id="rId572" Type="http://schemas.openxmlformats.org/officeDocument/2006/relationships/hyperlink" Target="https://www.jivi.com.ar/ficha.php?id=2018" TargetMode="External"/><Relationship Id="rId628" Type="http://schemas.openxmlformats.org/officeDocument/2006/relationships/hyperlink" Target="https://www.jivi.com.ar/ficha.php?id=2146" TargetMode="External"/><Relationship Id="rId225" Type="http://schemas.openxmlformats.org/officeDocument/2006/relationships/hyperlink" Target="https://www.jivi.com.ar/registro.php" TargetMode="External"/><Relationship Id="rId267" Type="http://schemas.openxmlformats.org/officeDocument/2006/relationships/hyperlink" Target="https://www.jivi.com.ar/ficha.php?id=1426" TargetMode="External"/><Relationship Id="rId432" Type="http://schemas.openxmlformats.org/officeDocument/2006/relationships/hyperlink" Target="https://www.jivi.com.ar/ficha.php?id=1657" TargetMode="External"/><Relationship Id="rId474" Type="http://schemas.openxmlformats.org/officeDocument/2006/relationships/hyperlink" Target="https://www.jivi.com.ar/ficha.php?id=1743" TargetMode="External"/><Relationship Id="rId127" Type="http://schemas.openxmlformats.org/officeDocument/2006/relationships/hyperlink" Target="https://www.jivi.com.ar/ficha.php?id=916" TargetMode="External"/><Relationship Id="rId31" Type="http://schemas.openxmlformats.org/officeDocument/2006/relationships/hyperlink" Target="https://www.jivi.com.ar/ficha.php?id=111" TargetMode="External"/><Relationship Id="rId73" Type="http://schemas.openxmlformats.org/officeDocument/2006/relationships/hyperlink" Target="https://www.jivi.com.ar/ficha.php?id=145" TargetMode="External"/><Relationship Id="rId169" Type="http://schemas.openxmlformats.org/officeDocument/2006/relationships/hyperlink" Target="https://www.jivi.com.ar/ficha.php?id=1168" TargetMode="External"/><Relationship Id="rId334" Type="http://schemas.openxmlformats.org/officeDocument/2006/relationships/hyperlink" Target="https://www.jivi.com.ar/ficha.php?id=1535" TargetMode="External"/><Relationship Id="rId376" Type="http://schemas.openxmlformats.org/officeDocument/2006/relationships/hyperlink" Target="https://www.jivi.com.ar/ficha.php?id=1296" TargetMode="External"/><Relationship Id="rId541" Type="http://schemas.openxmlformats.org/officeDocument/2006/relationships/hyperlink" Target="https://www.jivi.com.ar/ficha.php?id=1379" TargetMode="External"/><Relationship Id="rId583" Type="http://schemas.openxmlformats.org/officeDocument/2006/relationships/hyperlink" Target="https://www.jivi.com.ar/ficha.php?id=249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181" TargetMode="External"/><Relationship Id="rId236" Type="http://schemas.openxmlformats.org/officeDocument/2006/relationships/hyperlink" Target="https://www.jivi.com.ar/ficha.php?id=363" TargetMode="External"/><Relationship Id="rId278" Type="http://schemas.openxmlformats.org/officeDocument/2006/relationships/hyperlink" Target="https://www.jivi.com.ar/ficha.php?id=1056" TargetMode="External"/><Relationship Id="rId401" Type="http://schemas.openxmlformats.org/officeDocument/2006/relationships/hyperlink" Target="https://www.jivi.com.ar/ficha.php?id=1604" TargetMode="External"/><Relationship Id="rId443" Type="http://schemas.openxmlformats.org/officeDocument/2006/relationships/hyperlink" Target="https://www.jivi.com.ar/ficha.php?id=1691" TargetMode="External"/><Relationship Id="rId303" Type="http://schemas.openxmlformats.org/officeDocument/2006/relationships/hyperlink" Target="https://www.jivi.com.ar/ficha.php?id=1479" TargetMode="External"/><Relationship Id="rId485" Type="http://schemas.openxmlformats.org/officeDocument/2006/relationships/hyperlink" Target="https://www.jivi.com.ar/ficha.php?id=1776" TargetMode="External"/><Relationship Id="rId42" Type="http://schemas.openxmlformats.org/officeDocument/2006/relationships/hyperlink" Target="https://www.jivi.com.ar/ficha.php?id=403" TargetMode="External"/><Relationship Id="rId84" Type="http://schemas.openxmlformats.org/officeDocument/2006/relationships/hyperlink" Target="https://www.jivi.com.ar/ficha.php?id=166" TargetMode="External"/><Relationship Id="rId138" Type="http://schemas.openxmlformats.org/officeDocument/2006/relationships/hyperlink" Target="https://www.jivi.com.ar/ficha.php?id=973" TargetMode="External"/><Relationship Id="rId345" Type="http://schemas.openxmlformats.org/officeDocument/2006/relationships/hyperlink" Target="https://www.jivi.com.ar/ficha.php?id=1551" TargetMode="External"/><Relationship Id="rId387" Type="http://schemas.openxmlformats.org/officeDocument/2006/relationships/hyperlink" Target="https://www.jivi.com.ar/ficha.php?id=1221" TargetMode="External"/><Relationship Id="rId510" Type="http://schemas.openxmlformats.org/officeDocument/2006/relationships/hyperlink" Target="https://www.jivi.com.ar/ficha.php?id=1804" TargetMode="External"/><Relationship Id="rId552" Type="http://schemas.openxmlformats.org/officeDocument/2006/relationships/hyperlink" Target="https://www.jivi.com.ar/ficha.php?id=1880" TargetMode="External"/><Relationship Id="rId594" Type="http://schemas.openxmlformats.org/officeDocument/2006/relationships/hyperlink" Target="https://www.jivi.com.ar/ficha.php?id=2052" TargetMode="External"/><Relationship Id="rId608" Type="http://schemas.openxmlformats.org/officeDocument/2006/relationships/hyperlink" Target="https://www.jivi.com.ar/ficha.php?id=2068" TargetMode="External"/><Relationship Id="rId191" Type="http://schemas.openxmlformats.org/officeDocument/2006/relationships/hyperlink" Target="https://www.jivi.com.ar/ficha.php?id=919" TargetMode="External"/><Relationship Id="rId205" Type="http://schemas.openxmlformats.org/officeDocument/2006/relationships/hyperlink" Target="https://www.jivi.com.ar/ficha.php?id=378" TargetMode="External"/><Relationship Id="rId247" Type="http://schemas.openxmlformats.org/officeDocument/2006/relationships/hyperlink" Target="https://www.jivi.com.ar/ficha.php?id=1110" TargetMode="External"/><Relationship Id="rId412" Type="http://schemas.openxmlformats.org/officeDocument/2006/relationships/hyperlink" Target="https://www.jivi.com.ar/ficha.php?id=1614" TargetMode="External"/><Relationship Id="rId107" Type="http://schemas.openxmlformats.org/officeDocument/2006/relationships/hyperlink" Target="https://www.jivi.com.ar/ficha.php?id=566" TargetMode="External"/><Relationship Id="rId289" Type="http://schemas.openxmlformats.org/officeDocument/2006/relationships/hyperlink" Target="https://www.jivi.com.ar/ficha.php?id=969" TargetMode="External"/><Relationship Id="rId454" Type="http://schemas.openxmlformats.org/officeDocument/2006/relationships/hyperlink" Target="https://www.jivi.com.ar/ficha.php?id=977" TargetMode="External"/><Relationship Id="rId496" Type="http://schemas.openxmlformats.org/officeDocument/2006/relationships/hyperlink" Target="https://www.jivi.com.ar/ficha.php?id=1781" TargetMode="External"/><Relationship Id="rId11" Type="http://schemas.openxmlformats.org/officeDocument/2006/relationships/hyperlink" Target="https://www.jivi.com.ar/ficha.php?id=650" TargetMode="External"/><Relationship Id="rId53" Type="http://schemas.openxmlformats.org/officeDocument/2006/relationships/hyperlink" Target="https://www.jivi.com.ar/ficha.php?id=119" TargetMode="External"/><Relationship Id="rId149" Type="http://schemas.openxmlformats.org/officeDocument/2006/relationships/hyperlink" Target="https://www.jivi.com.ar/ficha.php?id=1062" TargetMode="External"/><Relationship Id="rId314" Type="http://schemas.openxmlformats.org/officeDocument/2006/relationships/hyperlink" Target="https://www.jivi.com.ar/ficha.php?id=1497" TargetMode="External"/><Relationship Id="rId356" Type="http://schemas.openxmlformats.org/officeDocument/2006/relationships/hyperlink" Target="https://www.jivi.com.ar/ficha.php?id=1066" TargetMode="External"/><Relationship Id="rId398" Type="http://schemas.openxmlformats.org/officeDocument/2006/relationships/hyperlink" Target="https://www.jivi.com.ar/ficha.php?id=1602" TargetMode="External"/><Relationship Id="rId521" Type="http://schemas.openxmlformats.org/officeDocument/2006/relationships/hyperlink" Target="https://www.jivi.com.ar/ficha.php?id=1533" TargetMode="External"/><Relationship Id="rId563" Type="http://schemas.openxmlformats.org/officeDocument/2006/relationships/hyperlink" Target="https://www.jivi.com.ar/ficha.php?id=1258" TargetMode="External"/><Relationship Id="rId619" Type="http://schemas.openxmlformats.org/officeDocument/2006/relationships/hyperlink" Target="https://www.jivi.com.ar/ficha.php?id=1512" TargetMode="External"/><Relationship Id="rId95" Type="http://schemas.openxmlformats.org/officeDocument/2006/relationships/hyperlink" Target="https://www.jivi.com.ar/ficha.php?id=728" TargetMode="External"/><Relationship Id="rId160" Type="http://schemas.openxmlformats.org/officeDocument/2006/relationships/hyperlink" Target="https://www.jivi.com.ar/ficha.php?id=1108" TargetMode="External"/><Relationship Id="rId216" Type="http://schemas.openxmlformats.org/officeDocument/2006/relationships/hyperlink" Target="https://www.jivi.com.ar/ficha.php?id=1344" TargetMode="External"/><Relationship Id="rId423" Type="http://schemas.openxmlformats.org/officeDocument/2006/relationships/hyperlink" Target="https://www.jivi.com.ar/ficha.php?id=968" TargetMode="External"/><Relationship Id="rId258" Type="http://schemas.openxmlformats.org/officeDocument/2006/relationships/hyperlink" Target="https://www.jivi.com.ar/ficha.php?id=1353" TargetMode="External"/><Relationship Id="rId465" Type="http://schemas.openxmlformats.org/officeDocument/2006/relationships/hyperlink" Target="https://www.jivi.com.ar/ficha.php?id=1729" TargetMode="External"/><Relationship Id="rId630" Type="http://schemas.openxmlformats.org/officeDocument/2006/relationships/hyperlink" Target="https://www.jivi.com.ar/ficha.php?id=2169" TargetMode="External"/><Relationship Id="rId22" Type="http://schemas.openxmlformats.org/officeDocument/2006/relationships/hyperlink" Target="https://www.jivi.com.ar/ficha.php?id=102" TargetMode="External"/><Relationship Id="rId64" Type="http://schemas.openxmlformats.org/officeDocument/2006/relationships/hyperlink" Target="https://www.jivi.com.ar/ficha.php?id=284" TargetMode="External"/><Relationship Id="rId118" Type="http://schemas.openxmlformats.org/officeDocument/2006/relationships/hyperlink" Target="https://www.jivi.com.ar/ficha.php?id=840" TargetMode="External"/><Relationship Id="rId325" Type="http://schemas.openxmlformats.org/officeDocument/2006/relationships/hyperlink" Target="https://www.jivi.com.ar/ficha.php?id=1511" TargetMode="External"/><Relationship Id="rId367" Type="http://schemas.openxmlformats.org/officeDocument/2006/relationships/hyperlink" Target="https://www.jivi.com.ar/ficha.php?id=1568" TargetMode="External"/><Relationship Id="rId532" Type="http://schemas.openxmlformats.org/officeDocument/2006/relationships/hyperlink" Target="https://www.jivi.com.ar/ficha.php?id=1847" TargetMode="External"/><Relationship Id="rId574" Type="http://schemas.openxmlformats.org/officeDocument/2006/relationships/hyperlink" Target="https://www.jivi.com.ar/ficha.php?id=2026" TargetMode="External"/><Relationship Id="rId171" Type="http://schemas.openxmlformats.org/officeDocument/2006/relationships/hyperlink" Target="https://www.jivi.com.ar/ficha.php?id=975" TargetMode="External"/><Relationship Id="rId227" Type="http://schemas.openxmlformats.org/officeDocument/2006/relationships/hyperlink" Target="https://www.jivi.com.ar/ficha.php?id=1372" TargetMode="External"/><Relationship Id="rId269" Type="http://schemas.openxmlformats.org/officeDocument/2006/relationships/hyperlink" Target="https://www.jivi.com.ar/ficha.php?id=1431" TargetMode="External"/><Relationship Id="rId434" Type="http://schemas.openxmlformats.org/officeDocument/2006/relationships/hyperlink" Target="https://www.jivi.com.ar/ficha.php?id=440" TargetMode="External"/><Relationship Id="rId476" Type="http://schemas.openxmlformats.org/officeDocument/2006/relationships/hyperlink" Target="https://www.jivi.com.ar/ficha.php?id=1745" TargetMode="External"/><Relationship Id="rId33" Type="http://schemas.openxmlformats.org/officeDocument/2006/relationships/hyperlink" Target="https://www.jivi.com.ar/ficha.php?id=112" TargetMode="External"/><Relationship Id="rId129" Type="http://schemas.openxmlformats.org/officeDocument/2006/relationships/hyperlink" Target="https://www.jivi.com.ar/ficha.php?id=926" TargetMode="External"/><Relationship Id="rId280" Type="http://schemas.openxmlformats.org/officeDocument/2006/relationships/hyperlink" Target="https://www.jivi.com.ar/ficha.php?id=1335" TargetMode="External"/><Relationship Id="rId336" Type="http://schemas.openxmlformats.org/officeDocument/2006/relationships/hyperlink" Target="https://www.jivi.com.ar/ficha.php?id=1539" TargetMode="External"/><Relationship Id="rId501" Type="http://schemas.openxmlformats.org/officeDocument/2006/relationships/hyperlink" Target="https://www.jivi.com.ar/ficha.php?id=1308" TargetMode="External"/><Relationship Id="rId543" Type="http://schemas.openxmlformats.org/officeDocument/2006/relationships/hyperlink" Target="https://www.jivi.com.ar/ficha.php?id=1840" TargetMode="External"/><Relationship Id="rId75" Type="http://schemas.openxmlformats.org/officeDocument/2006/relationships/hyperlink" Target="https://www.jivi.com.ar/ficha.php?id=19" TargetMode="External"/><Relationship Id="rId140" Type="http://schemas.openxmlformats.org/officeDocument/2006/relationships/hyperlink" Target="https://www.jivi.com.ar/ficha.php?id=1006" TargetMode="External"/><Relationship Id="rId182" Type="http://schemas.openxmlformats.org/officeDocument/2006/relationships/hyperlink" Target="https://www.jivi.com.ar/ficha.php?id=1218" TargetMode="External"/><Relationship Id="rId378" Type="http://schemas.openxmlformats.org/officeDocument/2006/relationships/hyperlink" Target="https://www.jivi.com.ar/ficha.php?id=1249" TargetMode="External"/><Relationship Id="rId403" Type="http://schemas.openxmlformats.org/officeDocument/2006/relationships/hyperlink" Target="https://www.jivi.com.ar/ficha.php?id=1424" TargetMode="External"/><Relationship Id="rId585" Type="http://schemas.openxmlformats.org/officeDocument/2006/relationships/hyperlink" Target="https://www.jivi.com.ar/ficha.php?id=1390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343" TargetMode="External"/><Relationship Id="rId445" Type="http://schemas.openxmlformats.org/officeDocument/2006/relationships/hyperlink" Target="https://www.jivi.com.ar/ficha.php?id=36" TargetMode="External"/><Relationship Id="rId487" Type="http://schemas.openxmlformats.org/officeDocument/2006/relationships/hyperlink" Target="https://www.jivi.com.ar/ficha.php?id=1304" TargetMode="External"/><Relationship Id="rId610" Type="http://schemas.openxmlformats.org/officeDocument/2006/relationships/hyperlink" Target="https://www.jivi.com.ar/ficha.php?id=2069" TargetMode="External"/><Relationship Id="rId291" Type="http://schemas.openxmlformats.org/officeDocument/2006/relationships/hyperlink" Target="https://www.jivi.com.ar/ficha.php?id=1464" TargetMode="External"/><Relationship Id="rId305" Type="http://schemas.openxmlformats.org/officeDocument/2006/relationships/hyperlink" Target="https://www.jivi.com.ar/ficha.php?id=1481" TargetMode="External"/><Relationship Id="rId347" Type="http://schemas.openxmlformats.org/officeDocument/2006/relationships/hyperlink" Target="https://www.jivi.com.ar/ficha.php?id=1311" TargetMode="External"/><Relationship Id="rId512" Type="http://schemas.openxmlformats.org/officeDocument/2006/relationships/hyperlink" Target="https://www.jivi.com.ar/ficha.php?id=1342" TargetMode="External"/><Relationship Id="rId44" Type="http://schemas.openxmlformats.org/officeDocument/2006/relationships/hyperlink" Target="https://www.jivi.com.ar/ficha.php?id=713" TargetMode="External"/><Relationship Id="rId86" Type="http://schemas.openxmlformats.org/officeDocument/2006/relationships/hyperlink" Target="https://www.jivi.com.ar/ficha.php?id=168" TargetMode="External"/><Relationship Id="rId151" Type="http://schemas.openxmlformats.org/officeDocument/2006/relationships/hyperlink" Target="https://www.jivi.com.ar/ficha.php?id=1080" TargetMode="External"/><Relationship Id="rId389" Type="http://schemas.openxmlformats.org/officeDocument/2006/relationships/hyperlink" Target="https://www.jivi.com.ar/ficha.php?id=1589" TargetMode="External"/><Relationship Id="rId554" Type="http://schemas.openxmlformats.org/officeDocument/2006/relationships/hyperlink" Target="https://www.jivi.com.ar/ficha.php?id=1998" TargetMode="External"/><Relationship Id="rId596" Type="http://schemas.openxmlformats.org/officeDocument/2006/relationships/hyperlink" Target="https://www.jivi.com.ar/ficha.php?id=2055" TargetMode="External"/><Relationship Id="rId193" Type="http://schemas.openxmlformats.org/officeDocument/2006/relationships/hyperlink" Target="https://www.jivi.com.ar/ficha.php?id=1232" TargetMode="External"/><Relationship Id="rId207" Type="http://schemas.openxmlformats.org/officeDocument/2006/relationships/hyperlink" Target="https://www.jivi.com.ar/ficha.php?id=1302" TargetMode="External"/><Relationship Id="rId249" Type="http://schemas.openxmlformats.org/officeDocument/2006/relationships/hyperlink" Target="https://www.jivi.com.ar/ficha.php?id=477" TargetMode="External"/><Relationship Id="rId414" Type="http://schemas.openxmlformats.org/officeDocument/2006/relationships/hyperlink" Target="https://www.jivi.com.ar/ficha.php?id=608" TargetMode="External"/><Relationship Id="rId456" Type="http://schemas.openxmlformats.org/officeDocument/2006/relationships/hyperlink" Target="https://www.jivi.com.ar/ficha.php?id=1456" TargetMode="External"/><Relationship Id="rId498" Type="http://schemas.openxmlformats.org/officeDocument/2006/relationships/hyperlink" Target="https://www.jivi.com.ar/ficha.php?id=1340" TargetMode="External"/><Relationship Id="rId621" Type="http://schemas.openxmlformats.org/officeDocument/2006/relationships/hyperlink" Target="https://www.jivi.com.ar/ficha.php?id=1299" TargetMode="External"/><Relationship Id="rId13" Type="http://schemas.openxmlformats.org/officeDocument/2006/relationships/hyperlink" Target="https://www.jivi.com.ar/ficha.php?id=77" TargetMode="External"/><Relationship Id="rId109" Type="http://schemas.openxmlformats.org/officeDocument/2006/relationships/hyperlink" Target="https://www.jivi.com.ar/ficha.php?id=214" TargetMode="External"/><Relationship Id="rId260" Type="http://schemas.openxmlformats.org/officeDocument/2006/relationships/hyperlink" Target="https://www.jivi.com.ar/ficha.php?id=1418" TargetMode="External"/><Relationship Id="rId316" Type="http://schemas.openxmlformats.org/officeDocument/2006/relationships/hyperlink" Target="https://www.jivi.com.ar/ficha.php?id=1499" TargetMode="External"/><Relationship Id="rId523" Type="http://schemas.openxmlformats.org/officeDocument/2006/relationships/hyperlink" Target="https://www.jivi.com.ar/ficha.php?id=1825" TargetMode="External"/><Relationship Id="rId55" Type="http://schemas.openxmlformats.org/officeDocument/2006/relationships/hyperlink" Target="https://www.jivi.com.ar/ficha.php?id=121" TargetMode="External"/><Relationship Id="rId97" Type="http://schemas.openxmlformats.org/officeDocument/2006/relationships/hyperlink" Target="https://www.jivi.com.ar/ficha.php?id=181" TargetMode="External"/><Relationship Id="rId120" Type="http://schemas.openxmlformats.org/officeDocument/2006/relationships/hyperlink" Target="https://www.jivi.com.ar/ficha.php?id=848" TargetMode="External"/><Relationship Id="rId358" Type="http://schemas.openxmlformats.org/officeDocument/2006/relationships/hyperlink" Target="https://www.jivi.com.ar/ficha.php?id=1563" TargetMode="External"/><Relationship Id="rId565" Type="http://schemas.openxmlformats.org/officeDocument/2006/relationships/hyperlink" Target="https://www.jivi.com.ar/ficha.php?id=1658" TargetMode="External"/><Relationship Id="rId162" Type="http://schemas.openxmlformats.org/officeDocument/2006/relationships/hyperlink" Target="https://www.jivi.com.ar/ficha.php?id=1119" TargetMode="External"/><Relationship Id="rId218" Type="http://schemas.openxmlformats.org/officeDocument/2006/relationships/hyperlink" Target="https://www.jivi.com.ar/ficha.php?id=1346" TargetMode="External"/><Relationship Id="rId425" Type="http://schemas.openxmlformats.org/officeDocument/2006/relationships/hyperlink" Target="https://www.jivi.com.ar/ficha.php?id=1642" TargetMode="External"/><Relationship Id="rId467" Type="http://schemas.openxmlformats.org/officeDocument/2006/relationships/hyperlink" Target="https://www.jivi.com.ar/ficha.php?id=1731" TargetMode="External"/><Relationship Id="rId632" Type="http://schemas.openxmlformats.org/officeDocument/2006/relationships/hyperlink" Target="https://www.jivi.com.ar/ficha.php?id=2171" TargetMode="External"/><Relationship Id="rId271" Type="http://schemas.openxmlformats.org/officeDocument/2006/relationships/hyperlink" Target="https://www.jivi.com.ar/ficha.php?id=1436" TargetMode="External"/><Relationship Id="rId24" Type="http://schemas.openxmlformats.org/officeDocument/2006/relationships/hyperlink" Target="https://www.jivi.com.ar/ficha.php?id=104" TargetMode="External"/><Relationship Id="rId66" Type="http://schemas.openxmlformats.org/officeDocument/2006/relationships/hyperlink" Target="https://www.jivi.com.ar/ficha.php?id=380" TargetMode="External"/><Relationship Id="rId131" Type="http://schemas.openxmlformats.org/officeDocument/2006/relationships/hyperlink" Target="https://www.jivi.com.ar/ficha.php?id=247" TargetMode="External"/><Relationship Id="rId327" Type="http://schemas.openxmlformats.org/officeDocument/2006/relationships/hyperlink" Target="https://www.jivi.com.ar/ficha.php?id=1516" TargetMode="External"/><Relationship Id="rId369" Type="http://schemas.openxmlformats.org/officeDocument/2006/relationships/hyperlink" Target="https://www.jivi.com.ar/ficha.php?id=1570" TargetMode="External"/><Relationship Id="rId534" Type="http://schemas.openxmlformats.org/officeDocument/2006/relationships/hyperlink" Target="https://www.jivi.com.ar/ficha.php?id=1520" TargetMode="External"/><Relationship Id="rId576" Type="http://schemas.openxmlformats.org/officeDocument/2006/relationships/hyperlink" Target="https://www.jivi.com.ar/ficha.php?id=444" TargetMode="External"/><Relationship Id="rId173" Type="http://schemas.openxmlformats.org/officeDocument/2006/relationships/hyperlink" Target="https://www.jivi.com.ar/ficha.php?id=1175" TargetMode="External"/><Relationship Id="rId229" Type="http://schemas.openxmlformats.org/officeDocument/2006/relationships/hyperlink" Target="https://www.jivi.com.ar/ficha.php?id=1382" TargetMode="External"/><Relationship Id="rId380" Type="http://schemas.openxmlformats.org/officeDocument/2006/relationships/hyperlink" Target="https://www.jivi.com.ar/ficha.php?id=1576" TargetMode="External"/><Relationship Id="rId436" Type="http://schemas.openxmlformats.org/officeDocument/2006/relationships/hyperlink" Target="https://www.jivi.com.ar/ficha.php?id=1666" TargetMode="External"/><Relationship Id="rId601" Type="http://schemas.openxmlformats.org/officeDocument/2006/relationships/hyperlink" Target="https://www.jivi.com.ar/ficha.php?id=2061" TargetMode="External"/><Relationship Id="rId240" Type="http://schemas.openxmlformats.org/officeDocument/2006/relationships/hyperlink" Target="https://www.jivi.com.ar/ficha.php?id=872" TargetMode="External"/><Relationship Id="rId478" Type="http://schemas.openxmlformats.org/officeDocument/2006/relationships/hyperlink" Target="https://www.jivi.com.ar/ficha.php?id=1747" TargetMode="External"/><Relationship Id="rId35" Type="http://schemas.openxmlformats.org/officeDocument/2006/relationships/hyperlink" Target="https://www.jivi.com.ar/ficha.php?id=115" TargetMode="External"/><Relationship Id="rId77" Type="http://schemas.openxmlformats.org/officeDocument/2006/relationships/hyperlink" Target="https://www.jivi.com.ar/ficha.php?id=392" TargetMode="External"/><Relationship Id="rId100" Type="http://schemas.openxmlformats.org/officeDocument/2006/relationships/hyperlink" Target="http://whttps/www.jivi.com.ar/ficha.php?id=253" TargetMode="External"/><Relationship Id="rId282" Type="http://schemas.openxmlformats.org/officeDocument/2006/relationships/hyperlink" Target="https://www.jivi.com.ar/ficha.php?id=1354" TargetMode="External"/><Relationship Id="rId338" Type="http://schemas.openxmlformats.org/officeDocument/2006/relationships/hyperlink" Target="https://www.jivi.com.ar/ficha.php?id=1541" TargetMode="External"/><Relationship Id="rId503" Type="http://schemas.openxmlformats.org/officeDocument/2006/relationships/hyperlink" Target="https://www.jivi.com.ar/ficha.php?id=1790" TargetMode="External"/><Relationship Id="rId545" Type="http://schemas.openxmlformats.org/officeDocument/2006/relationships/hyperlink" Target="https://www.jivi.com.ar/ficha.php?id=1886" TargetMode="External"/><Relationship Id="rId587" Type="http://schemas.openxmlformats.org/officeDocument/2006/relationships/hyperlink" Target="https://www.jivi.com.ar/ficha.php?id=1278" TargetMode="External"/><Relationship Id="rId8" Type="http://schemas.openxmlformats.org/officeDocument/2006/relationships/hyperlink" Target="https://www.jivi.com.ar/ficha.php?id=41" TargetMode="External"/><Relationship Id="rId142" Type="http://schemas.openxmlformats.org/officeDocument/2006/relationships/hyperlink" Target="https://www.jivi.com.ar/ficha.php?id=251" TargetMode="External"/><Relationship Id="rId184" Type="http://schemas.openxmlformats.org/officeDocument/2006/relationships/hyperlink" Target="https://www.jivi.com.ar/ficha.php?id=1220" TargetMode="External"/><Relationship Id="rId391" Type="http://schemas.openxmlformats.org/officeDocument/2006/relationships/hyperlink" Target="https://www.jivi.com.ar/ficha.php?id=1591" TargetMode="External"/><Relationship Id="rId405" Type="http://schemas.openxmlformats.org/officeDocument/2006/relationships/hyperlink" Target="https://www.jivi.com.ar/ficha.php?id=1459" TargetMode="External"/><Relationship Id="rId447" Type="http://schemas.openxmlformats.org/officeDocument/2006/relationships/hyperlink" Target="https://www.jivi.com.ar/ficha.php?id=1698" TargetMode="External"/><Relationship Id="rId612" Type="http://schemas.openxmlformats.org/officeDocument/2006/relationships/hyperlink" Target="https://www.jivi.com.ar/ficha.php?id=1775" TargetMode="External"/><Relationship Id="rId251" Type="http://schemas.openxmlformats.org/officeDocument/2006/relationships/hyperlink" Target="https://www.jivi.com.ar/ficha.php?id=1402" TargetMode="External"/><Relationship Id="rId489" Type="http://schemas.openxmlformats.org/officeDocument/2006/relationships/hyperlink" Target="https://www.jivi.com.ar/ficha.php?id=1777" TargetMode="External"/><Relationship Id="rId46" Type="http://schemas.openxmlformats.org/officeDocument/2006/relationships/hyperlink" Target="https://www.jivi.com.ar/ficha.php?id=404" TargetMode="External"/><Relationship Id="rId293" Type="http://schemas.openxmlformats.org/officeDocument/2006/relationships/hyperlink" Target="https://www.jivi.com.ar/ficha.php?id=1467" TargetMode="External"/><Relationship Id="rId307" Type="http://schemas.openxmlformats.org/officeDocument/2006/relationships/hyperlink" Target="https://www.jivi.com.ar/ficha.php?id=1486" TargetMode="External"/><Relationship Id="rId349" Type="http://schemas.openxmlformats.org/officeDocument/2006/relationships/hyperlink" Target="https://www.jivi.com.ar/ficha.php?id=1554" TargetMode="External"/><Relationship Id="rId514" Type="http://schemas.openxmlformats.org/officeDocument/2006/relationships/hyperlink" Target="https://www.jivi.com.ar/ficha.php?id=1377" TargetMode="External"/><Relationship Id="rId556" Type="http://schemas.openxmlformats.org/officeDocument/2006/relationships/hyperlink" Target="https://www.jivi.com.ar/ficha.php?id=2000" TargetMode="External"/><Relationship Id="rId88" Type="http://schemas.openxmlformats.org/officeDocument/2006/relationships/hyperlink" Target="https://www.jivi.com.ar/ficha.php?id=148" TargetMode="External"/><Relationship Id="rId111" Type="http://schemas.openxmlformats.org/officeDocument/2006/relationships/hyperlink" Target="https://www.jivi.com.ar/ficha.php?id=234" TargetMode="External"/><Relationship Id="rId153" Type="http://schemas.openxmlformats.org/officeDocument/2006/relationships/hyperlink" Target="https://www.jivi.com.ar/ficha.php?id=1095" TargetMode="External"/><Relationship Id="rId195" Type="http://schemas.openxmlformats.org/officeDocument/2006/relationships/hyperlink" Target="https://www.jivi.com.ar/ficha.php?id=920" TargetMode="External"/><Relationship Id="rId209" Type="http://schemas.openxmlformats.org/officeDocument/2006/relationships/hyperlink" Target="https://www.jivi.com.ar/ficha.php?id=1305" TargetMode="External"/><Relationship Id="rId360" Type="http://schemas.openxmlformats.org/officeDocument/2006/relationships/hyperlink" Target="https://www.jivi.com.ar/ficha.php?id=790" TargetMode="External"/><Relationship Id="rId416" Type="http://schemas.openxmlformats.org/officeDocument/2006/relationships/hyperlink" Target="https://www.jivi.com.ar/ficha.php?id=1618" TargetMode="External"/><Relationship Id="rId598" Type="http://schemas.openxmlformats.org/officeDocument/2006/relationships/hyperlink" Target="https://www.jivi.com.ar/ficha.php?id=971" TargetMode="External"/><Relationship Id="rId220" Type="http://schemas.openxmlformats.org/officeDocument/2006/relationships/hyperlink" Target="https://www.jivi.com.ar/ficha.php?id=1348" TargetMode="External"/><Relationship Id="rId458" Type="http://schemas.openxmlformats.org/officeDocument/2006/relationships/hyperlink" Target="https://www.jivi.com.ar/ficha.php?id=1708" TargetMode="External"/><Relationship Id="rId623" Type="http://schemas.openxmlformats.org/officeDocument/2006/relationships/hyperlink" Target="https://www.jivi.com.ar/ficha.php?id=2101" TargetMode="External"/><Relationship Id="rId15" Type="http://schemas.openxmlformats.org/officeDocument/2006/relationships/hyperlink" Target="https://www.jivi.com.ar/ficha.php?id=93" TargetMode="External"/><Relationship Id="rId57" Type="http://schemas.openxmlformats.org/officeDocument/2006/relationships/hyperlink" Target="https://www.jivi.com.ar/ficha.php?id=123" TargetMode="External"/><Relationship Id="rId262" Type="http://schemas.openxmlformats.org/officeDocument/2006/relationships/hyperlink" Target="https://www.jivi.com.ar/ficha.php?id=1420" TargetMode="External"/><Relationship Id="rId318" Type="http://schemas.openxmlformats.org/officeDocument/2006/relationships/hyperlink" Target="https://www.jivi.com.ar/ficha.php?id=1502" TargetMode="External"/><Relationship Id="rId525" Type="http://schemas.openxmlformats.org/officeDocument/2006/relationships/hyperlink" Target="https://www.jivi.com.ar/ficha.php?id=149" TargetMode="External"/><Relationship Id="rId567" Type="http://schemas.openxmlformats.org/officeDocument/2006/relationships/hyperlink" Target="https://www.jivi.com.ar/ficha.php?id=2010" TargetMode="External"/><Relationship Id="rId99" Type="http://schemas.openxmlformats.org/officeDocument/2006/relationships/hyperlink" Target="https://www.jivi.com.ar/ficha.php?id=473" TargetMode="External"/><Relationship Id="rId122" Type="http://schemas.openxmlformats.org/officeDocument/2006/relationships/hyperlink" Target="https://www.jivi.com.ar/ficha.php?id=862" TargetMode="External"/><Relationship Id="rId164" Type="http://schemas.openxmlformats.org/officeDocument/2006/relationships/hyperlink" Target="https://www.jivi.com.ar/ficha.php?id=1154" TargetMode="External"/><Relationship Id="rId371" Type="http://schemas.openxmlformats.org/officeDocument/2006/relationships/hyperlink" Target="https://www.jivi.com.ar/ficha.php?id=1518" TargetMode="External"/><Relationship Id="rId427" Type="http://schemas.openxmlformats.org/officeDocument/2006/relationships/hyperlink" Target="https://www.jivi.com.ar/ficha.php?id=1641" TargetMode="External"/><Relationship Id="rId469" Type="http://schemas.openxmlformats.org/officeDocument/2006/relationships/hyperlink" Target="https://www.jivi.com.ar/ficha.php?id=1734" TargetMode="External"/><Relationship Id="rId634" Type="http://schemas.openxmlformats.org/officeDocument/2006/relationships/drawing" Target="../drawings/drawing1.xml"/><Relationship Id="rId26" Type="http://schemas.openxmlformats.org/officeDocument/2006/relationships/hyperlink" Target="https://www.jivi.com.ar/ficha.php?id=106" TargetMode="External"/><Relationship Id="rId231" Type="http://schemas.openxmlformats.org/officeDocument/2006/relationships/hyperlink" Target="https://www.jivi.com.ar/ficha.php?id=1384" TargetMode="External"/><Relationship Id="rId273" Type="http://schemas.openxmlformats.org/officeDocument/2006/relationships/hyperlink" Target="https://www.jivi.com.ar/ficha.php?id=1702" TargetMode="External"/><Relationship Id="rId329" Type="http://schemas.openxmlformats.org/officeDocument/2006/relationships/hyperlink" Target="https://www.jivi.com.ar/ficha.php?id=1523" TargetMode="External"/><Relationship Id="rId480" Type="http://schemas.openxmlformats.org/officeDocument/2006/relationships/hyperlink" Target="https://www.jivi.com.ar/ficha.php?id=1749" TargetMode="External"/><Relationship Id="rId536" Type="http://schemas.openxmlformats.org/officeDocument/2006/relationships/hyperlink" Target="https://www.jivi.com.ar/ficha.php?id=1443" TargetMode="External"/><Relationship Id="rId68" Type="http://schemas.openxmlformats.org/officeDocument/2006/relationships/hyperlink" Target="https://www.jivi.com.ar/ficha.php?id=501" TargetMode="External"/><Relationship Id="rId133" Type="http://schemas.openxmlformats.org/officeDocument/2006/relationships/hyperlink" Target="https://www.jivi.com.ar/ficha.php?id=954" TargetMode="External"/><Relationship Id="rId175" Type="http://schemas.openxmlformats.org/officeDocument/2006/relationships/hyperlink" Target="https://www.jivi.com.ar/ficha.php?id=1182" TargetMode="External"/><Relationship Id="rId340" Type="http://schemas.openxmlformats.org/officeDocument/2006/relationships/hyperlink" Target="https://www.jivi.com.ar/ficha.php?id=1545" TargetMode="External"/><Relationship Id="rId578" Type="http://schemas.openxmlformats.org/officeDocument/2006/relationships/hyperlink" Target="https://www.jivi.com.ar/ficha.php?id=2035" TargetMode="External"/><Relationship Id="rId200" Type="http://schemas.openxmlformats.org/officeDocument/2006/relationships/hyperlink" Target="https://www.jivi.com.ar/ficha.php?id=1261" TargetMode="External"/><Relationship Id="rId382" Type="http://schemas.openxmlformats.org/officeDocument/2006/relationships/hyperlink" Target="https://www.jivi.com.ar/ficha.php?id=1581" TargetMode="External"/><Relationship Id="rId438" Type="http://schemas.openxmlformats.org/officeDocument/2006/relationships/hyperlink" Target="https://www.jivi.com.ar/ficha.php?id=1684" TargetMode="External"/><Relationship Id="rId603" Type="http://schemas.openxmlformats.org/officeDocument/2006/relationships/hyperlink" Target="https://www.jivi.com.ar/ficha.php?id=1369" TargetMode="External"/><Relationship Id="rId242" Type="http://schemas.openxmlformats.org/officeDocument/2006/relationships/hyperlink" Target="https://www.jivi.com.ar/ficha.php?id=1262" TargetMode="External"/><Relationship Id="rId284" Type="http://schemas.openxmlformats.org/officeDocument/2006/relationships/hyperlink" Target="https://www.jivi.com.ar/ficha.php?id=1450" TargetMode="External"/><Relationship Id="rId491" Type="http://schemas.openxmlformats.org/officeDocument/2006/relationships/hyperlink" Target="https://www.jivi.com.ar/ficha.php?id=1709" TargetMode="External"/><Relationship Id="rId505" Type="http://schemas.openxmlformats.org/officeDocument/2006/relationships/hyperlink" Target="https://www.jivi.com.ar/ficha.php?id=1791" TargetMode="External"/><Relationship Id="rId37" Type="http://schemas.openxmlformats.org/officeDocument/2006/relationships/hyperlink" Target="https://www.jivi.com.ar/ficha.php?id=117" TargetMode="External"/><Relationship Id="rId79" Type="http://schemas.openxmlformats.org/officeDocument/2006/relationships/hyperlink" Target="https://www.jivi.com.ar/ficha.php?id=135" TargetMode="External"/><Relationship Id="rId102" Type="http://schemas.openxmlformats.org/officeDocument/2006/relationships/hyperlink" Target="https://www.jivi.com.ar/ficha.php?id=23" TargetMode="External"/><Relationship Id="rId144" Type="http://schemas.openxmlformats.org/officeDocument/2006/relationships/hyperlink" Target="https://www.jivi.com.ar/ficha.php?id=1025" TargetMode="External"/><Relationship Id="rId547" Type="http://schemas.openxmlformats.org/officeDocument/2006/relationships/hyperlink" Target="https://www.jivi.com.ar/ficha.php?id=1138" TargetMode="External"/><Relationship Id="rId589" Type="http://schemas.openxmlformats.org/officeDocument/2006/relationships/hyperlink" Target="https://www.jivi.com.ar/ficha.php?id=1410" TargetMode="External"/><Relationship Id="rId90" Type="http://schemas.openxmlformats.org/officeDocument/2006/relationships/hyperlink" Target="https://www.jivi.com.ar/ficha.php?id=621" TargetMode="External"/><Relationship Id="rId186" Type="http://schemas.openxmlformats.org/officeDocument/2006/relationships/hyperlink" Target="https://www.jivi.com.ar/ficha.php?id=1223" TargetMode="External"/><Relationship Id="rId351" Type="http://schemas.openxmlformats.org/officeDocument/2006/relationships/hyperlink" Target="https://www.jivi.com.ar/ficha.php?id=1557" TargetMode="External"/><Relationship Id="rId393" Type="http://schemas.openxmlformats.org/officeDocument/2006/relationships/hyperlink" Target="https://www.jivi.com.ar/ficha.php?id=1593" TargetMode="External"/><Relationship Id="rId407" Type="http://schemas.openxmlformats.org/officeDocument/2006/relationships/hyperlink" Target="https://www.jivi.com.ar/ficha.php?id=1609" TargetMode="External"/><Relationship Id="rId449" Type="http://schemas.openxmlformats.org/officeDocument/2006/relationships/hyperlink" Target="https://www.jivi.com.ar/ficha.php?id=1510" TargetMode="External"/><Relationship Id="rId614" Type="http://schemas.openxmlformats.org/officeDocument/2006/relationships/hyperlink" Target="https://www.jivi.com.ar/ficha.php?id=1266" TargetMode="External"/><Relationship Id="rId211" Type="http://schemas.openxmlformats.org/officeDocument/2006/relationships/hyperlink" Target="https://www.jivi.com.ar/ficha.php?id=1287" TargetMode="External"/><Relationship Id="rId253" Type="http://schemas.openxmlformats.org/officeDocument/2006/relationships/hyperlink" Target="https://www.jivi.com.ar/ficha.php?id=1405" TargetMode="External"/><Relationship Id="rId295" Type="http://schemas.openxmlformats.org/officeDocument/2006/relationships/hyperlink" Target="https://www.jivi.com.ar/ficha.php?id=1470" TargetMode="External"/><Relationship Id="rId309" Type="http://schemas.openxmlformats.org/officeDocument/2006/relationships/hyperlink" Target="https://www.jivi.com.ar/ficha.php?id=1492" TargetMode="External"/><Relationship Id="rId460" Type="http://schemas.openxmlformats.org/officeDocument/2006/relationships/hyperlink" Target="https://www.jivi.com.ar/ficha.php?id=1722" TargetMode="External"/><Relationship Id="rId516" Type="http://schemas.openxmlformats.org/officeDocument/2006/relationships/hyperlink" Target="https://www.jivi.com.ar/ficha.php?id=1597" TargetMode="External"/><Relationship Id="rId48" Type="http://schemas.openxmlformats.org/officeDocument/2006/relationships/hyperlink" Target="https://www.jivi.com.ar/ficha.php?id=406" TargetMode="External"/><Relationship Id="rId113" Type="http://schemas.openxmlformats.org/officeDocument/2006/relationships/hyperlink" Target="https://www.jivi.com.ar/ficha.php?id=780" TargetMode="External"/><Relationship Id="rId320" Type="http://schemas.openxmlformats.org/officeDocument/2006/relationships/hyperlink" Target="https://www.jivi.com.ar/ficha.php?id=1505" TargetMode="External"/><Relationship Id="rId558" Type="http://schemas.openxmlformats.org/officeDocument/2006/relationships/hyperlink" Target="https://www.jivi.com.ar/ficha.php?id=1601" TargetMode="External"/><Relationship Id="rId155" Type="http://schemas.openxmlformats.org/officeDocument/2006/relationships/hyperlink" Target="https://www.jivi.com.ar/ficha.php?id=297" TargetMode="External"/><Relationship Id="rId197" Type="http://schemas.openxmlformats.org/officeDocument/2006/relationships/hyperlink" Target="https://www.jivi.com.ar/ficha.php?id=1248" TargetMode="External"/><Relationship Id="rId362" Type="http://schemas.openxmlformats.org/officeDocument/2006/relationships/hyperlink" Target="https://www.jivi.com.ar/ficha.php?id=1409" TargetMode="External"/><Relationship Id="rId418" Type="http://schemas.openxmlformats.org/officeDocument/2006/relationships/hyperlink" Target="https://www.jivi.com.ar/ficha.php?id=1620" TargetMode="External"/><Relationship Id="rId625" Type="http://schemas.openxmlformats.org/officeDocument/2006/relationships/hyperlink" Target="https://www.jivi.com.ar/ficha.php?id=698" TargetMode="External"/><Relationship Id="rId222" Type="http://schemas.openxmlformats.org/officeDocument/2006/relationships/hyperlink" Target="https://www.jivi.com.ar/ficha.php?id=1360" TargetMode="External"/><Relationship Id="rId264" Type="http://schemas.openxmlformats.org/officeDocument/2006/relationships/hyperlink" Target="https://www.jivi.com.ar/ficha.php?id=1422" TargetMode="External"/><Relationship Id="rId471" Type="http://schemas.openxmlformats.org/officeDocument/2006/relationships/hyperlink" Target="https://www.jivi.com.ar/ficha.php?id=1740" TargetMode="External"/><Relationship Id="rId17" Type="http://schemas.openxmlformats.org/officeDocument/2006/relationships/hyperlink" Target="https://www.jivi.com.ar/ficha.php?id=97" TargetMode="External"/><Relationship Id="rId59" Type="http://schemas.openxmlformats.org/officeDocument/2006/relationships/hyperlink" Target="https://www.jivi.com.ar/ficha.php?id=125" TargetMode="External"/><Relationship Id="rId124" Type="http://schemas.openxmlformats.org/officeDocument/2006/relationships/hyperlink" Target="https://www.jivi.com.ar/ficha.php?id=882" TargetMode="External"/><Relationship Id="rId527" Type="http://schemas.openxmlformats.org/officeDocument/2006/relationships/hyperlink" Target="https://www.jivi.com.ar/ficha.php?id=1835" TargetMode="External"/><Relationship Id="rId569" Type="http://schemas.openxmlformats.org/officeDocument/2006/relationships/hyperlink" Target="https://www.jivi.com.ar/ficha.php?id=2012" TargetMode="External"/><Relationship Id="rId70" Type="http://schemas.openxmlformats.org/officeDocument/2006/relationships/hyperlink" Target="https://www.jivi.com.ar/ficha.php?id=326" TargetMode="External"/><Relationship Id="rId166" Type="http://schemas.openxmlformats.org/officeDocument/2006/relationships/hyperlink" Target="https://www.jivi.com.ar/ficha.php?id=1158" TargetMode="External"/><Relationship Id="rId331" Type="http://schemas.openxmlformats.org/officeDocument/2006/relationships/hyperlink" Target="https://www.jivi.com.ar/ficha.php?id=1527" TargetMode="External"/><Relationship Id="rId373" Type="http://schemas.openxmlformats.org/officeDocument/2006/relationships/hyperlink" Target="https://www.jivi.com.ar/ficha.php?id=1573" TargetMode="External"/><Relationship Id="rId429" Type="http://schemas.openxmlformats.org/officeDocument/2006/relationships/hyperlink" Target="https://www.jivi.com.ar/ficha.php?id=1637" TargetMode="External"/><Relationship Id="rId580" Type="http://schemas.openxmlformats.org/officeDocument/2006/relationships/hyperlink" Target="https://www.jivi.com.ar/ficha.php?id=1662" TargetMode="External"/><Relationship Id="rId636" Type="http://schemas.openxmlformats.org/officeDocument/2006/relationships/comments" Target="../comments1.xm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385" TargetMode="External"/><Relationship Id="rId440" Type="http://schemas.openxmlformats.org/officeDocument/2006/relationships/hyperlink" Target="https://www.jivi.com.ar/ficha.php?id=1687" TargetMode="External"/><Relationship Id="rId28" Type="http://schemas.openxmlformats.org/officeDocument/2006/relationships/hyperlink" Target="https://www.jivi.com.ar/ficha.php?id=108" TargetMode="External"/><Relationship Id="rId275" Type="http://schemas.openxmlformats.org/officeDocument/2006/relationships/hyperlink" Target="https://www.jivi.com.ar/ficha.php?id=1442" TargetMode="External"/><Relationship Id="rId300" Type="http://schemas.openxmlformats.org/officeDocument/2006/relationships/hyperlink" Target="https://www.jivi.com.ar/ficha.php?id=996" TargetMode="External"/><Relationship Id="rId482" Type="http://schemas.openxmlformats.org/officeDocument/2006/relationships/hyperlink" Target="https://www.jivi.com.ar/ficha.php?id=1750" TargetMode="External"/><Relationship Id="rId538" Type="http://schemas.openxmlformats.org/officeDocument/2006/relationships/hyperlink" Target="https://www.jivi.com.ar/ficha.php?id=1733" TargetMode="External"/><Relationship Id="rId81" Type="http://schemas.openxmlformats.org/officeDocument/2006/relationships/hyperlink" Target="https://www.jivi.com.ar/ficha.php?id=137" TargetMode="External"/><Relationship Id="rId135" Type="http://schemas.openxmlformats.org/officeDocument/2006/relationships/hyperlink" Target="https://www.jivi.com.ar/ficha.php?id=956" TargetMode="External"/><Relationship Id="rId177" Type="http://schemas.openxmlformats.org/officeDocument/2006/relationships/hyperlink" Target="https://www.jivi.com.ar/ficha.php?id=1185" TargetMode="External"/><Relationship Id="rId342" Type="http://schemas.openxmlformats.org/officeDocument/2006/relationships/hyperlink" Target="https://www.jivi.com.ar/ficha.php?id=981" TargetMode="External"/><Relationship Id="rId384" Type="http://schemas.openxmlformats.org/officeDocument/2006/relationships/hyperlink" Target="https://www.jivi.com.ar/ficha.php?id=1584" TargetMode="External"/><Relationship Id="rId591" Type="http://schemas.openxmlformats.org/officeDocument/2006/relationships/hyperlink" Target="https://www.jivi.com.ar/ficha.php?id=1433" TargetMode="External"/><Relationship Id="rId605" Type="http://schemas.openxmlformats.org/officeDocument/2006/relationships/hyperlink" Target="https://www.jivi.com.ar/ficha.php?id=1391" TargetMode="External"/><Relationship Id="rId202" Type="http://schemas.openxmlformats.org/officeDocument/2006/relationships/hyperlink" Target="https://www.jivi.com.ar/ficha.php?id=1268" TargetMode="External"/><Relationship Id="rId244" Type="http://schemas.openxmlformats.org/officeDocument/2006/relationships/hyperlink" Target="https://www.jivi.com.ar/ficha.php?id=1401" TargetMode="External"/><Relationship Id="rId39" Type="http://schemas.openxmlformats.org/officeDocument/2006/relationships/hyperlink" Target="https://www.jivi.com.ar/ficha.php?id=400" TargetMode="External"/><Relationship Id="rId286" Type="http://schemas.openxmlformats.org/officeDocument/2006/relationships/hyperlink" Target="https://www.jivi.com.ar/ficha.php?id=1064" TargetMode="External"/><Relationship Id="rId451" Type="http://schemas.openxmlformats.org/officeDocument/2006/relationships/hyperlink" Target="https://www.jivi.com.ar/ficha.php?id=1531" TargetMode="External"/><Relationship Id="rId493" Type="http://schemas.openxmlformats.org/officeDocument/2006/relationships/hyperlink" Target="https://www.jivi.com.ar/ficha.php?id=1736" TargetMode="External"/><Relationship Id="rId507" Type="http://schemas.openxmlformats.org/officeDocument/2006/relationships/hyperlink" Target="https://www.jivi.com.ar/ficha.php?id=1087" TargetMode="External"/><Relationship Id="rId549" Type="http://schemas.openxmlformats.org/officeDocument/2006/relationships/hyperlink" Target="https://www.jivi.com.ar/ficha.php?id=1916" TargetMode="External"/><Relationship Id="rId50" Type="http://schemas.openxmlformats.org/officeDocument/2006/relationships/hyperlink" Target="https://www.jivi.com.ar/ficha.php?id=408" TargetMode="External"/><Relationship Id="rId104" Type="http://schemas.openxmlformats.org/officeDocument/2006/relationships/hyperlink" Target="https://www.jivi.com.ar/ficha.php?id=221" TargetMode="External"/><Relationship Id="rId146" Type="http://schemas.openxmlformats.org/officeDocument/2006/relationships/hyperlink" Target="https://www.jivi.com.ar/ficha.php?id=1049" TargetMode="External"/><Relationship Id="rId188" Type="http://schemas.openxmlformats.org/officeDocument/2006/relationships/hyperlink" Target="https://www.jivi.com.ar/ficha.php?id=1224" TargetMode="External"/><Relationship Id="rId311" Type="http://schemas.openxmlformats.org/officeDocument/2006/relationships/hyperlink" Target="https://www.jivi.com.ar/ficha.php?id=1494" TargetMode="External"/><Relationship Id="rId353" Type="http://schemas.openxmlformats.org/officeDocument/2006/relationships/hyperlink" Target="https://www.jivi.com.ar/ficha.php?id=518" TargetMode="External"/><Relationship Id="rId395" Type="http://schemas.openxmlformats.org/officeDocument/2006/relationships/hyperlink" Target="https://www.jivi.com.ar/ficha.php?id=1596" TargetMode="External"/><Relationship Id="rId409" Type="http://schemas.openxmlformats.org/officeDocument/2006/relationships/hyperlink" Target="https://www.jivi.com.ar/ficha.php?id=1610" TargetMode="External"/><Relationship Id="rId560" Type="http://schemas.openxmlformats.org/officeDocument/2006/relationships/hyperlink" Target="https://www.jivi.com.ar/ficha.php?id=1245" TargetMode="External"/><Relationship Id="rId92" Type="http://schemas.openxmlformats.org/officeDocument/2006/relationships/hyperlink" Target="https://www.jivi.com.ar/ficha.php?id=456" TargetMode="External"/><Relationship Id="rId213" Type="http://schemas.openxmlformats.org/officeDocument/2006/relationships/hyperlink" Target="https://www.jivi.com.ar/ficha.php?id=1316" TargetMode="External"/><Relationship Id="rId420" Type="http://schemas.openxmlformats.org/officeDocument/2006/relationships/hyperlink" Target="https://www.jivi.com.ar/ficha.php?id=1621" TargetMode="External"/><Relationship Id="rId616" Type="http://schemas.openxmlformats.org/officeDocument/2006/relationships/hyperlink" Target="https://www.jivi.com.ar/ficha.php?id=2085" TargetMode="External"/><Relationship Id="rId255" Type="http://schemas.openxmlformats.org/officeDocument/2006/relationships/hyperlink" Target="https://www.jivi.com.ar/ficha.php?id=1415" TargetMode="External"/><Relationship Id="rId297" Type="http://schemas.openxmlformats.org/officeDocument/2006/relationships/hyperlink" Target="https://www.jivi.com.ar/ficha.php?id=1472" TargetMode="External"/><Relationship Id="rId462" Type="http://schemas.openxmlformats.org/officeDocument/2006/relationships/hyperlink" Target="https://www.jivi.com.ar/ficha.php?id=1725" TargetMode="External"/><Relationship Id="rId518" Type="http://schemas.openxmlformats.org/officeDocument/2006/relationships/hyperlink" Target="https://www.jivi.com.ar/ficha.php?id=1774" TargetMode="External"/><Relationship Id="rId115" Type="http://schemas.openxmlformats.org/officeDocument/2006/relationships/hyperlink" Target="https://www.jivi.com.ar/ficha.php?id=707" TargetMode="External"/><Relationship Id="rId157" Type="http://schemas.openxmlformats.org/officeDocument/2006/relationships/hyperlink" Target="https://www.jivi.com.ar/ficha.php?id=1098" TargetMode="External"/><Relationship Id="rId322" Type="http://schemas.openxmlformats.org/officeDocument/2006/relationships/hyperlink" Target="https://www.jivi.com.ar/ficha.php?id=1507" TargetMode="External"/><Relationship Id="rId364" Type="http://schemas.openxmlformats.org/officeDocument/2006/relationships/hyperlink" Target="https://www.jivi.com.ar/ficha.php?id=1564" TargetMode="External"/><Relationship Id="rId61" Type="http://schemas.openxmlformats.org/officeDocument/2006/relationships/hyperlink" Target="https://www.jivi.com.ar/ficha.php?id=4" TargetMode="External"/><Relationship Id="rId199" Type="http://schemas.openxmlformats.org/officeDocument/2006/relationships/hyperlink" Target="https://www.jivi.com.ar/ficha.php?id=1124" TargetMode="External"/><Relationship Id="rId571" Type="http://schemas.openxmlformats.org/officeDocument/2006/relationships/hyperlink" Target="https://www.jivi.com.ar/ficha.php?id=2017" TargetMode="External"/><Relationship Id="rId627" Type="http://schemas.openxmlformats.org/officeDocument/2006/relationships/hyperlink" Target="https://www.jivi.com.ar/ficha.php?id=2147" TargetMode="External"/><Relationship Id="rId19" Type="http://schemas.openxmlformats.org/officeDocument/2006/relationships/hyperlink" Target="https://www.jivi.com.ar/ficha.php?id=99" TargetMode="External"/><Relationship Id="rId224" Type="http://schemas.openxmlformats.org/officeDocument/2006/relationships/hyperlink" Target="https://www.jivi.com.ar/ficha.php?id=1366" TargetMode="External"/><Relationship Id="rId266" Type="http://schemas.openxmlformats.org/officeDocument/2006/relationships/hyperlink" Target="https://www.jivi.com.ar/ficha.php?id=1425" TargetMode="External"/><Relationship Id="rId431" Type="http://schemas.openxmlformats.org/officeDocument/2006/relationships/hyperlink" Target="https://www.jivi.com.ar/ficha.php?id=1640" TargetMode="External"/><Relationship Id="rId473" Type="http://schemas.openxmlformats.org/officeDocument/2006/relationships/hyperlink" Target="https://www.jivi.com.ar/ficha.php?id=1575" TargetMode="External"/><Relationship Id="rId529" Type="http://schemas.openxmlformats.org/officeDocument/2006/relationships/hyperlink" Target="https://www.jivi.com.ar/ficha.php?id=1152" TargetMode="External"/><Relationship Id="rId30" Type="http://schemas.openxmlformats.org/officeDocument/2006/relationships/hyperlink" Target="https://www.jivi.com.ar/ficha.php?id=110" TargetMode="External"/><Relationship Id="rId126" Type="http://schemas.openxmlformats.org/officeDocument/2006/relationships/hyperlink" Target="https://www.jivi.com.ar/ficha.php?id=886" TargetMode="External"/><Relationship Id="rId168" Type="http://schemas.openxmlformats.org/officeDocument/2006/relationships/hyperlink" Target="https://www.jivi.com.ar/ficha.php?id=1156" TargetMode="External"/><Relationship Id="rId333" Type="http://schemas.openxmlformats.org/officeDocument/2006/relationships/hyperlink" Target="https://www.jivi.com.ar/ficha.php?id=1534" TargetMode="External"/><Relationship Id="rId540" Type="http://schemas.openxmlformats.org/officeDocument/2006/relationships/hyperlink" Target="https://www.jivi.com.ar/ficha.php?id=1530" TargetMode="External"/><Relationship Id="rId72" Type="http://schemas.openxmlformats.org/officeDocument/2006/relationships/hyperlink" Target="https://www.jivi.com.ar/ficha.php?id=394" TargetMode="External"/><Relationship Id="rId375" Type="http://schemas.openxmlformats.org/officeDocument/2006/relationships/hyperlink" Target="https://www.jivi.com.ar/ficha.php?id=1271" TargetMode="External"/><Relationship Id="rId582" Type="http://schemas.openxmlformats.org/officeDocument/2006/relationships/hyperlink" Target="https://www.jivi.com.ar/ficha.php?id=248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89" TargetMode="External"/><Relationship Id="rId277" Type="http://schemas.openxmlformats.org/officeDocument/2006/relationships/hyperlink" Target="https://www.jivi.com.ar/ficha.php?id=216" TargetMode="External"/><Relationship Id="rId400" Type="http://schemas.openxmlformats.org/officeDocument/2006/relationships/hyperlink" Target="https://www.jivi.com.ar/ficha.php?id=1701" TargetMode="External"/><Relationship Id="rId442" Type="http://schemas.openxmlformats.org/officeDocument/2006/relationships/hyperlink" Target="https://www.jivi.com.ar/ficha.php?id=1690" TargetMode="External"/><Relationship Id="rId484" Type="http://schemas.openxmlformats.org/officeDocument/2006/relationships/hyperlink" Target="https://www.jivi.com.ar/ficha.php?id=1461" TargetMode="External"/><Relationship Id="rId137" Type="http://schemas.openxmlformats.org/officeDocument/2006/relationships/hyperlink" Target="https://www.jivi.com.ar/ficha.php?id=967" TargetMode="External"/><Relationship Id="rId302" Type="http://schemas.openxmlformats.org/officeDocument/2006/relationships/hyperlink" Target="https://www.jivi.com.ar/ficha.php?id=1478" TargetMode="External"/><Relationship Id="rId344" Type="http://schemas.openxmlformats.org/officeDocument/2006/relationships/hyperlink" Target="https://www.jivi.com.ar/ficha.php?id=1549" TargetMode="External"/><Relationship Id="rId41" Type="http://schemas.openxmlformats.org/officeDocument/2006/relationships/hyperlink" Target="https://www.jivi.com.ar/ficha.php?id=402" TargetMode="External"/><Relationship Id="rId83" Type="http://schemas.openxmlformats.org/officeDocument/2006/relationships/hyperlink" Target="https://www.jivi.com.ar/ficha.php?id=245" TargetMode="External"/><Relationship Id="rId179" Type="http://schemas.openxmlformats.org/officeDocument/2006/relationships/hyperlink" Target="https://www.jivi.com.ar/ficha.php?id=1190" TargetMode="External"/><Relationship Id="rId386" Type="http://schemas.openxmlformats.org/officeDocument/2006/relationships/hyperlink" Target="https://www.jivi.com.ar/ficha.php?id=1587" TargetMode="External"/><Relationship Id="rId551" Type="http://schemas.openxmlformats.org/officeDocument/2006/relationships/hyperlink" Target="https://www.jivi.com.ar/ficha.php?id=1386" TargetMode="External"/><Relationship Id="rId593" Type="http://schemas.openxmlformats.org/officeDocument/2006/relationships/hyperlink" Target="https://www.jivi.com.ar/ficha.php?id=2051" TargetMode="External"/><Relationship Id="rId607" Type="http://schemas.openxmlformats.org/officeDocument/2006/relationships/hyperlink" Target="https://www.jivi.com.ar/ficha.php?id=2067" TargetMode="External"/><Relationship Id="rId190" Type="http://schemas.openxmlformats.org/officeDocument/2006/relationships/hyperlink" Target="https://www.jivi.com.ar/ficha.php?id=1226" TargetMode="External"/><Relationship Id="rId204" Type="http://schemas.openxmlformats.org/officeDocument/2006/relationships/hyperlink" Target="https://www.jivi.com.ar/ficha.php?id=991" TargetMode="External"/><Relationship Id="rId246" Type="http://schemas.openxmlformats.org/officeDocument/2006/relationships/hyperlink" Target="https://www.jivi.com.ar/ficha.php?id=1230" TargetMode="External"/><Relationship Id="rId288" Type="http://schemas.openxmlformats.org/officeDocument/2006/relationships/hyperlink" Target="https://www.jivi.com.ar/ficha.php?id=1454" TargetMode="External"/><Relationship Id="rId411" Type="http://schemas.openxmlformats.org/officeDocument/2006/relationships/hyperlink" Target="https://www.jivi.com.ar/ficha.php?id=1612" TargetMode="External"/><Relationship Id="rId453" Type="http://schemas.openxmlformats.org/officeDocument/2006/relationships/hyperlink" Target="https://www.jivi.com.ar/ficha.php?id=1704" TargetMode="External"/><Relationship Id="rId509" Type="http://schemas.openxmlformats.org/officeDocument/2006/relationships/hyperlink" Target="https://www.jivi.com.ar/ficha.php?id=1451" TargetMode="External"/><Relationship Id="rId106" Type="http://schemas.openxmlformats.org/officeDocument/2006/relationships/hyperlink" Target="https://www.jivi.com.ar/ficha.php?id=568" TargetMode="External"/><Relationship Id="rId313" Type="http://schemas.openxmlformats.org/officeDocument/2006/relationships/hyperlink" Target="https://www.jivi.com.ar/ficha.php?id=1496" TargetMode="External"/><Relationship Id="rId495" Type="http://schemas.openxmlformats.org/officeDocument/2006/relationships/hyperlink" Target="https://www.jivi.com.ar/ficha.php?id=1779" TargetMode="External"/><Relationship Id="rId10" Type="http://schemas.openxmlformats.org/officeDocument/2006/relationships/hyperlink" Target="https://www.jivi.com.ar/ficha.php?id=649" TargetMode="External"/><Relationship Id="rId52" Type="http://schemas.openxmlformats.org/officeDocument/2006/relationships/hyperlink" Target="https://www.jivi.com.ar/ficha.php?id=118" TargetMode="External"/><Relationship Id="rId94" Type="http://schemas.openxmlformats.org/officeDocument/2006/relationships/hyperlink" Target="https://www.jivi.com.ar/ficha.php?id=431" TargetMode="External"/><Relationship Id="rId148" Type="http://schemas.openxmlformats.org/officeDocument/2006/relationships/hyperlink" Target="https://www.jivi.com.ar/ficha.php?id=1061" TargetMode="External"/><Relationship Id="rId355" Type="http://schemas.openxmlformats.org/officeDocument/2006/relationships/hyperlink" Target="https://www.jivi.com.ar/ficha.php?id=26" TargetMode="External"/><Relationship Id="rId397" Type="http://schemas.openxmlformats.org/officeDocument/2006/relationships/hyperlink" Target="https://www.jivi.com.ar/ficha.php?id=1599" TargetMode="External"/><Relationship Id="rId520" Type="http://schemas.openxmlformats.org/officeDocument/2006/relationships/hyperlink" Target="https://www.jivi.com.ar/ficha.php?id=1544" TargetMode="External"/><Relationship Id="rId562" Type="http://schemas.openxmlformats.org/officeDocument/2006/relationships/hyperlink" Target="https://www.jivi.com.ar/ficha.php?id=2007" TargetMode="External"/><Relationship Id="rId618" Type="http://schemas.openxmlformats.org/officeDocument/2006/relationships/hyperlink" Target="https://www.jivi.com.ar/ficha.php?id=333" TargetMode="External"/><Relationship Id="rId215" Type="http://schemas.openxmlformats.org/officeDocument/2006/relationships/hyperlink" Target="https://www.jivi.com.ar/ficha.php?id=1336" TargetMode="External"/><Relationship Id="rId257" Type="http://schemas.openxmlformats.org/officeDocument/2006/relationships/hyperlink" Target="https://www.jivi.com.ar/ficha.php?id=1084" TargetMode="External"/><Relationship Id="rId422" Type="http://schemas.openxmlformats.org/officeDocument/2006/relationships/hyperlink" Target="https://www.jivi.com.ar/ficha.php?id=1635" TargetMode="External"/><Relationship Id="rId464" Type="http://schemas.openxmlformats.org/officeDocument/2006/relationships/hyperlink" Target="https://www.jivi.com.ar/ficha.php?id=1728" TargetMode="External"/><Relationship Id="rId299" Type="http://schemas.openxmlformats.org/officeDocument/2006/relationships/hyperlink" Target="https://www.jivi.com.ar/ficha.php?id=995" TargetMode="External"/><Relationship Id="rId63" Type="http://schemas.openxmlformats.org/officeDocument/2006/relationships/hyperlink" Target="https://www.jivi.com.ar/ficha.php?id=209" TargetMode="External"/><Relationship Id="rId159" Type="http://schemas.openxmlformats.org/officeDocument/2006/relationships/hyperlink" Target="https://www.jivi.com.ar/ficha.php?id=1104" TargetMode="External"/><Relationship Id="rId366" Type="http://schemas.openxmlformats.org/officeDocument/2006/relationships/hyperlink" Target="https://www.jivi.com.ar/ficha.php?id=1567" TargetMode="External"/><Relationship Id="rId573" Type="http://schemas.openxmlformats.org/officeDocument/2006/relationships/hyperlink" Target="https://www.jivi.com.ar/ficha.php?id=1339" TargetMode="External"/><Relationship Id="rId226" Type="http://schemas.openxmlformats.org/officeDocument/2006/relationships/hyperlink" Target="https://www.jivi.com.ar/ficha.php?id=864" TargetMode="External"/><Relationship Id="rId433" Type="http://schemas.openxmlformats.org/officeDocument/2006/relationships/hyperlink" Target="https://www.jivi.com.ar/ficha.php?id=1660" TargetMode="External"/><Relationship Id="rId74" Type="http://schemas.openxmlformats.org/officeDocument/2006/relationships/hyperlink" Target="https://www.jivi.com.ar/ficha.php?id=18" TargetMode="External"/><Relationship Id="rId377" Type="http://schemas.openxmlformats.org/officeDocument/2006/relationships/hyperlink" Target="https://www.jivi.com.ar/ficha.php?id=1139" TargetMode="External"/><Relationship Id="rId500" Type="http://schemas.openxmlformats.org/officeDocument/2006/relationships/hyperlink" Target="https://www.jivi.com.ar/ficha.php?id=1487" TargetMode="External"/><Relationship Id="rId584" Type="http://schemas.openxmlformats.org/officeDocument/2006/relationships/hyperlink" Target="https://www.jivi.com.ar/ficha.php?id=2043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236" TargetMode="External"/><Relationship Id="rId444" Type="http://schemas.openxmlformats.org/officeDocument/2006/relationships/hyperlink" Target="https://www.jivi.com.ar/ficha.php?id=1438" TargetMode="External"/><Relationship Id="rId290" Type="http://schemas.openxmlformats.org/officeDocument/2006/relationships/hyperlink" Target="https://www.jivi.com.ar/ficha.php?id=1463" TargetMode="External"/><Relationship Id="rId304" Type="http://schemas.openxmlformats.org/officeDocument/2006/relationships/hyperlink" Target="https://www.jivi.com.ar/ficha.php?id=1480" TargetMode="External"/><Relationship Id="rId388" Type="http://schemas.openxmlformats.org/officeDocument/2006/relationships/hyperlink" Target="https://www.jivi.com.ar/ficha.php?id=1588" TargetMode="External"/><Relationship Id="rId511" Type="http://schemas.openxmlformats.org/officeDocument/2006/relationships/hyperlink" Target="https://www.jivi.com.ar/ficha.php?id=1805" TargetMode="External"/><Relationship Id="rId609" Type="http://schemas.openxmlformats.org/officeDocument/2006/relationships/hyperlink" Target="https://www.jivi.com.ar/ficha.php?id=1295" TargetMode="External"/><Relationship Id="rId85" Type="http://schemas.openxmlformats.org/officeDocument/2006/relationships/hyperlink" Target="https://www.jivi.com.ar/ficha.php?id=171" TargetMode="External"/><Relationship Id="rId150" Type="http://schemas.openxmlformats.org/officeDocument/2006/relationships/hyperlink" Target="https://www.jivi.com.ar/ficha.php?id=364" TargetMode="External"/><Relationship Id="rId595" Type="http://schemas.openxmlformats.org/officeDocument/2006/relationships/hyperlink" Target="https://www.jivi.com.ar/ficha.php?id=2053" TargetMode="External"/><Relationship Id="rId248" Type="http://schemas.openxmlformats.org/officeDocument/2006/relationships/hyperlink" Target="https://www.jivi.com.ar/ficha.php?id=1111" TargetMode="External"/><Relationship Id="rId455" Type="http://schemas.openxmlformats.org/officeDocument/2006/relationships/hyperlink" Target="https://www.jivi.com.ar/ficha.php?id=1457" TargetMode="External"/><Relationship Id="rId12" Type="http://schemas.openxmlformats.org/officeDocument/2006/relationships/hyperlink" Target="https://www.jivi.com.ar/ficha.php?id=164" TargetMode="External"/><Relationship Id="rId108" Type="http://schemas.openxmlformats.org/officeDocument/2006/relationships/hyperlink" Target="https://www.jivi.com.ar/ficha.php?id=534" TargetMode="External"/><Relationship Id="rId315" Type="http://schemas.openxmlformats.org/officeDocument/2006/relationships/hyperlink" Target="httphttps://www.jivi.com.ar/ficha.php?id=1498" TargetMode="External"/><Relationship Id="rId522" Type="http://schemas.openxmlformats.org/officeDocument/2006/relationships/hyperlink" Target="https://www.jivi.com.ar/ficha.php?id=1556" TargetMode="External"/><Relationship Id="rId96" Type="http://schemas.openxmlformats.org/officeDocument/2006/relationships/hyperlink" Target="https://www.jivi.com.ar/ficha.php?id=48" TargetMode="External"/><Relationship Id="rId161" Type="http://schemas.openxmlformats.org/officeDocument/2006/relationships/hyperlink" Target="https://www.jivi.com.ar/ficha.php?id=1116" TargetMode="External"/><Relationship Id="rId399" Type="http://schemas.openxmlformats.org/officeDocument/2006/relationships/hyperlink" Target="https://www.jivi.com.ar/ficha.php?id=1603" TargetMode="External"/><Relationship Id="rId259" Type="http://schemas.openxmlformats.org/officeDocument/2006/relationships/hyperlink" Target="https://www.jivi.com.ar/ficha.php?id=1419" TargetMode="External"/><Relationship Id="rId466" Type="http://schemas.openxmlformats.org/officeDocument/2006/relationships/hyperlink" Target="https://www.jivi.com.ar/ficha.php?id=1730" TargetMode="External"/><Relationship Id="rId23" Type="http://schemas.openxmlformats.org/officeDocument/2006/relationships/hyperlink" Target="https://www.jivi.com.ar/ficha.php?id=103" TargetMode="External"/><Relationship Id="rId119" Type="http://schemas.openxmlformats.org/officeDocument/2006/relationships/hyperlink" Target="https://www.jivi.com.ar/ficha.php?id=846" TargetMode="External"/><Relationship Id="rId326" Type="http://schemas.openxmlformats.org/officeDocument/2006/relationships/hyperlink" Target="https://www.jivi.com.ar/ficha.php?id=1515" TargetMode="External"/><Relationship Id="rId533" Type="http://schemas.openxmlformats.org/officeDocument/2006/relationships/hyperlink" Target="https://www.jivi.com.ar/ficha.php?id=1616" TargetMode="External"/><Relationship Id="rId172" Type="http://schemas.openxmlformats.org/officeDocument/2006/relationships/hyperlink" Target="https://www.jivi.com.ar/ficha.php?id=488" TargetMode="External"/><Relationship Id="rId477" Type="http://schemas.openxmlformats.org/officeDocument/2006/relationships/hyperlink" Target="https://www.jivi.com.ar/ficha.php?id=1746" TargetMode="External"/><Relationship Id="rId600" Type="http://schemas.openxmlformats.org/officeDocument/2006/relationships/hyperlink" Target="https://www.jivi.com.ar/ficha.php?id=2060" TargetMode="External"/><Relationship Id="rId337" Type="http://schemas.openxmlformats.org/officeDocument/2006/relationships/hyperlink" Target="https://www.jivi.com.ar/ficha.php?id=1540" TargetMode="External"/><Relationship Id="rId34" Type="http://schemas.openxmlformats.org/officeDocument/2006/relationships/hyperlink" Target="https://www.jivi.com.ar/ficha.php?id=114" TargetMode="External"/><Relationship Id="rId544" Type="http://schemas.openxmlformats.org/officeDocument/2006/relationships/hyperlink" Target="https://www.jivi.com.ar/ficha.php?id=1371" TargetMode="External"/><Relationship Id="rId183" Type="http://schemas.openxmlformats.org/officeDocument/2006/relationships/hyperlink" Target="https://www.jivi.com.ar/ficha.php?id=1219" TargetMode="External"/><Relationship Id="rId390" Type="http://schemas.openxmlformats.org/officeDocument/2006/relationships/hyperlink" Target="https://www.jivi.com.ar/ficha.php?id=1590" TargetMode="External"/><Relationship Id="rId404" Type="http://schemas.openxmlformats.org/officeDocument/2006/relationships/hyperlink" Target="https://www.jivi.com.ar/ficha.php?id=1270" TargetMode="External"/><Relationship Id="rId611" Type="http://schemas.openxmlformats.org/officeDocument/2006/relationships/hyperlink" Target="https://www.jivi.com.ar/ficha.php?id=2070" TargetMode="External"/><Relationship Id="rId250" Type="http://schemas.openxmlformats.org/officeDocument/2006/relationships/hyperlink" Target="https://www.jivi.com.ar/ficha.php?id=376" TargetMode="External"/><Relationship Id="rId488" Type="http://schemas.openxmlformats.org/officeDocument/2006/relationships/hyperlink" Target="https://www.jivi.com.ar/ficha.php?id=76" TargetMode="External"/><Relationship Id="rId45" Type="http://schemas.openxmlformats.org/officeDocument/2006/relationships/hyperlink" Target="https://www.jivi.com.ar/ficha.php?id=714" TargetMode="External"/><Relationship Id="rId110" Type="http://schemas.openxmlformats.org/officeDocument/2006/relationships/hyperlink" Target="https://www.jivi.com.ar/ficha.php?id=215" TargetMode="External"/><Relationship Id="rId348" Type="http://schemas.openxmlformats.org/officeDocument/2006/relationships/hyperlink" Target="https://www.jivi.com.ar/ficha.php?id=1553" TargetMode="External"/><Relationship Id="rId555" Type="http://schemas.openxmlformats.org/officeDocument/2006/relationships/hyperlink" Target="https://www.jivi.com.ar/ficha.php?id=1411" TargetMode="External"/><Relationship Id="rId194" Type="http://schemas.openxmlformats.org/officeDocument/2006/relationships/hyperlink" Target="https://www.jivi.com.ar/ficha.php?id=883" TargetMode="External"/><Relationship Id="rId208" Type="http://schemas.openxmlformats.org/officeDocument/2006/relationships/hyperlink" Target="https://www.jivi.com.ar/ficha.php?id=1303" TargetMode="External"/><Relationship Id="rId415" Type="http://schemas.openxmlformats.org/officeDocument/2006/relationships/hyperlink" Target="https://www.jivi.com.ar/ficha.php?id=1617" TargetMode="External"/><Relationship Id="rId622" Type="http://schemas.openxmlformats.org/officeDocument/2006/relationships/hyperlink" Target="https://www.jivi.com.ar/ficha.php?id=2097" TargetMode="External"/><Relationship Id="rId261" Type="http://schemas.openxmlformats.org/officeDocument/2006/relationships/hyperlink" Target="https://www.jivi.com.ar/ficha.php?id=1281" TargetMode="External"/><Relationship Id="rId499" Type="http://schemas.openxmlformats.org/officeDocument/2006/relationships/hyperlink" Target="https://www.jivi.com.ar/ficha.php?id=1265" TargetMode="External"/><Relationship Id="rId56" Type="http://schemas.openxmlformats.org/officeDocument/2006/relationships/hyperlink" Target="https://www.jivi.com.ar/ficha.php?id=122" TargetMode="External"/><Relationship Id="rId359" Type="http://schemas.openxmlformats.org/officeDocument/2006/relationships/hyperlink" Target="https://www.jivi.com.ar/ficha.php?id=1414" TargetMode="External"/><Relationship Id="rId566" Type="http://schemas.openxmlformats.org/officeDocument/2006/relationships/hyperlink" Target="https://www.jivi.com.ar/ficha.php?id=1720" TargetMode="External"/><Relationship Id="rId121" Type="http://schemas.openxmlformats.org/officeDocument/2006/relationships/hyperlink" Target="https://www.jivi.com.ar/ficha.php?id=854" TargetMode="External"/><Relationship Id="rId219" Type="http://schemas.openxmlformats.org/officeDocument/2006/relationships/hyperlink" Target="https://www.jivi.com.ar/ficha.php?id=1347" TargetMode="External"/><Relationship Id="rId426" Type="http://schemas.openxmlformats.org/officeDocument/2006/relationships/hyperlink" Target="https://www.jivi.com.ar/ficha.php?id=1644" TargetMode="External"/><Relationship Id="rId633" Type="http://schemas.openxmlformats.org/officeDocument/2006/relationships/printerSettings" Target="../printerSettings/printerSettings1.bin"/><Relationship Id="rId67" Type="http://schemas.openxmlformats.org/officeDocument/2006/relationships/hyperlink" Target="https://www.jivi.com.ar/ficha.php?id=548" TargetMode="External"/><Relationship Id="rId272" Type="http://schemas.openxmlformats.org/officeDocument/2006/relationships/hyperlink" Target="https://www.jivi.com.ar/ficha.php?id=1437" TargetMode="External"/><Relationship Id="rId577" Type="http://schemas.openxmlformats.org/officeDocument/2006/relationships/hyperlink" Target="https://www.jivi.com.ar/ficha.php?id=2034" TargetMode="External"/><Relationship Id="rId132" Type="http://schemas.openxmlformats.org/officeDocument/2006/relationships/hyperlink" Target="https://www.jivi.com.ar/ficha.php?id=948" TargetMode="External"/><Relationship Id="rId437" Type="http://schemas.openxmlformats.org/officeDocument/2006/relationships/hyperlink" Target="https://www.jivi.com.ar/ficha.php?id=1667" TargetMode="External"/><Relationship Id="rId283" Type="http://schemas.openxmlformats.org/officeDocument/2006/relationships/hyperlink" Target="https://www.jivi.com.ar/ficha.php?id=1448" TargetMode="External"/><Relationship Id="rId490" Type="http://schemas.openxmlformats.org/officeDocument/2006/relationships/hyperlink" Target="https://www.jivi.com.ar/ficha.php?id=1778" TargetMode="External"/><Relationship Id="rId504" Type="http://schemas.openxmlformats.org/officeDocument/2006/relationships/hyperlink" Target="https://www.jivi.com.ar/ficha.php?id=1319" TargetMode="External"/><Relationship Id="rId78" Type="http://schemas.openxmlformats.org/officeDocument/2006/relationships/hyperlink" Target="https://www.jivi.com.ar/ficha.php?id=393" TargetMode="External"/><Relationship Id="rId143" Type="http://schemas.openxmlformats.org/officeDocument/2006/relationships/hyperlink" Target="https://www.jivi.com.ar/ficha.php?id=1023" TargetMode="External"/><Relationship Id="rId350" Type="http://schemas.openxmlformats.org/officeDocument/2006/relationships/hyperlink" Target="https://www.jivi.com.ar/ficha.php?id=1555" TargetMode="External"/><Relationship Id="rId588" Type="http://schemas.openxmlformats.org/officeDocument/2006/relationships/hyperlink" Target="https://www.jivi.com.ar/ficha.php?id=1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596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1051" t="s">
        <v>0</v>
      </c>
      <c r="C1" s="1052"/>
      <c r="D1" s="1052"/>
      <c r="E1" s="1052"/>
      <c r="F1" s="1052"/>
      <c r="G1" s="1052"/>
      <c r="H1" s="1052"/>
      <c r="I1" s="1052"/>
      <c r="J1" s="1052"/>
      <c r="K1" s="1052"/>
      <c r="L1" s="1052"/>
      <c r="M1" s="1052"/>
      <c r="N1" s="1052"/>
      <c r="O1" s="1052"/>
      <c r="P1" s="1052"/>
      <c r="Q1" s="1052"/>
      <c r="R1" s="1052"/>
      <c r="S1" s="1052"/>
      <c r="T1" s="1052"/>
      <c r="U1" s="1052"/>
      <c r="V1" s="1052"/>
      <c r="W1" s="1053"/>
      <c r="X1" s="456">
        <v>1</v>
      </c>
      <c r="Y1" s="1043" t="s">
        <v>1</v>
      </c>
      <c r="Z1" s="1044"/>
      <c r="AA1" s="1044"/>
      <c r="AB1" s="1044"/>
      <c r="AC1" s="1044"/>
      <c r="AD1" s="1045"/>
      <c r="AE1" s="1040" t="s">
        <v>2</v>
      </c>
      <c r="AF1" s="1041"/>
      <c r="AG1" s="1041"/>
      <c r="AH1" s="1041"/>
      <c r="AI1" s="1042"/>
      <c r="AJ1" s="1038" t="s">
        <v>3</v>
      </c>
      <c r="AK1" s="54"/>
      <c r="AL1" s="54"/>
      <c r="AM1" s="52"/>
    </row>
    <row r="2" spans="1:39" ht="14.25" customHeight="1" x14ac:dyDescent="0.2">
      <c r="A2" s="18"/>
      <c r="B2" s="1097" t="s">
        <v>969</v>
      </c>
      <c r="C2" s="1098"/>
      <c r="D2" s="1098"/>
      <c r="E2" s="1098"/>
      <c r="F2" s="1098"/>
      <c r="G2" s="1098"/>
      <c r="H2" s="1098"/>
      <c r="I2" s="1098"/>
      <c r="J2" s="1098"/>
      <c r="K2" s="1098"/>
      <c r="L2" s="1098"/>
      <c r="M2" s="1098"/>
      <c r="N2" s="1098"/>
      <c r="O2" s="1098"/>
      <c r="P2" s="1098"/>
      <c r="Q2" s="1098"/>
      <c r="R2" s="1098"/>
      <c r="S2" s="1098"/>
      <c r="T2" s="1098"/>
      <c r="U2" s="1098"/>
      <c r="V2" s="1099"/>
      <c r="W2" s="1100"/>
      <c r="X2" s="457">
        <v>1088</v>
      </c>
      <c r="Y2" s="1057" t="s">
        <v>4</v>
      </c>
      <c r="Z2" s="1058"/>
      <c r="AA2" s="1058"/>
      <c r="AB2" s="1058"/>
      <c r="AC2" s="1058"/>
      <c r="AD2" s="1059"/>
      <c r="AE2" s="1049" t="s">
        <v>5</v>
      </c>
      <c r="AF2" s="1050"/>
      <c r="AG2" s="1050"/>
      <c r="AH2" s="458"/>
      <c r="AI2" s="459"/>
      <c r="AJ2" s="1039"/>
      <c r="AK2" s="170"/>
      <c r="AL2" s="170"/>
      <c r="AM2" s="52"/>
    </row>
    <row r="3" spans="1:39" ht="15.75" customHeight="1" x14ac:dyDescent="0.2">
      <c r="A3" s="18"/>
      <c r="B3" s="1066"/>
      <c r="C3" s="1067"/>
      <c r="D3" s="1068"/>
      <c r="E3" s="1090" t="s">
        <v>6</v>
      </c>
      <c r="F3" s="1091"/>
      <c r="G3" s="1091"/>
      <c r="H3" s="1091"/>
      <c r="I3" s="1091"/>
      <c r="J3" s="1091"/>
      <c r="K3" s="1091"/>
      <c r="L3" s="1091"/>
      <c r="M3" s="1091"/>
      <c r="N3" s="1091"/>
      <c r="O3" s="1091"/>
      <c r="P3" s="1091"/>
      <c r="Q3" s="1091"/>
      <c r="R3" s="1091"/>
      <c r="S3" s="1091"/>
      <c r="T3" s="1091"/>
      <c r="U3" s="1091"/>
      <c r="V3" s="1092"/>
      <c r="W3" s="1093"/>
      <c r="X3" s="1054" t="s">
        <v>931</v>
      </c>
      <c r="Y3" s="1055"/>
      <c r="Z3" s="1055"/>
      <c r="AA3" s="1055"/>
      <c r="AB3" s="1055"/>
      <c r="AC3" s="1055"/>
      <c r="AD3" s="1056"/>
      <c r="AE3" s="1047"/>
      <c r="AF3" s="1048"/>
      <c r="AG3" s="1048"/>
      <c r="AH3" s="1048"/>
      <c r="AI3" s="1048"/>
      <c r="AJ3" s="13"/>
      <c r="AK3" s="13"/>
      <c r="AL3" s="13"/>
      <c r="AM3" s="53"/>
    </row>
    <row r="4" spans="1:39" ht="21.75" customHeight="1" x14ac:dyDescent="0.2">
      <c r="A4" s="18"/>
      <c r="B4" s="1069"/>
      <c r="C4" s="1070"/>
      <c r="D4" s="1071"/>
      <c r="E4" s="1094" t="s">
        <v>7</v>
      </c>
      <c r="F4" s="1095"/>
      <c r="G4" s="1095"/>
      <c r="H4" s="1095"/>
      <c r="I4" s="1095"/>
      <c r="J4" s="1095"/>
      <c r="K4" s="1095"/>
      <c r="L4" s="1095"/>
      <c r="M4" s="1095"/>
      <c r="N4" s="1095"/>
      <c r="O4" s="1095"/>
      <c r="P4" s="1095"/>
      <c r="Q4" s="1095"/>
      <c r="R4" s="1095"/>
      <c r="S4" s="1095"/>
      <c r="T4" s="1095"/>
      <c r="U4" s="1095"/>
      <c r="V4" s="1095"/>
      <c r="W4" s="1096"/>
      <c r="X4" s="814"/>
      <c r="Y4" s="815"/>
      <c r="Z4" s="815"/>
      <c r="AA4" s="815"/>
      <c r="AB4" s="815"/>
      <c r="AC4" s="815"/>
      <c r="AD4" s="816"/>
      <c r="AE4" s="1048"/>
      <c r="AF4" s="1048"/>
      <c r="AG4" s="1048"/>
      <c r="AH4" s="1048"/>
      <c r="AI4" s="1048"/>
      <c r="AJ4" s="13"/>
      <c r="AK4" s="13"/>
      <c r="AL4" s="13"/>
      <c r="AM4" s="53"/>
    </row>
    <row r="5" spans="1:39" ht="23.25" customHeight="1" x14ac:dyDescent="0.2">
      <c r="A5" s="18"/>
      <c r="B5" s="1072"/>
      <c r="C5" s="1073"/>
      <c r="D5" s="1074"/>
      <c r="E5" s="1075" t="s">
        <v>8</v>
      </c>
      <c r="F5" s="1076"/>
      <c r="G5" s="1076"/>
      <c r="H5" s="1076"/>
      <c r="I5" s="1076"/>
      <c r="J5" s="1076"/>
      <c r="K5" s="1076"/>
      <c r="L5" s="1076"/>
      <c r="M5" s="1076"/>
      <c r="N5" s="1076"/>
      <c r="O5" s="1076"/>
      <c r="P5" s="1076"/>
      <c r="Q5" s="1076"/>
      <c r="R5" s="1076"/>
      <c r="S5" s="1076"/>
      <c r="T5" s="1076"/>
      <c r="U5" s="1076"/>
      <c r="V5" s="1076"/>
      <c r="W5" s="1077"/>
      <c r="X5" s="1081"/>
      <c r="Y5" s="1082"/>
      <c r="Z5" s="1082"/>
      <c r="AA5" s="1082"/>
      <c r="AB5" s="1082"/>
      <c r="AC5" s="1082"/>
      <c r="AD5" s="1083"/>
      <c r="AE5" s="1104"/>
      <c r="AF5" s="1104"/>
      <c r="AG5" s="1104"/>
      <c r="AH5" s="1104"/>
      <c r="AI5" s="1104"/>
      <c r="AJ5" s="13"/>
      <c r="AK5" s="13"/>
      <c r="AL5" s="13"/>
      <c r="AM5" s="53"/>
    </row>
    <row r="6" spans="1:39" ht="12" customHeight="1" x14ac:dyDescent="0.2">
      <c r="A6" s="18"/>
      <c r="B6" s="1078" t="s">
        <v>9</v>
      </c>
      <c r="C6" s="1079"/>
      <c r="D6" s="1079"/>
      <c r="E6" s="1079"/>
      <c r="F6" s="1079"/>
      <c r="G6" s="1079"/>
      <c r="H6" s="1079"/>
      <c r="I6" s="1079"/>
      <c r="J6" s="1079"/>
      <c r="K6" s="1079"/>
      <c r="L6" s="1079"/>
      <c r="M6" s="1079"/>
      <c r="N6" s="1079"/>
      <c r="O6" s="1079"/>
      <c r="P6" s="1079"/>
      <c r="Q6" s="1079"/>
      <c r="R6" s="1079"/>
      <c r="S6" s="1079"/>
      <c r="T6" s="1079"/>
      <c r="U6" s="1079"/>
      <c r="V6" s="1079"/>
      <c r="W6" s="1080"/>
      <c r="X6" s="1084"/>
      <c r="Y6" s="1085"/>
      <c r="Z6" s="1085"/>
      <c r="AA6" s="1085"/>
      <c r="AB6" s="1085"/>
      <c r="AC6" s="1085"/>
      <c r="AD6" s="1086"/>
      <c r="AE6" s="1104"/>
      <c r="AF6" s="1104"/>
      <c r="AG6" s="1104"/>
      <c r="AH6" s="1104"/>
      <c r="AI6" s="1104"/>
      <c r="AJ6" s="13"/>
      <c r="AK6" s="13"/>
      <c r="AL6" s="13"/>
      <c r="AM6" s="53"/>
    </row>
    <row r="7" spans="1:39" ht="13.5" customHeight="1" x14ac:dyDescent="0.2">
      <c r="A7" s="18"/>
      <c r="B7" s="1101" t="s">
        <v>10</v>
      </c>
      <c r="C7" s="1102"/>
      <c r="D7" s="1102"/>
      <c r="E7" s="1102"/>
      <c r="F7" s="1102"/>
      <c r="G7" s="1102"/>
      <c r="H7" s="1102"/>
      <c r="I7" s="1102"/>
      <c r="J7" s="1102"/>
      <c r="K7" s="1102"/>
      <c r="L7" s="1102"/>
      <c r="M7" s="1102"/>
      <c r="N7" s="1102"/>
      <c r="O7" s="1102"/>
      <c r="P7" s="1102"/>
      <c r="Q7" s="1102"/>
      <c r="R7" s="1102"/>
      <c r="S7" s="1102"/>
      <c r="T7" s="1102"/>
      <c r="U7" s="1102"/>
      <c r="V7" s="1102"/>
      <c r="W7" s="1103"/>
      <c r="X7" s="1087"/>
      <c r="Y7" s="1088"/>
      <c r="Z7" s="1088"/>
      <c r="AA7" s="1088"/>
      <c r="AB7" s="1088"/>
      <c r="AC7" s="1088"/>
      <c r="AD7" s="1089"/>
      <c r="AE7" s="1104"/>
      <c r="AF7" s="1104"/>
      <c r="AG7" s="1104"/>
      <c r="AH7" s="1104"/>
      <c r="AI7" s="1104"/>
    </row>
    <row r="8" spans="1:39" ht="14.25" customHeight="1" x14ac:dyDescent="0.2">
      <c r="A8" s="18"/>
      <c r="B8" s="745" t="s">
        <v>11</v>
      </c>
      <c r="C8" s="690" t="s">
        <v>12</v>
      </c>
      <c r="D8" s="691"/>
      <c r="E8" s="691"/>
      <c r="F8" s="685" t="s">
        <v>13</v>
      </c>
      <c r="G8" s="685" t="s">
        <v>13</v>
      </c>
      <c r="H8" s="692" t="s">
        <v>794</v>
      </c>
      <c r="I8" s="692"/>
      <c r="J8" s="693"/>
      <c r="K8" s="693"/>
      <c r="L8" s="693"/>
      <c r="M8" s="693"/>
      <c r="N8" s="693"/>
      <c r="O8" s="693"/>
      <c r="P8" s="693"/>
      <c r="Q8" s="693"/>
      <c r="R8" s="693"/>
      <c r="S8" s="693"/>
      <c r="T8" s="693"/>
      <c r="U8" s="693"/>
      <c r="V8" s="693"/>
      <c r="W8" s="693"/>
      <c r="X8" s="651" t="s">
        <v>14</v>
      </c>
      <c r="Y8" s="652"/>
      <c r="Z8" s="652"/>
      <c r="AA8" s="653"/>
      <c r="AB8" s="798" t="s">
        <v>15</v>
      </c>
      <c r="AC8" s="1060" t="s">
        <v>16</v>
      </c>
      <c r="AD8" s="1061"/>
      <c r="AE8" s="1061"/>
      <c r="AF8" s="1061"/>
      <c r="AG8" s="1061"/>
      <c r="AH8" s="1061"/>
      <c r="AI8" s="1062"/>
    </row>
    <row r="9" spans="1:39" ht="11.25" customHeight="1" x14ac:dyDescent="0.2">
      <c r="A9" s="18"/>
      <c r="B9" s="745"/>
      <c r="C9" s="691"/>
      <c r="D9" s="691"/>
      <c r="E9" s="691"/>
      <c r="F9" s="686"/>
      <c r="G9" s="686"/>
      <c r="H9" s="454"/>
      <c r="I9" s="452" t="s">
        <v>285</v>
      </c>
      <c r="J9" s="454"/>
      <c r="K9" s="452" t="s">
        <v>17</v>
      </c>
      <c r="L9" s="455"/>
      <c r="M9" s="455" t="s">
        <v>18</v>
      </c>
      <c r="N9" s="455"/>
      <c r="O9" s="452" t="s">
        <v>19</v>
      </c>
      <c r="P9" s="455"/>
      <c r="Q9" s="455" t="s">
        <v>286</v>
      </c>
      <c r="R9" s="455"/>
      <c r="S9" s="455" t="s">
        <v>20</v>
      </c>
      <c r="T9" s="455"/>
      <c r="U9" s="455" t="s">
        <v>21</v>
      </c>
      <c r="V9" s="455"/>
      <c r="W9" s="455" t="s">
        <v>22</v>
      </c>
      <c r="X9" s="654"/>
      <c r="Y9" s="655"/>
      <c r="Z9" s="655"/>
      <c r="AA9" s="656"/>
      <c r="AB9" s="799"/>
      <c r="AC9" s="1063"/>
      <c r="AD9" s="1064"/>
      <c r="AE9" s="1064"/>
      <c r="AF9" s="1064"/>
      <c r="AG9" s="1064"/>
      <c r="AH9" s="1064"/>
      <c r="AI9" s="1065"/>
    </row>
    <row r="10" spans="1:39" ht="12.6" customHeight="1" x14ac:dyDescent="0.2">
      <c r="A10" s="18"/>
      <c r="B10" s="1105" t="s">
        <v>682</v>
      </c>
      <c r="C10" s="1106"/>
      <c r="D10" s="1106"/>
      <c r="E10" s="1107"/>
      <c r="F10" s="309">
        <v>557</v>
      </c>
      <c r="G10" s="301">
        <f t="shared" ref="G10" si="0">+F10*$X$1</f>
        <v>557</v>
      </c>
      <c r="H10" s="554"/>
      <c r="I10" s="555"/>
      <c r="J10" s="88">
        <f>F10+120</f>
        <v>677</v>
      </c>
      <c r="K10" s="309"/>
      <c r="L10" s="100"/>
      <c r="M10" s="309"/>
      <c r="N10" s="441">
        <f>F10+110</f>
        <v>667</v>
      </c>
      <c r="O10" s="280">
        <f t="shared" ref="O10" si="1">+N10*$X$1</f>
        <v>667</v>
      </c>
      <c r="P10" s="441">
        <f>F10+100</f>
        <v>657</v>
      </c>
      <c r="Q10" s="280">
        <f t="shared" ref="Q10" si="2">+P10*$X$1</f>
        <v>657</v>
      </c>
      <c r="R10" s="441">
        <f>F10+80</f>
        <v>637</v>
      </c>
      <c r="S10" s="280">
        <f t="shared" ref="S10" si="3">+R10*$X$1</f>
        <v>637</v>
      </c>
      <c r="T10" s="441">
        <f>F10+65</f>
        <v>622</v>
      </c>
      <c r="U10" s="280">
        <f t="shared" ref="U10" si="4">+T10*$X$1</f>
        <v>622</v>
      </c>
      <c r="V10" s="441">
        <f>F10+56</f>
        <v>613</v>
      </c>
      <c r="W10" s="280">
        <f t="shared" ref="W10" si="5">+V10*$X$1</f>
        <v>613</v>
      </c>
      <c r="X10" s="129"/>
      <c r="Y10" s="129"/>
      <c r="Z10" s="129"/>
      <c r="AA10" s="129"/>
      <c r="AB10" s="387">
        <v>13</v>
      </c>
      <c r="AE10" s="60"/>
      <c r="AF10" s="1046" t="s">
        <v>829</v>
      </c>
      <c r="AG10" s="1046"/>
      <c r="AH10" s="1046"/>
    </row>
    <row r="11" spans="1:39" ht="12.6" customHeight="1" x14ac:dyDescent="0.2">
      <c r="A11" s="18"/>
      <c r="B11" s="780" t="s">
        <v>804</v>
      </c>
      <c r="C11" s="680"/>
      <c r="D11" s="680"/>
      <c r="E11" s="681"/>
      <c r="F11" s="279">
        <v>1063</v>
      </c>
      <c r="G11" s="302">
        <f t="shared" ref="G11" si="6">+F11*$X$1</f>
        <v>1063</v>
      </c>
      <c r="H11" s="273"/>
      <c r="I11" s="331"/>
      <c r="J11" s="70">
        <f>F11+120</f>
        <v>1183</v>
      </c>
      <c r="K11" s="279"/>
      <c r="L11" s="610"/>
      <c r="M11" s="279"/>
      <c r="N11" s="610">
        <f>F11+110</f>
        <v>1173</v>
      </c>
      <c r="O11" s="279">
        <f t="shared" ref="O11:O12" si="7">+N11*$X$1</f>
        <v>1173</v>
      </c>
      <c r="P11" s="610">
        <f>F11+100</f>
        <v>1163</v>
      </c>
      <c r="Q11" s="279">
        <f t="shared" ref="Q11:Q13" si="8">+P11*$X$1</f>
        <v>1163</v>
      </c>
      <c r="R11" s="610">
        <f>F11+80</f>
        <v>1143</v>
      </c>
      <c r="S11" s="279">
        <f t="shared" ref="S11:S12" si="9">+R11*$X$1</f>
        <v>1143</v>
      </c>
      <c r="T11" s="610">
        <f>F11+65</f>
        <v>1128</v>
      </c>
      <c r="U11" s="279">
        <f t="shared" ref="U11:U12" si="10">+T11*$X$1</f>
        <v>1128</v>
      </c>
      <c r="V11" s="610">
        <f>F11+56</f>
        <v>1119</v>
      </c>
      <c r="W11" s="279">
        <f t="shared" ref="W11:W12" si="11">+V11*$X$1</f>
        <v>1119</v>
      </c>
      <c r="X11" s="129"/>
      <c r="Y11" s="129"/>
      <c r="Z11" s="129"/>
      <c r="AA11" s="129"/>
      <c r="AB11" s="34"/>
      <c r="AE11" s="60"/>
      <c r="AF11" s="1046" t="s">
        <v>23</v>
      </c>
      <c r="AG11" s="1046"/>
      <c r="AH11" s="1046"/>
    </row>
    <row r="12" spans="1:39" ht="12.6" customHeight="1" x14ac:dyDescent="0.2">
      <c r="A12" s="18"/>
      <c r="B12" s="779" t="s">
        <v>681</v>
      </c>
      <c r="C12" s="648"/>
      <c r="D12" s="648"/>
      <c r="E12" s="648"/>
      <c r="F12" s="280">
        <v>1163</v>
      </c>
      <c r="G12" s="301">
        <f t="shared" ref="G12:G13" si="12">+F12*$X$1</f>
        <v>1163</v>
      </c>
      <c r="H12" s="272"/>
      <c r="I12" s="332"/>
      <c r="J12" s="87"/>
      <c r="K12" s="280"/>
      <c r="L12" s="441"/>
      <c r="M12" s="280"/>
      <c r="N12" s="441">
        <f>F12+110</f>
        <v>1273</v>
      </c>
      <c r="O12" s="280">
        <f t="shared" si="7"/>
        <v>1273</v>
      </c>
      <c r="P12" s="441">
        <f>F12+100</f>
        <v>1263</v>
      </c>
      <c r="Q12" s="280">
        <f t="shared" si="8"/>
        <v>1263</v>
      </c>
      <c r="R12" s="441">
        <f>F12+80</f>
        <v>1243</v>
      </c>
      <c r="S12" s="280">
        <f t="shared" si="9"/>
        <v>1243</v>
      </c>
      <c r="T12" s="441">
        <f>F12+65</f>
        <v>1228</v>
      </c>
      <c r="U12" s="280">
        <f t="shared" si="10"/>
        <v>1228</v>
      </c>
      <c r="V12" s="441">
        <f>F12+56</f>
        <v>1219</v>
      </c>
      <c r="W12" s="280">
        <f t="shared" si="11"/>
        <v>1219</v>
      </c>
      <c r="X12" s="129"/>
      <c r="Y12" s="129"/>
      <c r="Z12" s="129"/>
      <c r="AA12" s="129"/>
      <c r="AB12" s="387">
        <v>15</v>
      </c>
      <c r="AE12" s="60"/>
      <c r="AF12" s="1046" t="s">
        <v>399</v>
      </c>
      <c r="AG12" s="1046"/>
      <c r="AH12" s="1046"/>
    </row>
    <row r="13" spans="1:39" ht="12.6" customHeight="1" x14ac:dyDescent="0.2">
      <c r="A13" s="18"/>
      <c r="B13" s="780" t="s">
        <v>401</v>
      </c>
      <c r="C13" s="680"/>
      <c r="D13" s="680"/>
      <c r="E13" s="681"/>
      <c r="F13" s="279">
        <v>510</v>
      </c>
      <c r="G13" s="302">
        <f t="shared" si="12"/>
        <v>510</v>
      </c>
      <c r="H13" s="273"/>
      <c r="I13" s="331"/>
      <c r="J13" s="610">
        <f>F13+200</f>
        <v>710</v>
      </c>
      <c r="K13" s="279">
        <f t="shared" ref="K13" si="13">+J13*$X$1</f>
        <v>710</v>
      </c>
      <c r="L13" s="610">
        <f>F13+150</f>
        <v>660</v>
      </c>
      <c r="M13" s="279">
        <f t="shared" ref="M13" si="14">+L13*$X$1</f>
        <v>660</v>
      </c>
      <c r="N13" s="610">
        <f>F13+100</f>
        <v>610</v>
      </c>
      <c r="O13" s="279">
        <f>+N13*$X$1</f>
        <v>610</v>
      </c>
      <c r="P13" s="610">
        <f>F13+90</f>
        <v>600</v>
      </c>
      <c r="Q13" s="279">
        <f t="shared" si="8"/>
        <v>600</v>
      </c>
      <c r="R13" s="610">
        <f>F13+70</f>
        <v>580</v>
      </c>
      <c r="S13" s="279">
        <f>+R13*$X$1</f>
        <v>580</v>
      </c>
      <c r="T13" s="610">
        <f>F13+56</f>
        <v>566</v>
      </c>
      <c r="U13" s="279">
        <f t="shared" ref="U13:U14" si="15">+T13*$X$1</f>
        <v>566</v>
      </c>
      <c r="V13" s="610"/>
      <c r="W13" s="279"/>
      <c r="X13" s="129"/>
      <c r="Y13" s="129"/>
      <c r="Z13" s="129"/>
      <c r="AA13" s="129"/>
      <c r="AB13" s="387">
        <v>17</v>
      </c>
      <c r="AE13" s="60"/>
      <c r="AF13" s="1046" t="s">
        <v>360</v>
      </c>
      <c r="AG13" s="1046"/>
      <c r="AH13" s="1046"/>
      <c r="AI13" s="60"/>
    </row>
    <row r="14" spans="1:39" ht="12.6" customHeight="1" x14ac:dyDescent="0.2">
      <c r="A14" s="18"/>
      <c r="B14" s="792" t="s">
        <v>696</v>
      </c>
      <c r="C14" s="677"/>
      <c r="D14" s="677"/>
      <c r="E14" s="678"/>
      <c r="F14" s="369">
        <f>28.84*X2</f>
        <v>31377.919999999998</v>
      </c>
      <c r="G14" s="301">
        <f>+F14*$X$1</f>
        <v>31377.919999999998</v>
      </c>
      <c r="H14" s="475">
        <f>F14+600</f>
        <v>31977.919999999998</v>
      </c>
      <c r="I14" s="280">
        <f t="shared" ref="I14" si="16">+H14*$X$1</f>
        <v>31977.919999999998</v>
      </c>
      <c r="J14" s="441">
        <f>F14+250</f>
        <v>31627.919999999998</v>
      </c>
      <c r="K14" s="280">
        <f t="shared" ref="K14" si="17">+J14*$X$1</f>
        <v>31627.919999999998</v>
      </c>
      <c r="L14" s="441">
        <f>F14+210</f>
        <v>31587.919999999998</v>
      </c>
      <c r="M14" s="280">
        <f t="shared" ref="M14" si="18">+L14*$X$1</f>
        <v>31587.919999999998</v>
      </c>
      <c r="N14" s="441">
        <f>F14+180</f>
        <v>31557.919999999998</v>
      </c>
      <c r="O14" s="280">
        <f t="shared" ref="O14" si="19">+N14*$X$1</f>
        <v>31557.919999999998</v>
      </c>
      <c r="P14" s="441">
        <f>F14+140</f>
        <v>31517.919999999998</v>
      </c>
      <c r="Q14" s="280">
        <f t="shared" ref="Q14" si="20">+P14*$X$1</f>
        <v>31517.919999999998</v>
      </c>
      <c r="R14" s="441">
        <f>F14+110</f>
        <v>31487.919999999998</v>
      </c>
      <c r="S14" s="280">
        <f t="shared" ref="S14" si="21">+R14*$X$1</f>
        <v>31487.919999999998</v>
      </c>
      <c r="T14" s="441">
        <f>F14+90</f>
        <v>31467.919999999998</v>
      </c>
      <c r="U14" s="280">
        <f t="shared" si="15"/>
        <v>31467.919999999998</v>
      </c>
      <c r="V14" s="441"/>
      <c r="W14" s="280"/>
      <c r="X14" s="644"/>
      <c r="Y14" s="679"/>
      <c r="Z14" s="679"/>
      <c r="AA14" s="658"/>
      <c r="AB14" s="387">
        <v>18</v>
      </c>
      <c r="AE14" s="71"/>
      <c r="AF14" s="1046" t="s">
        <v>361</v>
      </c>
      <c r="AG14" s="1046"/>
      <c r="AH14" s="1046"/>
      <c r="AI14" s="511"/>
    </row>
    <row r="15" spans="1:39" ht="12.6" customHeight="1" x14ac:dyDescent="0.2">
      <c r="A15" s="18"/>
      <c r="B15" s="780" t="s">
        <v>924</v>
      </c>
      <c r="C15" s="680"/>
      <c r="D15" s="680"/>
      <c r="E15" s="681"/>
      <c r="F15" s="370">
        <f>11*X2</f>
        <v>11968</v>
      </c>
      <c r="G15" s="279">
        <f>+F15*$X$1</f>
        <v>11968</v>
      </c>
      <c r="H15" s="273"/>
      <c r="I15" s="331"/>
      <c r="J15" s="610"/>
      <c r="K15" s="279"/>
      <c r="L15" s="610">
        <f>F15+210</f>
        <v>12178</v>
      </c>
      <c r="M15" s="279">
        <f t="shared" ref="M15" si="22">+L15*$X$1</f>
        <v>12178</v>
      </c>
      <c r="N15" s="610">
        <f>F15+180</f>
        <v>12148</v>
      </c>
      <c r="O15" s="279">
        <f t="shared" ref="O15" si="23">+N15*$X$1</f>
        <v>12148</v>
      </c>
      <c r="P15" s="610">
        <f>F15+140</f>
        <v>12108</v>
      </c>
      <c r="Q15" s="279">
        <f t="shared" ref="Q15" si="24">+P15*$X$1</f>
        <v>12108</v>
      </c>
      <c r="R15" s="610">
        <f>F15+110</f>
        <v>12078</v>
      </c>
      <c r="S15" s="279">
        <f t="shared" ref="S15" si="25">+R15*$X$1</f>
        <v>12078</v>
      </c>
      <c r="T15" s="610">
        <f>F15+90</f>
        <v>12058</v>
      </c>
      <c r="U15" s="279">
        <f t="shared" ref="U15" si="26">+T15*$X$1</f>
        <v>12058</v>
      </c>
      <c r="V15" s="610"/>
      <c r="W15" s="279"/>
      <c r="X15" s="546"/>
      <c r="Y15" s="160"/>
      <c r="Z15" s="160"/>
      <c r="AA15" s="161"/>
      <c r="AB15" s="387">
        <v>22</v>
      </c>
      <c r="AE15" s="71"/>
      <c r="AF15" s="1108" t="s">
        <v>24</v>
      </c>
      <c r="AG15" s="1108"/>
      <c r="AH15" s="1108"/>
      <c r="AI15" s="1108"/>
      <c r="AK15" s="64"/>
    </row>
    <row r="16" spans="1:39" ht="12.6" customHeight="1" x14ac:dyDescent="0.2">
      <c r="A16" s="95"/>
      <c r="B16" s="789" t="s">
        <v>25</v>
      </c>
      <c r="C16" s="694"/>
      <c r="D16" s="694"/>
      <c r="E16" s="695"/>
      <c r="F16" s="369">
        <f>4.1*X2</f>
        <v>4460.7999999999993</v>
      </c>
      <c r="G16" s="301">
        <f>+F16*$X$1</f>
        <v>4460.7999999999993</v>
      </c>
      <c r="H16" s="446">
        <f>F16+600</f>
        <v>5060.7999999999993</v>
      </c>
      <c r="I16" s="280">
        <f t="shared" ref="I16:I17" si="27">+H16*$X$1</f>
        <v>5060.7999999999993</v>
      </c>
      <c r="J16" s="441"/>
      <c r="K16" s="282"/>
      <c r="L16" s="441"/>
      <c r="M16" s="280"/>
      <c r="N16" s="441"/>
      <c r="O16" s="280"/>
      <c r="P16" s="100"/>
      <c r="Q16" s="1116" t="s">
        <v>148</v>
      </c>
      <c r="R16" s="1117"/>
      <c r="S16" s="1117"/>
      <c r="T16" s="1117"/>
      <c r="U16" s="1117"/>
      <c r="V16" s="1117"/>
      <c r="W16" s="1118"/>
      <c r="X16" s="644"/>
      <c r="Y16" s="679"/>
      <c r="Z16" s="679"/>
      <c r="AA16" s="658"/>
      <c r="AB16" s="387">
        <v>24</v>
      </c>
      <c r="AE16" s="71"/>
      <c r="AF16" s="1108" t="s">
        <v>870</v>
      </c>
      <c r="AG16" s="1108"/>
      <c r="AH16" s="1108"/>
      <c r="AI16" s="1108"/>
      <c r="AJ16" s="96"/>
    </row>
    <row r="17" spans="1:37" ht="12.6" customHeight="1" x14ac:dyDescent="0.2">
      <c r="A17" s="124"/>
      <c r="B17" s="780" t="s">
        <v>536</v>
      </c>
      <c r="C17" s="781"/>
      <c r="D17" s="781"/>
      <c r="E17" s="782"/>
      <c r="F17" s="370">
        <f>4.1*X2</f>
        <v>4460.7999999999993</v>
      </c>
      <c r="G17" s="302">
        <f>+F17*$X$1</f>
        <v>4460.7999999999993</v>
      </c>
      <c r="H17" s="316">
        <f>F17+600</f>
        <v>5060.7999999999993</v>
      </c>
      <c r="I17" s="279">
        <f t="shared" si="27"/>
        <v>5060.7999999999993</v>
      </c>
      <c r="J17" s="610"/>
      <c r="K17" s="281"/>
      <c r="L17" s="110"/>
      <c r="M17" s="281"/>
      <c r="N17" s="110">
        <f>F17+40</f>
        <v>4500.7999999999993</v>
      </c>
      <c r="O17" s="279"/>
      <c r="P17" s="273"/>
      <c r="Q17" s="1016" t="s">
        <v>148</v>
      </c>
      <c r="R17" s="1017"/>
      <c r="S17" s="1017"/>
      <c r="T17" s="1017"/>
      <c r="U17" s="1017"/>
      <c r="V17" s="1017"/>
      <c r="W17" s="1018"/>
      <c r="X17" s="238"/>
      <c r="Y17" s="189"/>
      <c r="Z17" s="189"/>
      <c r="AA17" s="188"/>
      <c r="AB17" s="387">
        <v>25</v>
      </c>
      <c r="AE17" s="71"/>
      <c r="AF17" s="1108" t="s">
        <v>570</v>
      </c>
      <c r="AG17" s="1108"/>
      <c r="AH17" s="1108"/>
      <c r="AI17" s="1108"/>
      <c r="AJ17" s="1108"/>
    </row>
    <row r="18" spans="1:37" ht="12.6" customHeight="1" x14ac:dyDescent="0.2">
      <c r="A18" s="123"/>
      <c r="B18" s="789" t="s">
        <v>26</v>
      </c>
      <c r="C18" s="694"/>
      <c r="D18" s="694"/>
      <c r="E18" s="695"/>
      <c r="F18" s="280"/>
      <c r="G18" s="329"/>
      <c r="H18" s="272"/>
      <c r="I18" s="332"/>
      <c r="J18" s="441"/>
      <c r="K18" s="282"/>
      <c r="L18" s="441"/>
      <c r="M18" s="280"/>
      <c r="N18" s="441"/>
      <c r="O18" s="280"/>
      <c r="P18" s="100"/>
      <c r="Q18" s="280"/>
      <c r="R18" s="441"/>
      <c r="S18" s="280"/>
      <c r="T18" s="441"/>
      <c r="U18" s="280"/>
      <c r="V18" s="93"/>
      <c r="W18" s="280"/>
      <c r="X18" s="644"/>
      <c r="Y18" s="679"/>
      <c r="Z18" s="679"/>
      <c r="AA18" s="658"/>
      <c r="AB18" s="34"/>
      <c r="AF18" s="1108" t="s">
        <v>371</v>
      </c>
      <c r="AG18" s="1108"/>
      <c r="AH18" s="1108"/>
      <c r="AI18" s="1109"/>
      <c r="AJ18" s="1109"/>
    </row>
    <row r="19" spans="1:37" ht="12.6" customHeight="1" x14ac:dyDescent="0.2">
      <c r="A19" s="18"/>
      <c r="B19" s="780" t="s">
        <v>27</v>
      </c>
      <c r="C19" s="680"/>
      <c r="D19" s="680"/>
      <c r="E19" s="681"/>
      <c r="F19" s="279">
        <v>4171</v>
      </c>
      <c r="G19" s="302">
        <f t="shared" ref="G19:G25" si="28">+F19*$X$1</f>
        <v>4171</v>
      </c>
      <c r="H19" s="474">
        <f>F19+600</f>
        <v>4771</v>
      </c>
      <c r="I19" s="279">
        <f t="shared" ref="I19:I20" si="29">+H19*$X$1</f>
        <v>4771</v>
      </c>
      <c r="J19" s="610">
        <f>F19+280</f>
        <v>4451</v>
      </c>
      <c r="K19" s="279">
        <f t="shared" ref="K19" si="30">+J19*$X$1</f>
        <v>4451</v>
      </c>
      <c r="L19" s="610">
        <f>F19+230</f>
        <v>4401</v>
      </c>
      <c r="M19" s="279">
        <f t="shared" ref="M19" si="31">+L19*$X$1</f>
        <v>4401</v>
      </c>
      <c r="N19" s="610">
        <f>F19+190</f>
        <v>4361</v>
      </c>
      <c r="O19" s="279">
        <f t="shared" ref="O19" si="32">+N19*$X$1</f>
        <v>4361</v>
      </c>
      <c r="P19" s="610">
        <f>F19+160</f>
        <v>4331</v>
      </c>
      <c r="Q19" s="279">
        <f t="shared" ref="Q19" si="33">+P19*$X$1</f>
        <v>4331</v>
      </c>
      <c r="R19" s="610">
        <f>F19+130</f>
        <v>4301</v>
      </c>
      <c r="S19" s="279">
        <f t="shared" ref="S19" si="34">+R19*$X$1</f>
        <v>4301</v>
      </c>
      <c r="T19" s="610">
        <f>F19+110</f>
        <v>4281</v>
      </c>
      <c r="U19" s="279">
        <f t="shared" ref="U19" si="35">+T19*$X$1</f>
        <v>4281</v>
      </c>
      <c r="V19" s="610">
        <f>F19+90</f>
        <v>4261</v>
      </c>
      <c r="W19" s="279">
        <f t="shared" ref="W19" si="36">+V19*$X$1</f>
        <v>4261</v>
      </c>
      <c r="X19" s="644"/>
      <c r="Y19" s="679"/>
      <c r="Z19" s="679"/>
      <c r="AA19" s="658"/>
      <c r="AB19" s="387" t="s">
        <v>28</v>
      </c>
      <c r="AE19" s="71"/>
      <c r="AF19" s="1108" t="s">
        <v>372</v>
      </c>
      <c r="AG19" s="1108"/>
      <c r="AH19" s="1108"/>
      <c r="AI19" s="1108"/>
      <c r="AJ19" s="72"/>
    </row>
    <row r="20" spans="1:37" ht="12.6" customHeight="1" x14ac:dyDescent="0.2">
      <c r="A20" s="18"/>
      <c r="B20" s="779" t="s">
        <v>29</v>
      </c>
      <c r="C20" s="648"/>
      <c r="D20" s="648"/>
      <c r="E20" s="648"/>
      <c r="F20" s="280">
        <v>4171</v>
      </c>
      <c r="G20" s="301">
        <f t="shared" ref="G20" si="37">+F20*$X$1</f>
        <v>4171</v>
      </c>
      <c r="H20" s="475">
        <f>F20+600</f>
        <v>4771</v>
      </c>
      <c r="I20" s="280">
        <f t="shared" si="29"/>
        <v>4771</v>
      </c>
      <c r="J20" s="441">
        <f>F20+280</f>
        <v>4451</v>
      </c>
      <c r="K20" s="280">
        <f t="shared" ref="K20" si="38">+J20*$X$1</f>
        <v>4451</v>
      </c>
      <c r="L20" s="441">
        <f>F20+230</f>
        <v>4401</v>
      </c>
      <c r="M20" s="280">
        <f t="shared" ref="M20" si="39">+L20*$X$1</f>
        <v>4401</v>
      </c>
      <c r="N20" s="441">
        <f>F20+190</f>
        <v>4361</v>
      </c>
      <c r="O20" s="280">
        <f t="shared" ref="O20" si="40">+N20*$X$1</f>
        <v>4361</v>
      </c>
      <c r="P20" s="441">
        <f>F20+160</f>
        <v>4331</v>
      </c>
      <c r="Q20" s="280">
        <f t="shared" ref="Q20" si="41">+P20*$X$1</f>
        <v>4331</v>
      </c>
      <c r="R20" s="441">
        <f>F20+130</f>
        <v>4301</v>
      </c>
      <c r="S20" s="280">
        <f t="shared" ref="S20" si="42">+R20*$X$1</f>
        <v>4301</v>
      </c>
      <c r="T20" s="441">
        <f>F20+110</f>
        <v>4281</v>
      </c>
      <c r="U20" s="280">
        <f t="shared" ref="U20" si="43">+T20*$X$1</f>
        <v>4281</v>
      </c>
      <c r="V20" s="441">
        <f>F20+90</f>
        <v>4261</v>
      </c>
      <c r="W20" s="280">
        <f t="shared" ref="W20" si="44">+V20*$X$1</f>
        <v>4261</v>
      </c>
      <c r="X20" s="644"/>
      <c r="Y20" s="679"/>
      <c r="Z20" s="679"/>
      <c r="AA20" s="658"/>
      <c r="AB20" s="387" t="s">
        <v>30</v>
      </c>
      <c r="AE20" s="71"/>
      <c r="AF20" s="1108" t="s">
        <v>388</v>
      </c>
      <c r="AG20" s="1108"/>
      <c r="AH20" s="1108"/>
      <c r="AI20" s="1108"/>
      <c r="AJ20" s="1109"/>
    </row>
    <row r="21" spans="1:37" ht="12.6" customHeight="1" x14ac:dyDescent="0.2">
      <c r="A21" s="18"/>
      <c r="B21" s="778" t="s">
        <v>340</v>
      </c>
      <c r="C21" s="660"/>
      <c r="D21" s="660"/>
      <c r="E21" s="660"/>
      <c r="F21" s="279">
        <v>595</v>
      </c>
      <c r="G21" s="339">
        <f t="shared" si="28"/>
        <v>595</v>
      </c>
      <c r="H21" s="277"/>
      <c r="I21" s="347"/>
      <c r="J21" s="205"/>
      <c r="K21" s="281"/>
      <c r="L21" s="110"/>
      <c r="M21" s="281"/>
      <c r="N21" s="110"/>
      <c r="O21" s="279"/>
      <c r="P21" s="273"/>
      <c r="Q21" s="331"/>
      <c r="R21" s="610"/>
      <c r="S21" s="279"/>
      <c r="T21" s="610"/>
      <c r="U21" s="279"/>
      <c r="V21" s="610"/>
      <c r="W21" s="279"/>
      <c r="X21" s="129"/>
      <c r="Y21" s="129"/>
      <c r="Z21" s="129"/>
      <c r="AA21" s="129"/>
      <c r="AB21" s="387">
        <v>35</v>
      </c>
      <c r="AE21" s="71"/>
      <c r="AF21" s="1108" t="s">
        <v>341</v>
      </c>
      <c r="AG21" s="1109"/>
      <c r="AH21" s="1109"/>
      <c r="AI21" s="1109"/>
      <c r="AJ21" s="72"/>
    </row>
    <row r="22" spans="1:37" ht="12.6" customHeight="1" x14ac:dyDescent="0.2">
      <c r="A22" s="18"/>
      <c r="B22" s="779" t="s">
        <v>339</v>
      </c>
      <c r="C22" s="648"/>
      <c r="D22" s="648"/>
      <c r="E22" s="648"/>
      <c r="F22" s="280">
        <v>1930</v>
      </c>
      <c r="G22" s="329">
        <f t="shared" si="28"/>
        <v>1930</v>
      </c>
      <c r="H22" s="272"/>
      <c r="I22" s="332"/>
      <c r="J22" s="118"/>
      <c r="K22" s="280"/>
      <c r="L22" s="441"/>
      <c r="M22" s="280"/>
      <c r="N22" s="441"/>
      <c r="O22" s="280"/>
      <c r="P22" s="272"/>
      <c r="Q22" s="332"/>
      <c r="R22" s="441"/>
      <c r="S22" s="348"/>
      <c r="T22" s="100"/>
      <c r="U22" s="309"/>
      <c r="V22" s="100"/>
      <c r="W22" s="280"/>
      <c r="X22" s="129"/>
      <c r="Y22" s="129"/>
      <c r="Z22" s="129"/>
      <c r="AA22" s="129"/>
      <c r="AB22" s="387">
        <v>36</v>
      </c>
      <c r="AE22" s="71"/>
      <c r="AF22" s="1108" t="s">
        <v>482</v>
      </c>
      <c r="AG22" s="1108"/>
      <c r="AH22" s="1108"/>
      <c r="AI22" s="1108"/>
      <c r="AJ22" s="72"/>
    </row>
    <row r="23" spans="1:37" ht="12.6" customHeight="1" x14ac:dyDescent="0.2">
      <c r="A23" s="18"/>
      <c r="B23" s="778" t="s">
        <v>31</v>
      </c>
      <c r="C23" s="660"/>
      <c r="D23" s="660"/>
      <c r="E23" s="660"/>
      <c r="F23" s="279">
        <v>1930</v>
      </c>
      <c r="G23" s="297">
        <f t="shared" si="28"/>
        <v>1930</v>
      </c>
      <c r="H23" s="277"/>
      <c r="I23" s="335"/>
      <c r="J23" s="119"/>
      <c r="K23" s="279"/>
      <c r="L23" s="610"/>
      <c r="M23" s="279"/>
      <c r="N23" s="610"/>
      <c r="O23" s="279"/>
      <c r="P23" s="277"/>
      <c r="Q23" s="335"/>
      <c r="R23" s="610"/>
      <c r="S23" s="312"/>
      <c r="T23" s="610"/>
      <c r="U23" s="279"/>
      <c r="V23" s="610"/>
      <c r="W23" s="279"/>
      <c r="X23" s="129"/>
      <c r="Y23" s="129"/>
      <c r="Z23" s="129"/>
      <c r="AA23" s="129"/>
      <c r="AB23" s="387" t="s">
        <v>32</v>
      </c>
      <c r="AE23" s="71"/>
      <c r="AF23" s="1108" t="s">
        <v>33</v>
      </c>
      <c r="AG23" s="1108"/>
      <c r="AH23" s="1108"/>
      <c r="AI23" s="1108"/>
      <c r="AJ23" s="72"/>
    </row>
    <row r="24" spans="1:37" ht="12.6" customHeight="1" x14ac:dyDescent="0.2">
      <c r="A24" s="18"/>
      <c r="B24" s="779" t="s">
        <v>34</v>
      </c>
      <c r="C24" s="648"/>
      <c r="D24" s="648"/>
      <c r="E24" s="648"/>
      <c r="F24" s="280"/>
      <c r="G24" s="329"/>
      <c r="H24" s="272"/>
      <c r="I24" s="332"/>
      <c r="J24" s="118"/>
      <c r="K24" s="282"/>
      <c r="L24" s="93"/>
      <c r="M24" s="282"/>
      <c r="N24" s="93"/>
      <c r="O24" s="282"/>
      <c r="P24" s="93"/>
      <c r="Q24" s="282"/>
      <c r="R24" s="93"/>
      <c r="S24" s="364"/>
      <c r="T24" s="93"/>
      <c r="U24" s="336"/>
      <c r="V24" s="93"/>
      <c r="W24" s="282"/>
      <c r="X24" s="129"/>
      <c r="Y24" s="129"/>
      <c r="Z24" s="129"/>
      <c r="AA24" s="129"/>
      <c r="AB24" s="387" t="s">
        <v>35</v>
      </c>
      <c r="AD24" s="23"/>
      <c r="AE24" s="73"/>
      <c r="AF24" s="1108" t="s">
        <v>36</v>
      </c>
      <c r="AG24" s="1109"/>
      <c r="AH24" s="1109"/>
      <c r="AI24" s="1109"/>
      <c r="AJ24" s="72"/>
    </row>
    <row r="25" spans="1:37" ht="12.6" customHeight="1" x14ac:dyDescent="0.2">
      <c r="A25" s="18"/>
      <c r="B25" s="780" t="s">
        <v>37</v>
      </c>
      <c r="C25" s="680"/>
      <c r="D25" s="680"/>
      <c r="E25" s="681"/>
      <c r="F25" s="365">
        <f>8.97*X2</f>
        <v>9759.36</v>
      </c>
      <c r="G25" s="279">
        <f t="shared" si="28"/>
        <v>9759.36</v>
      </c>
      <c r="H25" s="316"/>
      <c r="I25" s="279"/>
      <c r="J25" s="610"/>
      <c r="K25" s="279"/>
      <c r="L25" s="610">
        <f>F25+230</f>
        <v>9989.36</v>
      </c>
      <c r="M25" s="279">
        <f t="shared" ref="M25" si="45">+L25*$X$1</f>
        <v>9989.36</v>
      </c>
      <c r="N25" s="610">
        <f>F25+190</f>
        <v>9949.36</v>
      </c>
      <c r="O25" s="279">
        <f t="shared" ref="O25" si="46">+N25*$X$1</f>
        <v>9949.36</v>
      </c>
      <c r="P25" s="610">
        <f>F25+160</f>
        <v>9919.36</v>
      </c>
      <c r="Q25" s="279">
        <f t="shared" ref="Q25" si="47">+P25*$X$1</f>
        <v>9919.36</v>
      </c>
      <c r="R25" s="610">
        <f>F25+130</f>
        <v>9889.36</v>
      </c>
      <c r="S25" s="279">
        <f t="shared" ref="S25" si="48">+R25*$X$1</f>
        <v>9889.36</v>
      </c>
      <c r="T25" s="610">
        <f>F25+110</f>
        <v>9869.36</v>
      </c>
      <c r="U25" s="279">
        <f t="shared" ref="U25" si="49">+T25*$X$1</f>
        <v>9869.36</v>
      </c>
      <c r="V25" s="610"/>
      <c r="W25" s="279"/>
      <c r="X25" s="644"/>
      <c r="Y25" s="1019"/>
      <c r="Z25" s="1019"/>
      <c r="AA25" s="883"/>
      <c r="AB25" s="387">
        <v>39</v>
      </c>
      <c r="AE25" s="71"/>
      <c r="AF25" s="1108" t="s">
        <v>735</v>
      </c>
      <c r="AG25" s="1108"/>
      <c r="AH25" s="1108"/>
      <c r="AI25" s="1109"/>
      <c r="AJ25" s="1109"/>
    </row>
    <row r="26" spans="1:37" ht="12.6" customHeight="1" x14ac:dyDescent="0.2">
      <c r="A26" s="18"/>
      <c r="B26" s="1110" t="s">
        <v>38</v>
      </c>
      <c r="C26" s="1111"/>
      <c r="D26" s="1111"/>
      <c r="E26" s="1112"/>
      <c r="F26" s="282"/>
      <c r="G26" s="280"/>
      <c r="H26" s="272"/>
      <c r="I26" s="332"/>
      <c r="J26" s="118"/>
      <c r="K26" s="280"/>
      <c r="L26" s="441"/>
      <c r="M26" s="280"/>
      <c r="N26" s="441"/>
      <c r="O26" s="280"/>
      <c r="P26" s="274"/>
      <c r="Q26" s="280"/>
      <c r="R26" s="441"/>
      <c r="S26" s="280"/>
      <c r="T26" s="441"/>
      <c r="U26" s="280"/>
      <c r="V26" s="441"/>
      <c r="W26" s="280"/>
      <c r="X26" s="128"/>
      <c r="Y26" s="129"/>
      <c r="Z26" s="129"/>
      <c r="AA26" s="129"/>
      <c r="AB26" s="387" t="s">
        <v>39</v>
      </c>
      <c r="AE26" s="71"/>
      <c r="AF26" s="1108" t="s">
        <v>40</v>
      </c>
      <c r="AG26" s="1108"/>
      <c r="AH26" s="1108"/>
      <c r="AI26" s="1108"/>
      <c r="AJ26" s="72"/>
    </row>
    <row r="27" spans="1:37" ht="12.6" customHeight="1" x14ac:dyDescent="0.2">
      <c r="A27" s="18"/>
      <c r="B27" s="778" t="s">
        <v>41</v>
      </c>
      <c r="C27" s="660"/>
      <c r="D27" s="660"/>
      <c r="E27" s="660"/>
      <c r="F27" s="365"/>
      <c r="G27" s="279"/>
      <c r="H27" s="273"/>
      <c r="I27" s="331"/>
      <c r="J27" s="600"/>
      <c r="K27" s="279"/>
      <c r="L27" s="600">
        <f>8.2*X2</f>
        <v>8921.5999999999985</v>
      </c>
      <c r="M27" s="279">
        <f t="shared" ref="M27:M29" si="50">+L27*$X$1</f>
        <v>8921.5999999999985</v>
      </c>
      <c r="N27" s="600">
        <f>8*X2</f>
        <v>8704</v>
      </c>
      <c r="O27" s="279">
        <f t="shared" ref="O27:O29" si="51">+N27*$X$1</f>
        <v>8704</v>
      </c>
      <c r="P27" s="310">
        <f>7.9*X2</f>
        <v>8595.2000000000007</v>
      </c>
      <c r="Q27" s="279">
        <f t="shared" ref="Q27:Q29" si="52">+P27*$X$1</f>
        <v>8595.2000000000007</v>
      </c>
      <c r="R27" s="600">
        <f>7.8*X2</f>
        <v>8486.4</v>
      </c>
      <c r="S27" s="279">
        <f t="shared" ref="S27:S29" si="53">+R27*$X$1</f>
        <v>8486.4</v>
      </c>
      <c r="T27" s="600">
        <f>7.7*X2</f>
        <v>8377.6</v>
      </c>
      <c r="U27" s="279">
        <f t="shared" ref="U27:U29" si="54">+T27*$X$1</f>
        <v>8377.6</v>
      </c>
      <c r="V27" s="600"/>
      <c r="W27" s="279"/>
      <c r="X27" s="742"/>
      <c r="Y27" s="1019"/>
      <c r="Z27" s="1019"/>
      <c r="AA27" s="883"/>
      <c r="AB27" s="387">
        <v>40</v>
      </c>
      <c r="AE27" s="71"/>
      <c r="AF27" s="1108" t="s">
        <v>42</v>
      </c>
      <c r="AG27" s="1108"/>
      <c r="AH27" s="1108"/>
      <c r="AI27" s="1108"/>
      <c r="AJ27" s="1109"/>
    </row>
    <row r="28" spans="1:37" ht="12.6" customHeight="1" x14ac:dyDescent="0.2">
      <c r="A28" s="18"/>
      <c r="B28" s="789" t="s">
        <v>350</v>
      </c>
      <c r="C28" s="694"/>
      <c r="D28" s="694"/>
      <c r="E28" s="695"/>
      <c r="F28" s="369">
        <f>10.35*X2</f>
        <v>11260.8</v>
      </c>
      <c r="G28" s="280">
        <f>+F28*$X$1</f>
        <v>11260.8</v>
      </c>
      <c r="H28" s="272"/>
      <c r="I28" s="332"/>
      <c r="J28" s="441"/>
      <c r="K28" s="280"/>
      <c r="L28" s="441">
        <f>F28+210</f>
        <v>11470.8</v>
      </c>
      <c r="M28" s="280">
        <f t="shared" si="50"/>
        <v>11470.8</v>
      </c>
      <c r="N28" s="441">
        <f>F28+180</f>
        <v>11440.8</v>
      </c>
      <c r="O28" s="280">
        <f t="shared" si="51"/>
        <v>11440.8</v>
      </c>
      <c r="P28" s="441">
        <f>F28+140</f>
        <v>11400.8</v>
      </c>
      <c r="Q28" s="280">
        <f t="shared" si="52"/>
        <v>11400.8</v>
      </c>
      <c r="R28" s="441">
        <f>F28+110</f>
        <v>11370.8</v>
      </c>
      <c r="S28" s="280">
        <f t="shared" si="53"/>
        <v>11370.8</v>
      </c>
      <c r="T28" s="441">
        <f>F28+90</f>
        <v>11350.8</v>
      </c>
      <c r="U28" s="280">
        <f t="shared" si="54"/>
        <v>11350.8</v>
      </c>
      <c r="V28" s="441"/>
      <c r="W28" s="280"/>
      <c r="X28" s="209"/>
      <c r="Y28" s="160"/>
      <c r="Z28" s="160"/>
      <c r="AA28" s="161"/>
      <c r="AB28" s="387">
        <v>44</v>
      </c>
      <c r="AE28" s="71"/>
      <c r="AF28" s="1108" t="s">
        <v>404</v>
      </c>
      <c r="AG28" s="1108"/>
      <c r="AH28" s="1108"/>
      <c r="AI28" s="1109"/>
      <c r="AJ28" s="1109"/>
      <c r="AK28" s="64"/>
    </row>
    <row r="29" spans="1:37" ht="12.6" customHeight="1" x14ac:dyDescent="0.2">
      <c r="A29" s="18"/>
      <c r="B29" s="795" t="s">
        <v>656</v>
      </c>
      <c r="C29" s="711"/>
      <c r="D29" s="711"/>
      <c r="E29" s="711"/>
      <c r="F29" s="365">
        <f>0.51*X2</f>
        <v>554.88</v>
      </c>
      <c r="G29" s="279">
        <f>+F29*$X$1</f>
        <v>554.88</v>
      </c>
      <c r="H29" s="273"/>
      <c r="I29" s="331"/>
      <c r="J29" s="70"/>
      <c r="K29" s="279"/>
      <c r="L29" s="600">
        <f>F29+150</f>
        <v>704.88</v>
      </c>
      <c r="M29" s="279">
        <f t="shared" si="50"/>
        <v>704.88</v>
      </c>
      <c r="N29" s="600">
        <f>F29+110</f>
        <v>664.88</v>
      </c>
      <c r="O29" s="279">
        <f t="shared" si="51"/>
        <v>664.88</v>
      </c>
      <c r="P29" s="600">
        <f>F29+100</f>
        <v>654.88</v>
      </c>
      <c r="Q29" s="279">
        <f t="shared" si="52"/>
        <v>654.88</v>
      </c>
      <c r="R29" s="600">
        <f>F29+80</f>
        <v>634.88</v>
      </c>
      <c r="S29" s="279">
        <f t="shared" si="53"/>
        <v>634.88</v>
      </c>
      <c r="T29" s="600">
        <f>F29+65</f>
        <v>619.88</v>
      </c>
      <c r="U29" s="279">
        <f t="shared" si="54"/>
        <v>619.88</v>
      </c>
      <c r="V29" s="600">
        <f>F29+56</f>
        <v>610.88</v>
      </c>
      <c r="W29" s="279">
        <f t="shared" ref="W29" si="55">+V29*$X$1</f>
        <v>610.88</v>
      </c>
      <c r="X29" s="129"/>
      <c r="Y29" s="129"/>
      <c r="Z29" s="129"/>
      <c r="AA29" s="129"/>
      <c r="AB29" s="387">
        <v>45</v>
      </c>
      <c r="AF29" s="1108" t="s">
        <v>734</v>
      </c>
      <c r="AG29" s="1108"/>
      <c r="AH29" s="1108"/>
      <c r="AI29" s="1108"/>
      <c r="AJ29" s="1108"/>
    </row>
    <row r="30" spans="1:37" ht="12.6" customHeight="1" x14ac:dyDescent="0.2">
      <c r="A30" s="18"/>
      <c r="B30" s="779" t="s">
        <v>43</v>
      </c>
      <c r="C30" s="648"/>
      <c r="D30" s="648"/>
      <c r="E30" s="648"/>
      <c r="F30" s="280">
        <v>616</v>
      </c>
      <c r="G30" s="301">
        <f t="shared" ref="G30:G38" si="56">+F30*$X$1</f>
        <v>616</v>
      </c>
      <c r="H30" s="1026" t="s">
        <v>44</v>
      </c>
      <c r="I30" s="1026"/>
      <c r="J30" s="1027"/>
      <c r="K30" s="1028"/>
      <c r="L30" s="272"/>
      <c r="M30" s="332"/>
      <c r="N30" s="88">
        <v>1852</v>
      </c>
      <c r="O30" s="301">
        <f t="shared" ref="O30:O41" si="57">+N30*$X$1</f>
        <v>1852</v>
      </c>
      <c r="P30" s="274">
        <v>1706</v>
      </c>
      <c r="Q30" s="575">
        <f t="shared" ref="Q30:S52" si="58">+P30*$X$1</f>
        <v>1706</v>
      </c>
      <c r="R30" s="100">
        <v>1577</v>
      </c>
      <c r="S30" s="295">
        <f t="shared" si="58"/>
        <v>1577</v>
      </c>
      <c r="T30" s="441">
        <v>1456</v>
      </c>
      <c r="U30" s="295">
        <f t="shared" ref="U30:U47" si="59">+T30*$X$1</f>
        <v>1456</v>
      </c>
      <c r="V30" s="441">
        <v>1407</v>
      </c>
      <c r="W30" s="280">
        <f t="shared" ref="W30:W47" si="60">+V30*$X$1</f>
        <v>1407</v>
      </c>
      <c r="X30" s="644"/>
      <c r="Y30" s="1019"/>
      <c r="Z30" s="1019"/>
      <c r="AA30" s="883"/>
      <c r="AB30" s="387" t="s">
        <v>45</v>
      </c>
      <c r="AE30" s="71"/>
      <c r="AF30" s="1108" t="s">
        <v>984</v>
      </c>
      <c r="AG30" s="1108"/>
      <c r="AH30" s="1108"/>
      <c r="AI30" s="1108"/>
      <c r="AJ30" s="1108"/>
    </row>
    <row r="31" spans="1:37" ht="12.6" customHeight="1" x14ac:dyDescent="0.2">
      <c r="A31" s="18"/>
      <c r="B31" s="778" t="s">
        <v>46</v>
      </c>
      <c r="C31" s="660"/>
      <c r="D31" s="660"/>
      <c r="E31" s="660"/>
      <c r="F31" s="279">
        <v>616</v>
      </c>
      <c r="G31" s="302">
        <f t="shared" si="56"/>
        <v>616</v>
      </c>
      <c r="H31" s="1020" t="s">
        <v>44</v>
      </c>
      <c r="I31" s="1020"/>
      <c r="J31" s="1021"/>
      <c r="K31" s="1022"/>
      <c r="L31" s="273"/>
      <c r="M31" s="331"/>
      <c r="N31" s="84">
        <v>1852</v>
      </c>
      <c r="O31" s="302">
        <f t="shared" ref="O31:O34" si="61">+N31*$X$1</f>
        <v>1852</v>
      </c>
      <c r="P31" s="310">
        <v>1706</v>
      </c>
      <c r="Q31" s="576">
        <f t="shared" ref="Q31:Q34" si="62">+P31*$X$1</f>
        <v>1706</v>
      </c>
      <c r="R31" s="101">
        <v>1577</v>
      </c>
      <c r="S31" s="252">
        <f t="shared" ref="S31:S34" si="63">+R31*$X$1</f>
        <v>1577</v>
      </c>
      <c r="T31" s="552">
        <v>1456</v>
      </c>
      <c r="U31" s="252">
        <f t="shared" ref="U31:U34" si="64">+T31*$X$1</f>
        <v>1456</v>
      </c>
      <c r="V31" s="552">
        <v>1407</v>
      </c>
      <c r="W31" s="279">
        <f t="shared" ref="W31:W34" si="65">+V31*$X$1</f>
        <v>1407</v>
      </c>
      <c r="X31" s="644"/>
      <c r="Y31" s="1019"/>
      <c r="Z31" s="1019"/>
      <c r="AA31" s="883"/>
      <c r="AB31" s="387" t="s">
        <v>47</v>
      </c>
    </row>
    <row r="32" spans="1:37" ht="12.6" customHeight="1" x14ac:dyDescent="0.2">
      <c r="A32" s="18"/>
      <c r="B32" s="779" t="s">
        <v>48</v>
      </c>
      <c r="C32" s="648"/>
      <c r="D32" s="648"/>
      <c r="E32" s="648"/>
      <c r="F32" s="280">
        <v>616</v>
      </c>
      <c r="G32" s="301">
        <f t="shared" si="56"/>
        <v>616</v>
      </c>
      <c r="H32" s="1113" t="s">
        <v>44</v>
      </c>
      <c r="I32" s="1113"/>
      <c r="J32" s="1114"/>
      <c r="K32" s="1115"/>
      <c r="L32" s="272"/>
      <c r="M32" s="332"/>
      <c r="N32" s="88">
        <v>1852</v>
      </c>
      <c r="O32" s="301">
        <f t="shared" si="61"/>
        <v>1852</v>
      </c>
      <c r="P32" s="274">
        <v>1706</v>
      </c>
      <c r="Q32" s="575">
        <f t="shared" si="62"/>
        <v>1706</v>
      </c>
      <c r="R32" s="100">
        <v>1577</v>
      </c>
      <c r="S32" s="295">
        <f t="shared" si="63"/>
        <v>1577</v>
      </c>
      <c r="T32" s="441">
        <v>1456</v>
      </c>
      <c r="U32" s="295">
        <f t="shared" si="64"/>
        <v>1456</v>
      </c>
      <c r="V32" s="441">
        <v>1407</v>
      </c>
      <c r="W32" s="280">
        <f t="shared" si="65"/>
        <v>1407</v>
      </c>
      <c r="X32" s="644"/>
      <c r="Y32" s="1019"/>
      <c r="Z32" s="1019"/>
      <c r="AA32" s="883"/>
      <c r="AB32" s="387" t="s">
        <v>49</v>
      </c>
    </row>
    <row r="33" spans="1:28" ht="12.6" customHeight="1" x14ac:dyDescent="0.2">
      <c r="A33" s="18"/>
      <c r="B33" s="778" t="s">
        <v>50</v>
      </c>
      <c r="C33" s="660"/>
      <c r="D33" s="660"/>
      <c r="E33" s="660"/>
      <c r="F33" s="279">
        <v>616</v>
      </c>
      <c r="G33" s="302">
        <f t="shared" si="56"/>
        <v>616</v>
      </c>
      <c r="H33" s="1020" t="s">
        <v>44</v>
      </c>
      <c r="I33" s="1020"/>
      <c r="J33" s="1021"/>
      <c r="K33" s="1022"/>
      <c r="L33" s="273"/>
      <c r="M33" s="331"/>
      <c r="N33" s="84">
        <v>1852</v>
      </c>
      <c r="O33" s="302">
        <f t="shared" si="61"/>
        <v>1852</v>
      </c>
      <c r="P33" s="310">
        <v>1706</v>
      </c>
      <c r="Q33" s="576">
        <f t="shared" si="62"/>
        <v>1706</v>
      </c>
      <c r="R33" s="101">
        <v>1577</v>
      </c>
      <c r="S33" s="252">
        <f t="shared" si="63"/>
        <v>1577</v>
      </c>
      <c r="T33" s="552">
        <v>1456</v>
      </c>
      <c r="U33" s="252">
        <f t="shared" si="64"/>
        <v>1456</v>
      </c>
      <c r="V33" s="552">
        <v>1407</v>
      </c>
      <c r="W33" s="279">
        <f t="shared" si="65"/>
        <v>1407</v>
      </c>
      <c r="X33" s="644"/>
      <c r="Y33" s="1019"/>
      <c r="Z33" s="1019"/>
      <c r="AA33" s="883"/>
      <c r="AB33" s="387" t="s">
        <v>51</v>
      </c>
    </row>
    <row r="34" spans="1:28" ht="12.6" customHeight="1" x14ac:dyDescent="0.2">
      <c r="A34" s="18"/>
      <c r="B34" s="779" t="s">
        <v>52</v>
      </c>
      <c r="C34" s="648"/>
      <c r="D34" s="648"/>
      <c r="E34" s="648"/>
      <c r="F34" s="280">
        <v>616</v>
      </c>
      <c r="G34" s="301">
        <f t="shared" si="56"/>
        <v>616</v>
      </c>
      <c r="H34" s="1113" t="s">
        <v>44</v>
      </c>
      <c r="I34" s="1113"/>
      <c r="J34" s="1114"/>
      <c r="K34" s="1115"/>
      <c r="L34" s="272"/>
      <c r="M34" s="332"/>
      <c r="N34" s="88">
        <v>1852</v>
      </c>
      <c r="O34" s="301">
        <f t="shared" si="61"/>
        <v>1852</v>
      </c>
      <c r="P34" s="274">
        <v>1706</v>
      </c>
      <c r="Q34" s="575">
        <f t="shared" si="62"/>
        <v>1706</v>
      </c>
      <c r="R34" s="100">
        <v>1577</v>
      </c>
      <c r="S34" s="295">
        <f t="shared" si="63"/>
        <v>1577</v>
      </c>
      <c r="T34" s="441">
        <v>1456</v>
      </c>
      <c r="U34" s="295">
        <f t="shared" si="64"/>
        <v>1456</v>
      </c>
      <c r="V34" s="441">
        <v>1407</v>
      </c>
      <c r="W34" s="280">
        <f t="shared" si="65"/>
        <v>1407</v>
      </c>
      <c r="X34" s="644"/>
      <c r="Y34" s="1019"/>
      <c r="Z34" s="1019"/>
      <c r="AA34" s="883"/>
      <c r="AB34" s="387" t="s">
        <v>53</v>
      </c>
    </row>
    <row r="35" spans="1:28" ht="12.6" customHeight="1" x14ac:dyDescent="0.25">
      <c r="A35" s="18"/>
      <c r="B35" s="778" t="s">
        <v>54</v>
      </c>
      <c r="C35" s="660"/>
      <c r="D35" s="660"/>
      <c r="E35" s="660"/>
      <c r="F35" s="279">
        <v>616</v>
      </c>
      <c r="G35" s="302">
        <f t="shared" si="56"/>
        <v>616</v>
      </c>
      <c r="H35" s="1020" t="s">
        <v>44</v>
      </c>
      <c r="I35" s="1020"/>
      <c r="J35" s="1021"/>
      <c r="K35" s="1022"/>
      <c r="L35" s="273"/>
      <c r="M35" s="331"/>
      <c r="N35" s="84">
        <v>1610</v>
      </c>
      <c r="O35" s="302">
        <f t="shared" si="57"/>
        <v>1610</v>
      </c>
      <c r="P35" s="310">
        <v>1476</v>
      </c>
      <c r="Q35" s="576">
        <f t="shared" si="58"/>
        <v>1476</v>
      </c>
      <c r="R35" s="552">
        <v>1351</v>
      </c>
      <c r="S35" s="252">
        <f t="shared" si="58"/>
        <v>1351</v>
      </c>
      <c r="T35" s="552">
        <v>1261</v>
      </c>
      <c r="U35" s="252">
        <f t="shared" si="59"/>
        <v>1261</v>
      </c>
      <c r="V35" s="552">
        <v>1197</v>
      </c>
      <c r="W35" s="279">
        <f t="shared" si="60"/>
        <v>1197</v>
      </c>
      <c r="X35" s="644"/>
      <c r="Y35" s="879"/>
      <c r="Z35" s="879"/>
      <c r="AA35" s="880"/>
      <c r="AB35" s="387" t="s">
        <v>442</v>
      </c>
    </row>
    <row r="36" spans="1:28" ht="12.6" customHeight="1" x14ac:dyDescent="0.2">
      <c r="A36" s="18"/>
      <c r="B36" s="779" t="s">
        <v>55</v>
      </c>
      <c r="C36" s="648"/>
      <c r="D36" s="648"/>
      <c r="E36" s="648"/>
      <c r="F36" s="280">
        <v>616</v>
      </c>
      <c r="G36" s="301">
        <f t="shared" si="56"/>
        <v>616</v>
      </c>
      <c r="H36" s="1113" t="s">
        <v>44</v>
      </c>
      <c r="I36" s="1113"/>
      <c r="J36" s="1114"/>
      <c r="K36" s="1115"/>
      <c r="L36" s="272"/>
      <c r="M36" s="332"/>
      <c r="N36" s="88">
        <v>1411</v>
      </c>
      <c r="O36" s="301">
        <f t="shared" ref="O36" si="66">+N36*$X$1</f>
        <v>1411</v>
      </c>
      <c r="P36" s="274">
        <v>1297</v>
      </c>
      <c r="Q36" s="575">
        <f t="shared" ref="Q36" si="67">+P36*$X$1</f>
        <v>1297</v>
      </c>
      <c r="R36" s="100">
        <v>1182</v>
      </c>
      <c r="S36" s="295">
        <f t="shared" ref="S36" si="68">+R36*$X$1</f>
        <v>1182</v>
      </c>
      <c r="T36" s="441">
        <v>1090</v>
      </c>
      <c r="U36" s="295">
        <f t="shared" ref="U36" si="69">+T36*$X$1</f>
        <v>1090</v>
      </c>
      <c r="V36" s="441">
        <v>976</v>
      </c>
      <c r="W36" s="280">
        <f t="shared" ref="W36" si="70">+V36*$X$1</f>
        <v>976</v>
      </c>
      <c r="X36" s="644"/>
      <c r="Y36" s="879"/>
      <c r="Z36" s="879"/>
      <c r="AA36" s="880"/>
      <c r="AB36" s="387" t="s">
        <v>440</v>
      </c>
    </row>
    <row r="37" spans="1:28" ht="12.6" customHeight="1" x14ac:dyDescent="0.25">
      <c r="A37" s="18"/>
      <c r="B37" s="778" t="s">
        <v>56</v>
      </c>
      <c r="C37" s="660"/>
      <c r="D37" s="660"/>
      <c r="E37" s="660"/>
      <c r="F37" s="279">
        <v>616</v>
      </c>
      <c r="G37" s="302">
        <f t="shared" si="56"/>
        <v>616</v>
      </c>
      <c r="H37" s="1020" t="s">
        <v>44</v>
      </c>
      <c r="I37" s="1020"/>
      <c r="J37" s="1021"/>
      <c r="K37" s="1022"/>
      <c r="L37" s="273"/>
      <c r="M37" s="331"/>
      <c r="N37" s="84">
        <v>1411</v>
      </c>
      <c r="O37" s="302">
        <f t="shared" ref="O37" si="71">+N37*$X$1</f>
        <v>1411</v>
      </c>
      <c r="P37" s="310">
        <v>1297</v>
      </c>
      <c r="Q37" s="576">
        <f t="shared" ref="Q37" si="72">+P37*$X$1</f>
        <v>1297</v>
      </c>
      <c r="R37" s="101">
        <v>1182</v>
      </c>
      <c r="S37" s="252">
        <f t="shared" ref="S37" si="73">+R37*$X$1</f>
        <v>1182</v>
      </c>
      <c r="T37" s="552">
        <v>1090</v>
      </c>
      <c r="U37" s="252">
        <f t="shared" ref="U37" si="74">+T37*$X$1</f>
        <v>1090</v>
      </c>
      <c r="V37" s="552">
        <v>976</v>
      </c>
      <c r="W37" s="279">
        <f t="shared" ref="W37" si="75">+V37*$X$1</f>
        <v>976</v>
      </c>
      <c r="X37" s="644"/>
      <c r="Y37" s="879"/>
      <c r="Z37" s="879"/>
      <c r="AA37" s="880"/>
      <c r="AB37" s="387" t="s">
        <v>443</v>
      </c>
    </row>
    <row r="38" spans="1:28" ht="12.6" customHeight="1" x14ac:dyDescent="0.25">
      <c r="A38" s="18"/>
      <c r="B38" s="779" t="s">
        <v>57</v>
      </c>
      <c r="C38" s="648"/>
      <c r="D38" s="648"/>
      <c r="E38" s="648"/>
      <c r="F38" s="280">
        <v>616</v>
      </c>
      <c r="G38" s="301">
        <f t="shared" si="56"/>
        <v>616</v>
      </c>
      <c r="H38" s="1113" t="s">
        <v>44</v>
      </c>
      <c r="I38" s="1113"/>
      <c r="J38" s="1114"/>
      <c r="K38" s="1115"/>
      <c r="L38" s="272"/>
      <c r="M38" s="332"/>
      <c r="N38" s="88">
        <v>1920</v>
      </c>
      <c r="O38" s="301">
        <f t="shared" si="57"/>
        <v>1920</v>
      </c>
      <c r="P38" s="274">
        <v>1773</v>
      </c>
      <c r="Q38" s="575">
        <f t="shared" si="58"/>
        <v>1773</v>
      </c>
      <c r="R38" s="441">
        <v>1633</v>
      </c>
      <c r="S38" s="295">
        <f t="shared" si="58"/>
        <v>1633</v>
      </c>
      <c r="T38" s="441">
        <v>1528</v>
      </c>
      <c r="U38" s="295">
        <f t="shared" si="59"/>
        <v>1528</v>
      </c>
      <c r="V38" s="441">
        <v>1463</v>
      </c>
      <c r="W38" s="280">
        <f t="shared" si="60"/>
        <v>1463</v>
      </c>
      <c r="X38" s="644"/>
      <c r="Y38" s="879"/>
      <c r="Z38" s="879"/>
      <c r="AA38" s="880"/>
      <c r="AB38" s="387" t="s">
        <v>441</v>
      </c>
    </row>
    <row r="39" spans="1:28" ht="12.6" customHeight="1" x14ac:dyDescent="0.2">
      <c r="A39" s="18"/>
      <c r="B39" s="778" t="s">
        <v>444</v>
      </c>
      <c r="C39" s="660"/>
      <c r="D39" s="660"/>
      <c r="E39" s="660"/>
      <c r="F39" s="279">
        <v>616</v>
      </c>
      <c r="G39" s="302">
        <f t="shared" ref="G39" si="76">+F39*$X$1</f>
        <v>616</v>
      </c>
      <c r="H39" s="1020" t="s">
        <v>44</v>
      </c>
      <c r="I39" s="1020"/>
      <c r="J39" s="1021"/>
      <c r="K39" s="1022"/>
      <c r="L39" s="273"/>
      <c r="M39" s="331"/>
      <c r="N39" s="84">
        <v>1890</v>
      </c>
      <c r="O39" s="302">
        <f t="shared" ref="O39:O40" si="77">+N39*$X$1</f>
        <v>1890</v>
      </c>
      <c r="P39" s="310">
        <v>1745</v>
      </c>
      <c r="Q39" s="576">
        <f t="shared" si="58"/>
        <v>1745</v>
      </c>
      <c r="R39" s="552">
        <v>1633</v>
      </c>
      <c r="S39" s="252">
        <f t="shared" si="58"/>
        <v>1633</v>
      </c>
      <c r="T39" s="552">
        <v>1528</v>
      </c>
      <c r="U39" s="252">
        <f t="shared" si="59"/>
        <v>1528</v>
      </c>
      <c r="V39" s="552">
        <v>1430</v>
      </c>
      <c r="W39" s="279">
        <f t="shared" si="60"/>
        <v>1430</v>
      </c>
      <c r="X39" s="644"/>
      <c r="Y39" s="879"/>
      <c r="Z39" s="879"/>
      <c r="AA39" s="880"/>
      <c r="AB39" s="387" t="s">
        <v>446</v>
      </c>
    </row>
    <row r="40" spans="1:28" ht="12.6" customHeight="1" x14ac:dyDescent="0.2">
      <c r="A40" s="18"/>
      <c r="B40" s="779" t="s">
        <v>445</v>
      </c>
      <c r="C40" s="648"/>
      <c r="D40" s="648"/>
      <c r="E40" s="648"/>
      <c r="F40" s="280">
        <v>616</v>
      </c>
      <c r="G40" s="301">
        <f t="shared" ref="G40" si="78">+F40*$X$1</f>
        <v>616</v>
      </c>
      <c r="H40" s="1113" t="s">
        <v>44</v>
      </c>
      <c r="I40" s="1113"/>
      <c r="J40" s="1114"/>
      <c r="K40" s="1115"/>
      <c r="L40" s="272"/>
      <c r="M40" s="332"/>
      <c r="N40" s="88">
        <v>1610</v>
      </c>
      <c r="O40" s="301">
        <f t="shared" si="77"/>
        <v>1610</v>
      </c>
      <c r="P40" s="274">
        <v>1476</v>
      </c>
      <c r="Q40" s="575">
        <f t="shared" ref="Q40" si="79">+P40*$X$1</f>
        <v>1476</v>
      </c>
      <c r="R40" s="441">
        <v>1351</v>
      </c>
      <c r="S40" s="295">
        <f t="shared" ref="S40" si="80">+R40*$X$1</f>
        <v>1351</v>
      </c>
      <c r="T40" s="441">
        <v>1261</v>
      </c>
      <c r="U40" s="295">
        <f t="shared" ref="U40" si="81">+T40*$X$1</f>
        <v>1261</v>
      </c>
      <c r="V40" s="441">
        <v>1197</v>
      </c>
      <c r="W40" s="280">
        <f t="shared" ref="W40" si="82">+V40*$X$1</f>
        <v>1197</v>
      </c>
      <c r="X40" s="644"/>
      <c r="Y40" s="879"/>
      <c r="Z40" s="879"/>
      <c r="AA40" s="880"/>
      <c r="AB40" s="387" t="s">
        <v>447</v>
      </c>
    </row>
    <row r="41" spans="1:28" ht="12.6" customHeight="1" x14ac:dyDescent="0.2">
      <c r="A41" s="18"/>
      <c r="B41" s="778" t="s">
        <v>58</v>
      </c>
      <c r="C41" s="660"/>
      <c r="D41" s="660"/>
      <c r="E41" s="660"/>
      <c r="F41" s="279">
        <v>1290</v>
      </c>
      <c r="G41" s="302">
        <f t="shared" ref="G41:G49" si="83">+F41*$X$1</f>
        <v>1290</v>
      </c>
      <c r="H41" s="1123" t="s">
        <v>59</v>
      </c>
      <c r="I41" s="1123"/>
      <c r="J41" s="1124"/>
      <c r="K41" s="1125"/>
      <c r="L41" s="273"/>
      <c r="M41" s="331"/>
      <c r="N41" s="84">
        <v>2290</v>
      </c>
      <c r="O41" s="302">
        <f t="shared" si="57"/>
        <v>2290</v>
      </c>
      <c r="P41" s="310">
        <v>2124</v>
      </c>
      <c r="Q41" s="576">
        <f t="shared" si="58"/>
        <v>2124</v>
      </c>
      <c r="R41" s="552">
        <v>1952</v>
      </c>
      <c r="S41" s="252">
        <f t="shared" si="58"/>
        <v>1952</v>
      </c>
      <c r="T41" s="552">
        <v>1819</v>
      </c>
      <c r="U41" s="252">
        <f t="shared" si="59"/>
        <v>1819</v>
      </c>
      <c r="V41" s="552">
        <v>1742</v>
      </c>
      <c r="W41" s="279">
        <f t="shared" si="60"/>
        <v>1742</v>
      </c>
      <c r="X41" s="644"/>
      <c r="Y41" s="879"/>
      <c r="Z41" s="879"/>
      <c r="AA41" s="880"/>
      <c r="AB41" s="388" t="s">
        <v>60</v>
      </c>
    </row>
    <row r="42" spans="1:28" ht="12.6" customHeight="1" x14ac:dyDescent="0.2">
      <c r="A42" s="18"/>
      <c r="B42" s="779" t="s">
        <v>61</v>
      </c>
      <c r="C42" s="648"/>
      <c r="D42" s="648"/>
      <c r="E42" s="648"/>
      <c r="F42" s="280">
        <v>1290</v>
      </c>
      <c r="G42" s="301">
        <f t="shared" si="83"/>
        <v>1290</v>
      </c>
      <c r="H42" s="1023" t="s">
        <v>59</v>
      </c>
      <c r="I42" s="1023"/>
      <c r="J42" s="1024"/>
      <c r="K42" s="1025"/>
      <c r="L42" s="272"/>
      <c r="M42" s="332"/>
      <c r="N42" s="88">
        <v>2290</v>
      </c>
      <c r="O42" s="301">
        <f t="shared" ref="O42:O43" si="84">+N42*$X$1</f>
        <v>2290</v>
      </c>
      <c r="P42" s="274">
        <v>2124</v>
      </c>
      <c r="Q42" s="575">
        <f t="shared" ref="Q42:Q43" si="85">+P42*$X$1</f>
        <v>2124</v>
      </c>
      <c r="R42" s="441">
        <v>1952</v>
      </c>
      <c r="S42" s="295">
        <f t="shared" ref="S42:S43" si="86">+R42*$X$1</f>
        <v>1952</v>
      </c>
      <c r="T42" s="441">
        <v>1819</v>
      </c>
      <c r="U42" s="295">
        <f t="shared" ref="U42:U43" si="87">+T42*$X$1</f>
        <v>1819</v>
      </c>
      <c r="V42" s="441">
        <v>1742</v>
      </c>
      <c r="W42" s="280">
        <f t="shared" ref="W42:W43" si="88">+V42*$X$1</f>
        <v>1742</v>
      </c>
      <c r="X42" s="644"/>
      <c r="Y42" s="879"/>
      <c r="Z42" s="879"/>
      <c r="AA42" s="880"/>
      <c r="AB42" s="388" t="s">
        <v>62</v>
      </c>
    </row>
    <row r="43" spans="1:28" ht="12.6" customHeight="1" x14ac:dyDescent="0.2">
      <c r="A43" s="18"/>
      <c r="B43" s="778" t="s">
        <v>63</v>
      </c>
      <c r="C43" s="660"/>
      <c r="D43" s="660"/>
      <c r="E43" s="660"/>
      <c r="F43" s="279">
        <v>1290</v>
      </c>
      <c r="G43" s="302">
        <f t="shared" si="83"/>
        <v>1290</v>
      </c>
      <c r="H43" s="1020" t="s">
        <v>59</v>
      </c>
      <c r="I43" s="1020"/>
      <c r="J43" s="1021"/>
      <c r="K43" s="1022"/>
      <c r="L43" s="273"/>
      <c r="M43" s="331"/>
      <c r="N43" s="84">
        <v>2290</v>
      </c>
      <c r="O43" s="302">
        <f t="shared" si="84"/>
        <v>2290</v>
      </c>
      <c r="P43" s="310">
        <v>2124</v>
      </c>
      <c r="Q43" s="576">
        <f t="shared" si="85"/>
        <v>2124</v>
      </c>
      <c r="R43" s="552">
        <v>1952</v>
      </c>
      <c r="S43" s="252">
        <f t="shared" si="86"/>
        <v>1952</v>
      </c>
      <c r="T43" s="552">
        <v>1819</v>
      </c>
      <c r="U43" s="252">
        <f t="shared" si="87"/>
        <v>1819</v>
      </c>
      <c r="V43" s="552">
        <v>1742</v>
      </c>
      <c r="W43" s="279">
        <f t="shared" si="88"/>
        <v>1742</v>
      </c>
      <c r="X43" s="644"/>
      <c r="Y43" s="879"/>
      <c r="Z43" s="879"/>
      <c r="AA43" s="880"/>
      <c r="AB43" s="388" t="s">
        <v>64</v>
      </c>
    </row>
    <row r="44" spans="1:28" ht="12.6" customHeight="1" x14ac:dyDescent="0.2">
      <c r="A44" s="18"/>
      <c r="B44" s="779" t="s">
        <v>533</v>
      </c>
      <c r="C44" s="648"/>
      <c r="D44" s="648"/>
      <c r="E44" s="648"/>
      <c r="F44" s="280">
        <v>1386</v>
      </c>
      <c r="G44" s="301">
        <f t="shared" ref="G44" si="89">+F44*$X$1</f>
        <v>1386</v>
      </c>
      <c r="H44" s="1026" t="s">
        <v>59</v>
      </c>
      <c r="I44" s="1026"/>
      <c r="J44" s="1027"/>
      <c r="K44" s="1028"/>
      <c r="L44" s="272"/>
      <c r="M44" s="332"/>
      <c r="N44" s="88">
        <v>2425</v>
      </c>
      <c r="O44" s="301">
        <f t="shared" ref="O44" si="90">+N44*$X$1</f>
        <v>2425</v>
      </c>
      <c r="P44" s="274">
        <v>2260</v>
      </c>
      <c r="Q44" s="575">
        <f t="shared" ref="Q44" si="91">+P44*$X$1</f>
        <v>2260</v>
      </c>
      <c r="R44" s="441">
        <v>2060</v>
      </c>
      <c r="S44" s="295">
        <f t="shared" ref="S44" si="92">+R44*$X$1</f>
        <v>2060</v>
      </c>
      <c r="T44" s="441">
        <v>1935</v>
      </c>
      <c r="U44" s="295">
        <f t="shared" ref="U44" si="93">+T44*$X$1</f>
        <v>1935</v>
      </c>
      <c r="V44" s="441">
        <v>1843</v>
      </c>
      <c r="W44" s="280">
        <f t="shared" ref="W44" si="94">+V44*$X$1</f>
        <v>1843</v>
      </c>
      <c r="X44" s="644"/>
      <c r="Y44" s="879"/>
      <c r="Z44" s="879"/>
      <c r="AA44" s="880"/>
      <c r="AB44" s="389" t="s">
        <v>543</v>
      </c>
    </row>
    <row r="45" spans="1:28" ht="12.6" customHeight="1" x14ac:dyDescent="0.2">
      <c r="A45" s="18"/>
      <c r="B45" s="778" t="s">
        <v>534</v>
      </c>
      <c r="C45" s="660"/>
      <c r="D45" s="660"/>
      <c r="E45" s="660"/>
      <c r="F45" s="279">
        <v>1386</v>
      </c>
      <c r="G45" s="302">
        <f t="shared" ref="G45" si="95">+F45*$X$1</f>
        <v>1386</v>
      </c>
      <c r="H45" s="1123" t="s">
        <v>59</v>
      </c>
      <c r="I45" s="1123"/>
      <c r="J45" s="1124"/>
      <c r="K45" s="1125"/>
      <c r="L45" s="273"/>
      <c r="M45" s="331"/>
      <c r="N45" s="84">
        <v>2425</v>
      </c>
      <c r="O45" s="302">
        <f t="shared" ref="O45:O46" si="96">+N45*$X$1</f>
        <v>2425</v>
      </c>
      <c r="P45" s="310">
        <v>2260</v>
      </c>
      <c r="Q45" s="576">
        <f t="shared" ref="Q45:Q46" si="97">+P45*$X$1</f>
        <v>2260</v>
      </c>
      <c r="R45" s="552">
        <v>2060</v>
      </c>
      <c r="S45" s="252">
        <f t="shared" ref="S45:S46" si="98">+R45*$X$1</f>
        <v>2060</v>
      </c>
      <c r="T45" s="552">
        <v>1935</v>
      </c>
      <c r="U45" s="252">
        <f t="shared" ref="U45:U46" si="99">+T45*$X$1</f>
        <v>1935</v>
      </c>
      <c r="V45" s="552">
        <v>1843</v>
      </c>
      <c r="W45" s="279">
        <f t="shared" ref="W45:W46" si="100">+V45*$X$1</f>
        <v>1843</v>
      </c>
      <c r="X45" s="644"/>
      <c r="Y45" s="879"/>
      <c r="Z45" s="879"/>
      <c r="AA45" s="880"/>
      <c r="AB45" s="389" t="s">
        <v>544</v>
      </c>
    </row>
    <row r="46" spans="1:28" ht="12.6" customHeight="1" x14ac:dyDescent="0.2">
      <c r="A46" s="18"/>
      <c r="B46" s="779" t="s">
        <v>535</v>
      </c>
      <c r="C46" s="648"/>
      <c r="D46" s="648"/>
      <c r="E46" s="648"/>
      <c r="F46" s="280">
        <v>1386</v>
      </c>
      <c r="G46" s="301">
        <f t="shared" ref="G46" si="101">+F46*$X$1</f>
        <v>1386</v>
      </c>
      <c r="H46" s="1026" t="s">
        <v>59</v>
      </c>
      <c r="I46" s="1026"/>
      <c r="J46" s="1027"/>
      <c r="K46" s="1028"/>
      <c r="L46" s="272"/>
      <c r="M46" s="332"/>
      <c r="N46" s="88">
        <v>2425</v>
      </c>
      <c r="O46" s="301">
        <f t="shared" si="96"/>
        <v>2425</v>
      </c>
      <c r="P46" s="274">
        <v>2260</v>
      </c>
      <c r="Q46" s="575">
        <f t="shared" si="97"/>
        <v>2260</v>
      </c>
      <c r="R46" s="441">
        <v>2060</v>
      </c>
      <c r="S46" s="295">
        <f t="shared" si="98"/>
        <v>2060</v>
      </c>
      <c r="T46" s="441">
        <v>1935</v>
      </c>
      <c r="U46" s="295">
        <f t="shared" si="99"/>
        <v>1935</v>
      </c>
      <c r="V46" s="441">
        <v>1843</v>
      </c>
      <c r="W46" s="280">
        <f t="shared" si="100"/>
        <v>1843</v>
      </c>
      <c r="X46" s="644"/>
      <c r="Y46" s="879"/>
      <c r="Z46" s="879"/>
      <c r="AA46" s="880"/>
      <c r="AB46" s="389" t="s">
        <v>545</v>
      </c>
    </row>
    <row r="47" spans="1:28" ht="12.6" customHeight="1" x14ac:dyDescent="0.2">
      <c r="A47" s="18"/>
      <c r="B47" s="778" t="s">
        <v>65</v>
      </c>
      <c r="C47" s="660"/>
      <c r="D47" s="660"/>
      <c r="E47" s="660"/>
      <c r="F47" s="279">
        <v>1737</v>
      </c>
      <c r="G47" s="302">
        <f t="shared" si="83"/>
        <v>1737</v>
      </c>
      <c r="H47" s="1020" t="s">
        <v>59</v>
      </c>
      <c r="I47" s="1020"/>
      <c r="J47" s="1021"/>
      <c r="K47" s="1022"/>
      <c r="L47" s="273"/>
      <c r="M47" s="331"/>
      <c r="N47" s="70">
        <v>3190</v>
      </c>
      <c r="O47" s="297">
        <f t="shared" ref="O47" si="102">+N47*$X$1</f>
        <v>3190</v>
      </c>
      <c r="P47" s="310">
        <v>2950</v>
      </c>
      <c r="Q47" s="312">
        <f t="shared" si="58"/>
        <v>2950</v>
      </c>
      <c r="R47" s="552">
        <v>2717</v>
      </c>
      <c r="S47" s="279">
        <f t="shared" si="58"/>
        <v>2717</v>
      </c>
      <c r="T47" s="552">
        <v>2526</v>
      </c>
      <c r="U47" s="279">
        <f t="shared" si="59"/>
        <v>2526</v>
      </c>
      <c r="V47" s="552">
        <v>2435</v>
      </c>
      <c r="W47" s="279">
        <f t="shared" si="60"/>
        <v>2435</v>
      </c>
      <c r="X47" s="644"/>
      <c r="Y47" s="879"/>
      <c r="Z47" s="879"/>
      <c r="AA47" s="880"/>
      <c r="AB47" s="389" t="s">
        <v>66</v>
      </c>
    </row>
    <row r="48" spans="1:28" ht="12.6" customHeight="1" x14ac:dyDescent="0.2">
      <c r="A48" s="18"/>
      <c r="B48" s="779" t="s">
        <v>67</v>
      </c>
      <c r="C48" s="648"/>
      <c r="D48" s="648"/>
      <c r="E48" s="648"/>
      <c r="F48" s="280">
        <v>1737</v>
      </c>
      <c r="G48" s="301">
        <f t="shared" si="83"/>
        <v>1737</v>
      </c>
      <c r="H48" s="1026" t="s">
        <v>59</v>
      </c>
      <c r="I48" s="1026"/>
      <c r="J48" s="1027"/>
      <c r="K48" s="1028"/>
      <c r="L48" s="272"/>
      <c r="M48" s="332"/>
      <c r="N48" s="87">
        <v>3190</v>
      </c>
      <c r="O48" s="329">
        <f t="shared" ref="O48:O49" si="103">+N48*$X$1</f>
        <v>3190</v>
      </c>
      <c r="P48" s="274">
        <v>2950</v>
      </c>
      <c r="Q48" s="311">
        <f t="shared" ref="Q48:Q49" si="104">+P48*$X$1</f>
        <v>2950</v>
      </c>
      <c r="R48" s="441">
        <v>2717</v>
      </c>
      <c r="S48" s="280">
        <f t="shared" ref="S48:S49" si="105">+R48*$X$1</f>
        <v>2717</v>
      </c>
      <c r="T48" s="441">
        <v>2526</v>
      </c>
      <c r="U48" s="280">
        <f t="shared" ref="U48:U49" si="106">+T48*$X$1</f>
        <v>2526</v>
      </c>
      <c r="V48" s="441">
        <v>2435</v>
      </c>
      <c r="W48" s="280">
        <f t="shared" ref="W48:W49" si="107">+V48*$X$1</f>
        <v>2435</v>
      </c>
      <c r="X48" s="644"/>
      <c r="Y48" s="879"/>
      <c r="Z48" s="879"/>
      <c r="AA48" s="880"/>
      <c r="AB48" s="389" t="s">
        <v>68</v>
      </c>
    </row>
    <row r="49" spans="1:35" ht="12.6" customHeight="1" x14ac:dyDescent="0.2">
      <c r="A49" s="18"/>
      <c r="B49" s="778" t="s">
        <v>69</v>
      </c>
      <c r="C49" s="660"/>
      <c r="D49" s="660"/>
      <c r="E49" s="660"/>
      <c r="F49" s="279">
        <v>1737</v>
      </c>
      <c r="G49" s="328">
        <f t="shared" si="83"/>
        <v>1737</v>
      </c>
      <c r="H49" s="1020" t="s">
        <v>59</v>
      </c>
      <c r="I49" s="1020"/>
      <c r="J49" s="1021"/>
      <c r="K49" s="1140"/>
      <c r="L49" s="273"/>
      <c r="M49" s="331"/>
      <c r="N49" s="70">
        <v>3190</v>
      </c>
      <c r="O49" s="297">
        <f t="shared" si="103"/>
        <v>3190</v>
      </c>
      <c r="P49" s="310">
        <v>2950</v>
      </c>
      <c r="Q49" s="312">
        <f t="shared" si="104"/>
        <v>2950</v>
      </c>
      <c r="R49" s="552">
        <v>2717</v>
      </c>
      <c r="S49" s="279">
        <f t="shared" si="105"/>
        <v>2717</v>
      </c>
      <c r="T49" s="552">
        <v>2526</v>
      </c>
      <c r="U49" s="279">
        <f t="shared" si="106"/>
        <v>2526</v>
      </c>
      <c r="V49" s="552">
        <v>2435</v>
      </c>
      <c r="W49" s="279">
        <f t="shared" si="107"/>
        <v>2435</v>
      </c>
      <c r="X49" s="644"/>
      <c r="Y49" s="879"/>
      <c r="Z49" s="879"/>
      <c r="AA49" s="880"/>
      <c r="AB49" s="389" t="s">
        <v>70</v>
      </c>
    </row>
    <row r="50" spans="1:35" ht="12.6" customHeight="1" x14ac:dyDescent="0.2">
      <c r="A50" s="18"/>
      <c r="B50" s="779" t="s">
        <v>419</v>
      </c>
      <c r="C50" s="648"/>
      <c r="D50" s="648"/>
      <c r="E50" s="1005"/>
      <c r="F50" s="613"/>
      <c r="G50" s="621"/>
      <c r="H50" s="621"/>
      <c r="I50" s="621"/>
      <c r="J50" s="256"/>
      <c r="K50" s="272"/>
      <c r="L50" s="290"/>
      <c r="M50" s="280"/>
      <c r="N50" s="291"/>
      <c r="O50" s="340"/>
      <c r="P50" s="272"/>
      <c r="Q50" s="311"/>
      <c r="R50" s="93"/>
      <c r="S50" s="336"/>
      <c r="T50" s="93"/>
      <c r="U50" s="336"/>
      <c r="V50" s="93"/>
      <c r="W50" s="280"/>
      <c r="X50" s="129"/>
      <c r="Y50" s="129"/>
      <c r="Z50" s="129"/>
      <c r="AA50" s="129"/>
      <c r="AB50" s="35">
        <v>48</v>
      </c>
      <c r="AC50" s="390" t="s">
        <v>71</v>
      </c>
      <c r="AD50" s="390" t="s">
        <v>72</v>
      </c>
      <c r="AE50" s="390" t="s">
        <v>73</v>
      </c>
    </row>
    <row r="51" spans="1:35" ht="12.6" customHeight="1" x14ac:dyDescent="0.2">
      <c r="A51" s="18"/>
      <c r="B51" s="1120" t="s">
        <v>74</v>
      </c>
      <c r="C51" s="1121"/>
      <c r="D51" s="1121"/>
      <c r="E51" s="1121"/>
      <c r="F51" s="608"/>
      <c r="G51" s="620"/>
      <c r="H51" s="620"/>
      <c r="I51" s="620"/>
      <c r="J51" s="17"/>
      <c r="K51" s="17"/>
      <c r="L51" s="257"/>
      <c r="M51" s="255"/>
      <c r="N51" s="208"/>
      <c r="O51" s="231"/>
      <c r="P51" s="114"/>
      <c r="Q51" s="259"/>
      <c r="R51" s="231"/>
      <c r="S51" s="231"/>
      <c r="T51" s="231"/>
      <c r="U51" s="231"/>
      <c r="V51" s="90"/>
      <c r="W51" s="90"/>
      <c r="X51" s="162"/>
      <c r="Y51" s="162"/>
      <c r="Z51" s="162"/>
      <c r="AA51" s="162"/>
      <c r="AB51" s="190">
        <v>54</v>
      </c>
    </row>
    <row r="52" spans="1:35" ht="12.6" customHeight="1" x14ac:dyDescent="0.2">
      <c r="A52" s="18"/>
      <c r="B52" s="779" t="s">
        <v>75</v>
      </c>
      <c r="C52" s="648"/>
      <c r="D52" s="648"/>
      <c r="E52" s="648"/>
      <c r="F52" s="280">
        <v>1096</v>
      </c>
      <c r="G52" s="295">
        <f t="shared" ref="G52:G55" si="108">+F52*$X$1</f>
        <v>1096</v>
      </c>
      <c r="H52" s="121"/>
      <c r="I52" s="280"/>
      <c r="J52" s="441">
        <f>F52+300</f>
        <v>1396</v>
      </c>
      <c r="K52" s="280">
        <f t="shared" ref="K52" si="109">+J52*$X$1</f>
        <v>1396</v>
      </c>
      <c r="L52" s="441">
        <f>F52+230</f>
        <v>1326</v>
      </c>
      <c r="M52" s="280">
        <f t="shared" ref="M52" si="110">+L52*$X$1</f>
        <v>1326</v>
      </c>
      <c r="N52" s="100">
        <f>F52+180</f>
        <v>1276</v>
      </c>
      <c r="O52" s="295">
        <f t="shared" ref="O52" si="111">+N52*$X$1</f>
        <v>1276</v>
      </c>
      <c r="P52" s="100">
        <f>F52+150</f>
        <v>1246</v>
      </c>
      <c r="Q52" s="280">
        <f t="shared" si="58"/>
        <v>1246</v>
      </c>
      <c r="R52" s="100">
        <f>F52+125</f>
        <v>1221</v>
      </c>
      <c r="S52" s="295">
        <f t="shared" ref="S52" si="112">+R52*$X$1</f>
        <v>1221</v>
      </c>
      <c r="T52" s="100">
        <f>F52+110</f>
        <v>1206</v>
      </c>
      <c r="U52" s="295">
        <f t="shared" ref="U52" si="113">+T52*$X$1</f>
        <v>1206</v>
      </c>
      <c r="V52" s="100">
        <f>F52+96</f>
        <v>1192</v>
      </c>
      <c r="W52" s="280">
        <f t="shared" ref="W52" si="114">+V52*$X$1</f>
        <v>1192</v>
      </c>
      <c r="X52" s="128"/>
      <c r="Y52" s="129"/>
      <c r="Z52" s="129"/>
      <c r="AA52" s="129"/>
      <c r="AB52" s="387">
        <v>60</v>
      </c>
    </row>
    <row r="53" spans="1:35" ht="12.6" customHeight="1" x14ac:dyDescent="0.2">
      <c r="A53" s="18"/>
      <c r="B53" s="778" t="s">
        <v>513</v>
      </c>
      <c r="C53" s="660"/>
      <c r="D53" s="660"/>
      <c r="E53" s="660"/>
      <c r="F53" s="279">
        <v>1276</v>
      </c>
      <c r="G53" s="252">
        <f t="shared" si="108"/>
        <v>1276</v>
      </c>
      <c r="H53" s="120"/>
      <c r="I53" s="279"/>
      <c r="J53" s="610">
        <f>F53+300</f>
        <v>1576</v>
      </c>
      <c r="K53" s="279">
        <f t="shared" ref="K53:K55" si="115">+J53*$X$1</f>
        <v>1576</v>
      </c>
      <c r="L53" s="610">
        <f>F53+230</f>
        <v>1506</v>
      </c>
      <c r="M53" s="279">
        <f t="shared" ref="M53:M55" si="116">+L53*$X$1</f>
        <v>1506</v>
      </c>
      <c r="N53" s="101">
        <f>F53+180</f>
        <v>1456</v>
      </c>
      <c r="O53" s="252">
        <f t="shared" ref="O53:O55" si="117">+N53*$X$1</f>
        <v>1456</v>
      </c>
      <c r="P53" s="101">
        <f>F53+150</f>
        <v>1426</v>
      </c>
      <c r="Q53" s="279">
        <f t="shared" ref="Q53:Q55" si="118">+P53*$X$1</f>
        <v>1426</v>
      </c>
      <c r="R53" s="101">
        <f>F53+125</f>
        <v>1401</v>
      </c>
      <c r="S53" s="252">
        <f t="shared" ref="S53:S55" si="119">+R53*$X$1</f>
        <v>1401</v>
      </c>
      <c r="T53" s="101">
        <f>F53+110</f>
        <v>1386</v>
      </c>
      <c r="U53" s="252">
        <f t="shared" ref="U53:U55" si="120">+T53*$X$1</f>
        <v>1386</v>
      </c>
      <c r="V53" s="101">
        <f>F53+96</f>
        <v>1372</v>
      </c>
      <c r="W53" s="279">
        <f t="shared" ref="W53:W55" si="121">+V53*$X$1</f>
        <v>1372</v>
      </c>
      <c r="X53" s="128"/>
      <c r="Y53" s="129"/>
      <c r="Z53" s="129"/>
      <c r="AA53" s="129"/>
      <c r="AB53" s="387">
        <v>61</v>
      </c>
    </row>
    <row r="54" spans="1:35" ht="12.6" customHeight="1" x14ac:dyDescent="0.2">
      <c r="A54" s="18"/>
      <c r="B54" s="1131" t="s">
        <v>76</v>
      </c>
      <c r="C54" s="1132"/>
      <c r="D54" s="1132"/>
      <c r="E54" s="1132"/>
      <c r="F54" s="282">
        <v>1157</v>
      </c>
      <c r="G54" s="336">
        <f t="shared" si="108"/>
        <v>1157</v>
      </c>
      <c r="H54" s="414"/>
      <c r="I54" s="280"/>
      <c r="J54" s="441">
        <f>F54+300</f>
        <v>1457</v>
      </c>
      <c r="K54" s="280">
        <f t="shared" si="115"/>
        <v>1457</v>
      </c>
      <c r="L54" s="441">
        <f>F54+230</f>
        <v>1387</v>
      </c>
      <c r="M54" s="280">
        <f t="shared" si="116"/>
        <v>1387</v>
      </c>
      <c r="N54" s="100">
        <f>F54+180</f>
        <v>1337</v>
      </c>
      <c r="O54" s="295">
        <f t="shared" si="117"/>
        <v>1337</v>
      </c>
      <c r="P54" s="100">
        <f>F54+150</f>
        <v>1307</v>
      </c>
      <c r="Q54" s="280">
        <f t="shared" si="118"/>
        <v>1307</v>
      </c>
      <c r="R54" s="100">
        <f>F54+125</f>
        <v>1282</v>
      </c>
      <c r="S54" s="295">
        <f t="shared" si="119"/>
        <v>1282</v>
      </c>
      <c r="T54" s="100">
        <f>F54+110</f>
        <v>1267</v>
      </c>
      <c r="U54" s="295">
        <f t="shared" si="120"/>
        <v>1267</v>
      </c>
      <c r="V54" s="100">
        <f>F54+96</f>
        <v>1253</v>
      </c>
      <c r="W54" s="280">
        <f t="shared" si="121"/>
        <v>1253</v>
      </c>
      <c r="X54" s="128"/>
      <c r="Y54" s="129"/>
      <c r="Z54" s="129"/>
      <c r="AA54" s="129"/>
      <c r="AB54" s="387">
        <v>62</v>
      </c>
    </row>
    <row r="55" spans="1:35" ht="12.6" customHeight="1" x14ac:dyDescent="0.2">
      <c r="A55" s="18"/>
      <c r="B55" s="778" t="s">
        <v>77</v>
      </c>
      <c r="C55" s="721"/>
      <c r="D55" s="721"/>
      <c r="E55" s="721"/>
      <c r="F55" s="279">
        <v>1337</v>
      </c>
      <c r="G55" s="279">
        <f t="shared" si="108"/>
        <v>1337</v>
      </c>
      <c r="H55" s="120"/>
      <c r="I55" s="279"/>
      <c r="J55" s="610">
        <f>F55+300</f>
        <v>1637</v>
      </c>
      <c r="K55" s="279">
        <f t="shared" si="115"/>
        <v>1637</v>
      </c>
      <c r="L55" s="610">
        <f>F55+230</f>
        <v>1567</v>
      </c>
      <c r="M55" s="279">
        <f t="shared" si="116"/>
        <v>1567</v>
      </c>
      <c r="N55" s="101">
        <f>F55+180</f>
        <v>1517</v>
      </c>
      <c r="O55" s="252">
        <f t="shared" si="117"/>
        <v>1517</v>
      </c>
      <c r="P55" s="101">
        <f>F55+150</f>
        <v>1487</v>
      </c>
      <c r="Q55" s="279">
        <f t="shared" si="118"/>
        <v>1487</v>
      </c>
      <c r="R55" s="101">
        <f>F55+125</f>
        <v>1462</v>
      </c>
      <c r="S55" s="252">
        <f t="shared" si="119"/>
        <v>1462</v>
      </c>
      <c r="T55" s="101">
        <f>F55+110</f>
        <v>1447</v>
      </c>
      <c r="U55" s="252">
        <f t="shared" si="120"/>
        <v>1447</v>
      </c>
      <c r="V55" s="101">
        <f>F55+96</f>
        <v>1433</v>
      </c>
      <c r="W55" s="279">
        <f t="shared" si="121"/>
        <v>1433</v>
      </c>
      <c r="X55" s="128"/>
      <c r="Y55" s="129"/>
      <c r="Z55" s="129"/>
      <c r="AA55" s="129"/>
      <c r="AB55" s="387">
        <v>63</v>
      </c>
      <c r="AD55" s="4"/>
      <c r="AE55" s="4"/>
      <c r="AF55" s="4"/>
      <c r="AG55" s="4"/>
      <c r="AH55" s="4"/>
      <c r="AI55" s="4"/>
    </row>
    <row r="56" spans="1:35" ht="12.6" customHeight="1" x14ac:dyDescent="0.2">
      <c r="A56" s="18"/>
      <c r="B56" s="779" t="s">
        <v>509</v>
      </c>
      <c r="C56" s="648"/>
      <c r="D56" s="648"/>
      <c r="E56" s="648"/>
      <c r="F56" s="280">
        <v>1396</v>
      </c>
      <c r="G56" s="280">
        <f t="shared" ref="G56" si="122">+F56*$X$1</f>
        <v>1396</v>
      </c>
      <c r="H56" s="121"/>
      <c r="I56" s="280"/>
      <c r="J56" s="441">
        <f>F56+360</f>
        <v>1756</v>
      </c>
      <c r="K56" s="280">
        <f t="shared" ref="K56" si="123">+J56*$X$1</f>
        <v>1756</v>
      </c>
      <c r="L56" s="441">
        <f>F56+280</f>
        <v>1676</v>
      </c>
      <c r="M56" s="280">
        <f t="shared" ref="M56:M58" si="124">+L56*$X$1</f>
        <v>1676</v>
      </c>
      <c r="N56" s="100">
        <f>F56+220</f>
        <v>1616</v>
      </c>
      <c r="O56" s="295">
        <f t="shared" ref="O56:O58" si="125">+N56*$X$1</f>
        <v>1616</v>
      </c>
      <c r="P56" s="100">
        <f>F56+190</f>
        <v>1586</v>
      </c>
      <c r="Q56" s="280">
        <f t="shared" ref="Q56:Q58" si="126">+P56*$X$1</f>
        <v>1586</v>
      </c>
      <c r="R56" s="100">
        <f>F56+170</f>
        <v>1566</v>
      </c>
      <c r="S56" s="295">
        <f t="shared" ref="S56:S58" si="127">+R56*$X$1</f>
        <v>1566</v>
      </c>
      <c r="T56" s="100">
        <f>F56+156</f>
        <v>1552</v>
      </c>
      <c r="U56" s="295">
        <f t="shared" ref="U56:U58" si="128">+T56*$X$1</f>
        <v>1552</v>
      </c>
      <c r="V56" s="100">
        <f>F56+147</f>
        <v>1543</v>
      </c>
      <c r="W56" s="280">
        <f t="shared" ref="W56:W58" si="129">+V56*$X$1</f>
        <v>1543</v>
      </c>
      <c r="X56" s="128"/>
      <c r="Y56" s="129"/>
      <c r="Z56" s="129"/>
      <c r="AA56" s="129"/>
      <c r="AB56" s="387">
        <v>64</v>
      </c>
    </row>
    <row r="57" spans="1:35" ht="12.6" customHeight="1" x14ac:dyDescent="0.2">
      <c r="A57" s="18"/>
      <c r="B57" s="1122" t="s">
        <v>859</v>
      </c>
      <c r="C57" s="1119"/>
      <c r="D57" s="1119"/>
      <c r="E57" s="1119"/>
      <c r="F57" s="512">
        <v>310</v>
      </c>
      <c r="G57" s="512">
        <f t="shared" ref="G57:G67" si="130">+F57*$X$1</f>
        <v>310</v>
      </c>
      <c r="H57" s="514"/>
      <c r="I57" s="516"/>
      <c r="J57" s="522"/>
      <c r="K57" s="512"/>
      <c r="L57" s="599">
        <f t="shared" ref="L57:L61" si="131">F57+150</f>
        <v>460</v>
      </c>
      <c r="M57" s="513">
        <f t="shared" si="124"/>
        <v>460</v>
      </c>
      <c r="N57" s="599">
        <f t="shared" ref="N57:N64" si="132">F57+110</f>
        <v>420</v>
      </c>
      <c r="O57" s="513">
        <f t="shared" si="125"/>
        <v>420</v>
      </c>
      <c r="P57" s="599">
        <f t="shared" ref="P57:P64" si="133">F57+100</f>
        <v>410</v>
      </c>
      <c r="Q57" s="513">
        <f t="shared" si="126"/>
        <v>410</v>
      </c>
      <c r="R57" s="599">
        <f t="shared" ref="R57:R64" si="134">F57+80</f>
        <v>390</v>
      </c>
      <c r="S57" s="513">
        <f t="shared" si="127"/>
        <v>390</v>
      </c>
      <c r="T57" s="599">
        <f t="shared" ref="T57:T64" si="135">F57+65</f>
        <v>375</v>
      </c>
      <c r="U57" s="513">
        <f t="shared" si="128"/>
        <v>375</v>
      </c>
      <c r="V57" s="599">
        <f t="shared" ref="V57:V64" si="136">F57+56</f>
        <v>366</v>
      </c>
      <c r="W57" s="513">
        <f t="shared" si="129"/>
        <v>366</v>
      </c>
      <c r="X57" s="129"/>
      <c r="Y57" s="129"/>
      <c r="Z57" s="129"/>
      <c r="AA57" s="129"/>
      <c r="AB57" s="387">
        <v>85</v>
      </c>
    </row>
    <row r="58" spans="1:35" ht="12.6" customHeight="1" x14ac:dyDescent="0.2">
      <c r="A58" s="18"/>
      <c r="B58" s="785" t="s">
        <v>581</v>
      </c>
      <c r="C58" s="725"/>
      <c r="D58" s="725"/>
      <c r="E58" s="725"/>
      <c r="F58" s="309">
        <v>1100</v>
      </c>
      <c r="G58" s="483">
        <f t="shared" si="130"/>
        <v>1100</v>
      </c>
      <c r="H58" s="272"/>
      <c r="I58" s="332"/>
      <c r="J58" s="422"/>
      <c r="K58" s="309"/>
      <c r="L58" s="441">
        <f t="shared" si="131"/>
        <v>1250</v>
      </c>
      <c r="M58" s="280">
        <f t="shared" si="124"/>
        <v>1250</v>
      </c>
      <c r="N58" s="441">
        <f t="shared" si="132"/>
        <v>1210</v>
      </c>
      <c r="O58" s="280">
        <f t="shared" si="125"/>
        <v>1210</v>
      </c>
      <c r="P58" s="441">
        <f t="shared" si="133"/>
        <v>1200</v>
      </c>
      <c r="Q58" s="280">
        <f t="shared" si="126"/>
        <v>1200</v>
      </c>
      <c r="R58" s="441">
        <f t="shared" si="134"/>
        <v>1180</v>
      </c>
      <c r="S58" s="280">
        <f t="shared" si="127"/>
        <v>1180</v>
      </c>
      <c r="T58" s="441">
        <f t="shared" si="135"/>
        <v>1165</v>
      </c>
      <c r="U58" s="280">
        <f t="shared" si="128"/>
        <v>1165</v>
      </c>
      <c r="V58" s="441">
        <f t="shared" si="136"/>
        <v>1156</v>
      </c>
      <c r="W58" s="280">
        <f t="shared" si="129"/>
        <v>1156</v>
      </c>
      <c r="X58" s="129"/>
      <c r="Y58" s="129"/>
      <c r="Z58" s="129"/>
      <c r="AA58" s="129"/>
      <c r="AB58" s="387" t="s">
        <v>768</v>
      </c>
    </row>
    <row r="59" spans="1:35" ht="12.6" customHeight="1" x14ac:dyDescent="0.2">
      <c r="A59" s="18"/>
      <c r="B59" s="795" t="s">
        <v>580</v>
      </c>
      <c r="C59" s="711"/>
      <c r="D59" s="711"/>
      <c r="E59" s="711"/>
      <c r="F59" s="296">
        <v>780</v>
      </c>
      <c r="G59" s="328">
        <f t="shared" ref="G59" si="137">+F59*$X$1</f>
        <v>780</v>
      </c>
      <c r="H59" s="273"/>
      <c r="I59" s="331"/>
      <c r="J59" s="421"/>
      <c r="K59" s="296"/>
      <c r="L59" s="600">
        <f t="shared" si="131"/>
        <v>930</v>
      </c>
      <c r="M59" s="279">
        <f t="shared" ref="M59:M60" si="138">+L59*$X$1</f>
        <v>930</v>
      </c>
      <c r="N59" s="600">
        <f t="shared" si="132"/>
        <v>890</v>
      </c>
      <c r="O59" s="279">
        <f t="shared" ref="O59:O60" si="139">+N59*$X$1</f>
        <v>890</v>
      </c>
      <c r="P59" s="600">
        <f t="shared" si="133"/>
        <v>880</v>
      </c>
      <c r="Q59" s="279">
        <f t="shared" ref="Q59:Q60" si="140">+P59*$X$1</f>
        <v>880</v>
      </c>
      <c r="R59" s="600">
        <f t="shared" si="134"/>
        <v>860</v>
      </c>
      <c r="S59" s="279">
        <f t="shared" ref="S59:S60" si="141">+R59*$X$1</f>
        <v>860</v>
      </c>
      <c r="T59" s="600">
        <f t="shared" si="135"/>
        <v>845</v>
      </c>
      <c r="U59" s="279">
        <f t="shared" ref="U59:U60" si="142">+T59*$X$1</f>
        <v>845</v>
      </c>
      <c r="V59" s="600">
        <f t="shared" si="136"/>
        <v>836</v>
      </c>
      <c r="W59" s="279">
        <f t="shared" ref="W59:W60" si="143">+V59*$X$1</f>
        <v>836</v>
      </c>
      <c r="X59" s="129"/>
      <c r="Y59" s="129"/>
      <c r="Z59" s="129"/>
      <c r="AA59" s="129"/>
      <c r="AB59" s="387" t="s">
        <v>769</v>
      </c>
    </row>
    <row r="60" spans="1:35" ht="12.6" customHeight="1" x14ac:dyDescent="0.2">
      <c r="A60" s="18"/>
      <c r="B60" s="785" t="s">
        <v>752</v>
      </c>
      <c r="C60" s="725"/>
      <c r="D60" s="725"/>
      <c r="E60" s="725"/>
      <c r="F60" s="309">
        <v>760</v>
      </c>
      <c r="G60" s="483">
        <f t="shared" ref="G60:G61" si="144">+F60*$X$1</f>
        <v>760</v>
      </c>
      <c r="H60" s="272"/>
      <c r="I60" s="332"/>
      <c r="J60" s="422"/>
      <c r="K60" s="309"/>
      <c r="L60" s="441">
        <f t="shared" si="131"/>
        <v>910</v>
      </c>
      <c r="M60" s="280">
        <f t="shared" si="138"/>
        <v>910</v>
      </c>
      <c r="N60" s="441">
        <f t="shared" si="132"/>
        <v>870</v>
      </c>
      <c r="O60" s="280">
        <f t="shared" si="139"/>
        <v>870</v>
      </c>
      <c r="P60" s="441">
        <f t="shared" si="133"/>
        <v>860</v>
      </c>
      <c r="Q60" s="280">
        <f t="shared" si="140"/>
        <v>860</v>
      </c>
      <c r="R60" s="441">
        <f t="shared" si="134"/>
        <v>840</v>
      </c>
      <c r="S60" s="280">
        <f t="shared" si="141"/>
        <v>840</v>
      </c>
      <c r="T60" s="441">
        <f t="shared" si="135"/>
        <v>825</v>
      </c>
      <c r="U60" s="280">
        <f t="shared" si="142"/>
        <v>825</v>
      </c>
      <c r="V60" s="441">
        <f t="shared" si="136"/>
        <v>816</v>
      </c>
      <c r="W60" s="280">
        <f t="shared" si="143"/>
        <v>816</v>
      </c>
      <c r="X60" s="129"/>
      <c r="Y60" s="129"/>
      <c r="Z60" s="129"/>
      <c r="AA60" s="129"/>
      <c r="AB60" s="387" t="s">
        <v>767</v>
      </c>
    </row>
    <row r="61" spans="1:35" ht="12.6" customHeight="1" x14ac:dyDescent="0.2">
      <c r="A61" s="18"/>
      <c r="B61" s="795" t="s">
        <v>765</v>
      </c>
      <c r="C61" s="711"/>
      <c r="D61" s="711"/>
      <c r="E61" s="711"/>
      <c r="F61" s="365">
        <f>2.55*X2</f>
        <v>2774.3999999999996</v>
      </c>
      <c r="G61" s="279">
        <f t="shared" si="144"/>
        <v>2774.3999999999996</v>
      </c>
      <c r="H61" s="70"/>
      <c r="I61" s="279"/>
      <c r="J61" s="70">
        <f>F61+200</f>
        <v>2974.3999999999996</v>
      </c>
      <c r="K61" s="279">
        <f t="shared" ref="K61" si="145">+J61*$X$1</f>
        <v>2974.3999999999996</v>
      </c>
      <c r="L61" s="600">
        <f t="shared" si="131"/>
        <v>2924.3999999999996</v>
      </c>
      <c r="M61" s="279">
        <f t="shared" ref="M61" si="146">+L61*$X$1</f>
        <v>2924.3999999999996</v>
      </c>
      <c r="N61" s="600">
        <f t="shared" si="132"/>
        <v>2884.3999999999996</v>
      </c>
      <c r="O61" s="279">
        <f t="shared" ref="O61" si="147">+N61*$X$1</f>
        <v>2884.3999999999996</v>
      </c>
      <c r="P61" s="600">
        <f t="shared" si="133"/>
        <v>2874.3999999999996</v>
      </c>
      <c r="Q61" s="279">
        <f t="shared" ref="Q61" si="148">+P61*$X$1</f>
        <v>2874.3999999999996</v>
      </c>
      <c r="R61" s="600">
        <f t="shared" si="134"/>
        <v>2854.3999999999996</v>
      </c>
      <c r="S61" s="279">
        <f t="shared" ref="S61" si="149">+R61*$X$1</f>
        <v>2854.3999999999996</v>
      </c>
      <c r="T61" s="600">
        <f t="shared" si="135"/>
        <v>2839.3999999999996</v>
      </c>
      <c r="U61" s="279">
        <f t="shared" ref="U61" si="150">+T61*$X$1</f>
        <v>2839.3999999999996</v>
      </c>
      <c r="V61" s="600">
        <f t="shared" si="136"/>
        <v>2830.3999999999996</v>
      </c>
      <c r="W61" s="279">
        <f t="shared" ref="W61" si="151">+V61*$X$1</f>
        <v>2830.3999999999996</v>
      </c>
      <c r="X61" s="129"/>
      <c r="Y61" s="129"/>
      <c r="Z61" s="129"/>
      <c r="AA61" s="129"/>
      <c r="AB61" s="387" t="s">
        <v>766</v>
      </c>
    </row>
    <row r="62" spans="1:35" ht="12.6" customHeight="1" x14ac:dyDescent="0.2">
      <c r="A62" s="18"/>
      <c r="B62" s="789" t="s">
        <v>397</v>
      </c>
      <c r="C62" s="802"/>
      <c r="D62" s="802"/>
      <c r="E62" s="803"/>
      <c r="F62" s="309">
        <v>1030</v>
      </c>
      <c r="G62" s="483">
        <f t="shared" si="130"/>
        <v>1030</v>
      </c>
      <c r="H62" s="272"/>
      <c r="I62" s="332"/>
      <c r="J62" s="87">
        <f>F62+220</f>
        <v>1250</v>
      </c>
      <c r="K62" s="280">
        <f t="shared" ref="K62" si="152">+J62*$X$1</f>
        <v>1250</v>
      </c>
      <c r="L62" s="441">
        <f>F62+160</f>
        <v>1190</v>
      </c>
      <c r="M62" s="280">
        <f t="shared" ref="M62" si="153">+L62*$X$1</f>
        <v>1190</v>
      </c>
      <c r="N62" s="441">
        <f>F62+120</f>
        <v>1150</v>
      </c>
      <c r="O62" s="280">
        <f t="shared" ref="O62" si="154">+N62*$X$1</f>
        <v>1150</v>
      </c>
      <c r="P62" s="441">
        <f>F62+110</f>
        <v>1140</v>
      </c>
      <c r="Q62" s="280">
        <f t="shared" ref="Q62" si="155">+P62*$X$1</f>
        <v>1140</v>
      </c>
      <c r="R62" s="441">
        <f>F62+90</f>
        <v>1120</v>
      </c>
      <c r="S62" s="280">
        <f t="shared" ref="S62" si="156">+R62*$X$1</f>
        <v>1120</v>
      </c>
      <c r="T62" s="441">
        <f>F62+80</f>
        <v>1110</v>
      </c>
      <c r="U62" s="280">
        <f t="shared" ref="U62" si="157">+T62*$X$1</f>
        <v>1110</v>
      </c>
      <c r="V62" s="441">
        <f>F62+70</f>
        <v>1100</v>
      </c>
      <c r="W62" s="280">
        <f t="shared" ref="W62" si="158">+V62*$X$1</f>
        <v>1100</v>
      </c>
      <c r="X62" s="129"/>
      <c r="Y62" s="129"/>
      <c r="Z62" s="129"/>
      <c r="AA62" s="129"/>
      <c r="AB62" s="387">
        <v>89</v>
      </c>
    </row>
    <row r="63" spans="1:35" ht="12.6" customHeight="1" x14ac:dyDescent="0.2">
      <c r="A63" s="18"/>
      <c r="B63" s="778" t="s">
        <v>489</v>
      </c>
      <c r="C63" s="660"/>
      <c r="D63" s="660"/>
      <c r="E63" s="660"/>
      <c r="F63" s="279">
        <v>578</v>
      </c>
      <c r="G63" s="328">
        <f t="shared" si="130"/>
        <v>578</v>
      </c>
      <c r="H63" s="273"/>
      <c r="I63" s="331"/>
      <c r="J63" s="70"/>
      <c r="K63" s="252"/>
      <c r="L63" s="600"/>
      <c r="M63" s="252"/>
      <c r="N63" s="600">
        <f t="shared" si="132"/>
        <v>688</v>
      </c>
      <c r="O63" s="279">
        <f t="shared" ref="O63:O64" si="159">+N63*$X$1</f>
        <v>688</v>
      </c>
      <c r="P63" s="600">
        <f t="shared" si="133"/>
        <v>678</v>
      </c>
      <c r="Q63" s="279">
        <f t="shared" ref="Q63:Q64" si="160">+P63*$X$1</f>
        <v>678</v>
      </c>
      <c r="R63" s="600">
        <f t="shared" si="134"/>
        <v>658</v>
      </c>
      <c r="S63" s="279">
        <f t="shared" ref="S63:S64" si="161">+R63*$X$1</f>
        <v>658</v>
      </c>
      <c r="T63" s="600">
        <f t="shared" si="135"/>
        <v>643</v>
      </c>
      <c r="U63" s="279">
        <f t="shared" ref="U63:U64" si="162">+T63*$X$1</f>
        <v>643</v>
      </c>
      <c r="V63" s="600">
        <f t="shared" si="136"/>
        <v>634</v>
      </c>
      <c r="W63" s="279">
        <f t="shared" ref="W63:W64" si="163">+V63*$X$1</f>
        <v>634</v>
      </c>
      <c r="X63" s="141"/>
      <c r="Y63" s="141"/>
      <c r="Z63" s="141" t="s">
        <v>78</v>
      </c>
      <c r="AA63" s="129"/>
      <c r="AB63" s="387">
        <v>91</v>
      </c>
    </row>
    <row r="64" spans="1:35" ht="12.6" customHeight="1" x14ac:dyDescent="0.2">
      <c r="A64" s="18"/>
      <c r="B64" s="1126" t="s">
        <v>79</v>
      </c>
      <c r="C64" s="1127"/>
      <c r="D64" s="1127"/>
      <c r="E64" s="1128"/>
      <c r="F64" s="280">
        <v>245</v>
      </c>
      <c r="G64" s="301">
        <f t="shared" si="130"/>
        <v>245</v>
      </c>
      <c r="H64" s="272"/>
      <c r="I64" s="332"/>
      <c r="J64" s="87"/>
      <c r="K64" s="295"/>
      <c r="L64" s="441"/>
      <c r="M64" s="295"/>
      <c r="N64" s="441">
        <f t="shared" si="132"/>
        <v>355</v>
      </c>
      <c r="O64" s="280">
        <f t="shared" si="159"/>
        <v>355</v>
      </c>
      <c r="P64" s="441">
        <f t="shared" si="133"/>
        <v>345</v>
      </c>
      <c r="Q64" s="280">
        <f t="shared" si="160"/>
        <v>345</v>
      </c>
      <c r="R64" s="441">
        <f t="shared" si="134"/>
        <v>325</v>
      </c>
      <c r="S64" s="280">
        <f t="shared" si="161"/>
        <v>325</v>
      </c>
      <c r="T64" s="441">
        <f t="shared" si="135"/>
        <v>310</v>
      </c>
      <c r="U64" s="280">
        <f t="shared" si="162"/>
        <v>310</v>
      </c>
      <c r="V64" s="441">
        <f t="shared" si="136"/>
        <v>301</v>
      </c>
      <c r="W64" s="280">
        <f t="shared" si="163"/>
        <v>301</v>
      </c>
      <c r="X64" s="141"/>
      <c r="Y64" s="141"/>
      <c r="Z64" s="141"/>
      <c r="AA64" s="129"/>
      <c r="AB64" s="387" t="s">
        <v>80</v>
      </c>
    </row>
    <row r="65" spans="1:38" ht="12.6" customHeight="1" x14ac:dyDescent="0.2">
      <c r="A65" s="18"/>
      <c r="B65" s="1120" t="s">
        <v>336</v>
      </c>
      <c r="C65" s="1121"/>
      <c r="D65" s="1121"/>
      <c r="E65" s="1146"/>
      <c r="F65" s="279"/>
      <c r="G65" s="302"/>
      <c r="H65" s="273"/>
      <c r="I65" s="273"/>
      <c r="J65" s="70"/>
      <c r="K65" s="94"/>
      <c r="L65" s="552"/>
      <c r="M65" s="252"/>
      <c r="N65" s="101"/>
      <c r="O65" s="252"/>
      <c r="P65" s="101"/>
      <c r="Q65" s="279"/>
      <c r="R65" s="101"/>
      <c r="S65" s="252"/>
      <c r="T65" s="101"/>
      <c r="U65" s="252"/>
      <c r="V65" s="101"/>
      <c r="W65" s="279"/>
      <c r="X65" s="141"/>
      <c r="Y65" s="141"/>
      <c r="Z65" s="141"/>
      <c r="AA65" s="129"/>
      <c r="AB65" s="34"/>
    </row>
    <row r="66" spans="1:38" ht="12.6" customHeight="1" x14ac:dyDescent="0.2">
      <c r="A66" s="18"/>
      <c r="B66" s="1126" t="s">
        <v>337</v>
      </c>
      <c r="C66" s="1127"/>
      <c r="D66" s="1127"/>
      <c r="E66" s="1128"/>
      <c r="F66" s="280"/>
      <c r="G66" s="301"/>
      <c r="H66" s="272"/>
      <c r="I66" s="272"/>
      <c r="J66" s="87"/>
      <c r="K66" s="92"/>
      <c r="L66" s="441"/>
      <c r="M66" s="295"/>
      <c r="N66" s="100"/>
      <c r="O66" s="295"/>
      <c r="P66" s="100"/>
      <c r="Q66" s="280"/>
      <c r="R66" s="100"/>
      <c r="S66" s="295"/>
      <c r="T66" s="100"/>
      <c r="U66" s="295"/>
      <c r="V66" s="100"/>
      <c r="W66" s="280"/>
      <c r="X66" s="141"/>
      <c r="Y66" s="141"/>
      <c r="Z66" s="141"/>
      <c r="AA66" s="129"/>
      <c r="AB66" s="34"/>
    </row>
    <row r="67" spans="1:38" ht="12.6" customHeight="1" x14ac:dyDescent="0.2">
      <c r="A67" s="18"/>
      <c r="B67" s="778" t="s">
        <v>81</v>
      </c>
      <c r="C67" s="660"/>
      <c r="D67" s="660"/>
      <c r="E67" s="660"/>
      <c r="F67" s="279">
        <v>5345</v>
      </c>
      <c r="G67" s="302">
        <f t="shared" si="130"/>
        <v>5345</v>
      </c>
      <c r="H67" s="70">
        <f>F67+600</f>
        <v>5945</v>
      </c>
      <c r="I67" s="279">
        <f>+H67*$X$1</f>
        <v>5945</v>
      </c>
      <c r="J67" s="70">
        <f>F67+200</f>
        <v>5545</v>
      </c>
      <c r="K67" s="279">
        <f t="shared" ref="K67" si="164">+J67*$X$1</f>
        <v>5545</v>
      </c>
      <c r="L67" s="600">
        <f>F67+150</f>
        <v>5495</v>
      </c>
      <c r="M67" s="279">
        <f t="shared" ref="M67" si="165">+L67*$X$1</f>
        <v>5495</v>
      </c>
      <c r="N67" s="600">
        <f>F67+110</f>
        <v>5455</v>
      </c>
      <c r="O67" s="279">
        <f t="shared" ref="O67" si="166">+N67*$X$1</f>
        <v>5455</v>
      </c>
      <c r="P67" s="600">
        <f>F67+100</f>
        <v>5445</v>
      </c>
      <c r="Q67" s="279">
        <f t="shared" ref="Q67" si="167">+P67*$X$1</f>
        <v>5445</v>
      </c>
      <c r="R67" s="600">
        <f>F67+80</f>
        <v>5425</v>
      </c>
      <c r="S67" s="279">
        <f t="shared" ref="S67" si="168">+R67*$X$1</f>
        <v>5425</v>
      </c>
      <c r="T67" s="600">
        <f>F67+65</f>
        <v>5410</v>
      </c>
      <c r="U67" s="279">
        <f t="shared" ref="U67" si="169">+T67*$X$1</f>
        <v>5410</v>
      </c>
      <c r="V67" s="600">
        <f>F67+56</f>
        <v>5401</v>
      </c>
      <c r="W67" s="279">
        <f t="shared" ref="W67" si="170">+V67*$X$1</f>
        <v>5401</v>
      </c>
      <c r="X67" s="131"/>
      <c r="Y67" s="129"/>
      <c r="Z67" s="129"/>
      <c r="AA67" s="129"/>
      <c r="AB67" s="387">
        <v>92</v>
      </c>
    </row>
    <row r="68" spans="1:38" ht="12.6" customHeight="1" x14ac:dyDescent="0.25">
      <c r="A68" s="56"/>
      <c r="B68" s="779" t="s">
        <v>457</v>
      </c>
      <c r="C68" s="712"/>
      <c r="D68" s="712"/>
      <c r="E68" s="712"/>
      <c r="F68" s="280"/>
      <c r="G68" s="295"/>
      <c r="H68" s="244"/>
      <c r="I68" s="1030" t="s">
        <v>465</v>
      </c>
      <c r="J68" s="1031"/>
      <c r="K68" s="1031"/>
      <c r="L68" s="1032"/>
      <c r="M68" s="1033"/>
      <c r="N68" s="441">
        <v>850</v>
      </c>
      <c r="O68" s="301">
        <f>+N68*$X$1</f>
        <v>850</v>
      </c>
      <c r="P68" s="274">
        <v>847</v>
      </c>
      <c r="Q68" s="329">
        <f>+P68*$X$1</f>
        <v>847</v>
      </c>
      <c r="R68" s="441">
        <v>795</v>
      </c>
      <c r="S68" s="295">
        <f>+R68*$X$1</f>
        <v>795</v>
      </c>
      <c r="T68" s="441">
        <v>755</v>
      </c>
      <c r="U68" s="280">
        <f>+T68*$X$1</f>
        <v>755</v>
      </c>
      <c r="V68" s="441">
        <v>692</v>
      </c>
      <c r="W68" s="280">
        <f>+V68*$X$1</f>
        <v>692</v>
      </c>
      <c r="X68" s="767"/>
      <c r="Y68" s="767"/>
      <c r="Z68" s="767"/>
      <c r="AA68" s="767"/>
      <c r="AB68" s="190" t="s">
        <v>458</v>
      </c>
    </row>
    <row r="69" spans="1:38" ht="12.6" customHeight="1" x14ac:dyDescent="0.25">
      <c r="A69" s="56"/>
      <c r="B69" s="778" t="s">
        <v>326</v>
      </c>
      <c r="C69" s="721"/>
      <c r="D69" s="721"/>
      <c r="E69" s="721"/>
      <c r="F69" s="279"/>
      <c r="G69" s="252"/>
      <c r="H69" s="104"/>
      <c r="I69" s="1034" t="s">
        <v>465</v>
      </c>
      <c r="J69" s="1035"/>
      <c r="K69" s="1035"/>
      <c r="L69" s="1036"/>
      <c r="M69" s="1037"/>
      <c r="N69" s="510">
        <v>912</v>
      </c>
      <c r="O69" s="302">
        <f>+N69*$X$1</f>
        <v>912</v>
      </c>
      <c r="P69" s="286">
        <v>909</v>
      </c>
      <c r="Q69" s="297">
        <f>+P69*$X$1</f>
        <v>909</v>
      </c>
      <c r="R69" s="510">
        <v>853</v>
      </c>
      <c r="S69" s="252">
        <f>+R69*$X$1</f>
        <v>853</v>
      </c>
      <c r="T69" s="510">
        <v>827</v>
      </c>
      <c r="U69" s="279">
        <f>+T69*$X$1</f>
        <v>827</v>
      </c>
      <c r="V69" s="510">
        <v>750</v>
      </c>
      <c r="W69" s="279">
        <f>+V69*$X$1</f>
        <v>750</v>
      </c>
      <c r="X69" s="767"/>
      <c r="Y69" s="767"/>
      <c r="Z69" s="767"/>
      <c r="AA69" s="767"/>
      <c r="AB69" s="190" t="s">
        <v>82</v>
      </c>
    </row>
    <row r="70" spans="1:38" ht="12.6" customHeight="1" x14ac:dyDescent="0.25">
      <c r="A70" s="56"/>
      <c r="B70" s="779" t="s">
        <v>459</v>
      </c>
      <c r="C70" s="712"/>
      <c r="D70" s="712"/>
      <c r="E70" s="712"/>
      <c r="F70" s="280"/>
      <c r="G70" s="295"/>
      <c r="H70" s="244"/>
      <c r="I70" s="1030" t="s">
        <v>465</v>
      </c>
      <c r="J70" s="1031"/>
      <c r="K70" s="1031"/>
      <c r="L70" s="1032"/>
      <c r="M70" s="1033"/>
      <c r="N70" s="441">
        <v>1270</v>
      </c>
      <c r="O70" s="301">
        <f>+N70*$X$1</f>
        <v>1270</v>
      </c>
      <c r="P70" s="285">
        <v>1265</v>
      </c>
      <c r="Q70" s="329">
        <f>+P70*$X$1</f>
        <v>1265</v>
      </c>
      <c r="R70" s="441">
        <v>1207</v>
      </c>
      <c r="S70" s="295">
        <f>+R70*$X$1</f>
        <v>1207</v>
      </c>
      <c r="T70" s="441">
        <v>1180</v>
      </c>
      <c r="U70" s="280">
        <f>+T70*$X$1</f>
        <v>1180</v>
      </c>
      <c r="V70" s="441">
        <v>1103</v>
      </c>
      <c r="W70" s="280">
        <f>+V70*$X$1</f>
        <v>1103</v>
      </c>
      <c r="X70" s="767"/>
      <c r="Y70" s="767"/>
      <c r="Z70" s="767"/>
      <c r="AA70" s="767"/>
      <c r="AB70" s="190" t="s">
        <v>460</v>
      </c>
    </row>
    <row r="71" spans="1:38" ht="12.6" customHeight="1" x14ac:dyDescent="0.25">
      <c r="A71" s="18"/>
      <c r="B71" s="778" t="s">
        <v>327</v>
      </c>
      <c r="C71" s="721"/>
      <c r="D71" s="721"/>
      <c r="E71" s="721"/>
      <c r="F71" s="279"/>
      <c r="G71" s="252"/>
      <c r="H71" s="104"/>
      <c r="I71" s="1129"/>
      <c r="J71" s="1130"/>
      <c r="K71" s="1130"/>
      <c r="L71" s="273"/>
      <c r="M71" s="331"/>
      <c r="N71" s="510"/>
      <c r="O71" s="302"/>
      <c r="P71" s="510"/>
      <c r="Q71" s="279"/>
      <c r="R71" s="510"/>
      <c r="S71" s="252"/>
      <c r="T71" s="510"/>
      <c r="U71" s="279"/>
      <c r="V71" s="110"/>
      <c r="W71" s="279"/>
      <c r="X71" s="767"/>
      <c r="Y71" s="767"/>
      <c r="Z71" s="767"/>
      <c r="AA71" s="767"/>
      <c r="AB71" s="190" t="s">
        <v>83</v>
      </c>
      <c r="AH71" s="4"/>
      <c r="AI71" s="4"/>
      <c r="AJ71" s="4"/>
    </row>
    <row r="72" spans="1:38" s="6" customFormat="1" ht="12.6" customHeight="1" x14ac:dyDescent="0.25">
      <c r="A72" s="56"/>
      <c r="B72" s="1029" t="s">
        <v>386</v>
      </c>
      <c r="C72" s="694"/>
      <c r="D72" s="694"/>
      <c r="E72" s="695"/>
      <c r="F72" s="280"/>
      <c r="G72" s="295"/>
      <c r="H72" s="441"/>
      <c r="I72" s="301"/>
      <c r="J72" s="283"/>
      <c r="K72" s="346"/>
      <c r="L72" s="445">
        <v>2410</v>
      </c>
      <c r="M72" s="280">
        <f>+L72*$X$1</f>
        <v>2410</v>
      </c>
      <c r="N72" s="441">
        <v>2140</v>
      </c>
      <c r="O72" s="301">
        <f>+N72*$X$1</f>
        <v>2140</v>
      </c>
      <c r="P72" s="372">
        <v>1961</v>
      </c>
      <c r="Q72" s="329">
        <f>+P72*$X$1</f>
        <v>1961</v>
      </c>
      <c r="R72" s="441">
        <v>1958</v>
      </c>
      <c r="S72" s="295">
        <f>+R72*$X$1</f>
        <v>1958</v>
      </c>
      <c r="T72" s="441">
        <v>1890</v>
      </c>
      <c r="U72" s="280">
        <f>+T72*$X$1</f>
        <v>1890</v>
      </c>
      <c r="V72" s="508"/>
      <c r="W72" s="344"/>
      <c r="X72" s="242"/>
      <c r="Y72" s="243"/>
      <c r="Z72" s="243"/>
      <c r="AA72" s="243"/>
      <c r="AB72" s="190" t="s">
        <v>84</v>
      </c>
      <c r="AC72" s="8"/>
      <c r="AD72" s="8"/>
      <c r="AE72" s="8"/>
      <c r="AF72" s="8"/>
      <c r="AG72" s="8"/>
      <c r="AH72" s="55"/>
      <c r="AI72" s="24"/>
      <c r="AJ72" s="55"/>
      <c r="AK72" s="8"/>
      <c r="AL72" s="8"/>
    </row>
    <row r="73" spans="1:38" s="6" customFormat="1" ht="12.6" customHeight="1" x14ac:dyDescent="0.25">
      <c r="A73" s="56"/>
      <c r="B73" s="1141" t="s">
        <v>387</v>
      </c>
      <c r="C73" s="1142"/>
      <c r="D73" s="1142"/>
      <c r="E73" s="1143"/>
      <c r="F73" s="279"/>
      <c r="G73" s="442"/>
      <c r="H73" s="306"/>
      <c r="I73" s="443"/>
      <c r="J73" s="307"/>
      <c r="K73" s="345"/>
      <c r="L73" s="444">
        <v>3250</v>
      </c>
      <c r="M73" s="279">
        <f>+L73*$X$1</f>
        <v>3250</v>
      </c>
      <c r="N73" s="510">
        <v>2996</v>
      </c>
      <c r="O73" s="443">
        <f>+N73*$X$1</f>
        <v>2996</v>
      </c>
      <c r="P73" s="371">
        <v>2913</v>
      </c>
      <c r="Q73" s="297">
        <f>+P73*$X$1</f>
        <v>2913</v>
      </c>
      <c r="R73" s="510">
        <v>2909</v>
      </c>
      <c r="S73" s="442">
        <f>+R73*$X$1</f>
        <v>2909</v>
      </c>
      <c r="T73" s="510">
        <v>2713</v>
      </c>
      <c r="U73" s="279">
        <f>+T73*$X$1</f>
        <v>2713</v>
      </c>
      <c r="V73" s="509"/>
      <c r="W73" s="343"/>
      <c r="X73" s="1144"/>
      <c r="Y73" s="1145"/>
      <c r="Z73" s="1145"/>
      <c r="AA73" s="1145"/>
      <c r="AB73" s="190" t="s">
        <v>85</v>
      </c>
      <c r="AC73" s="8"/>
      <c r="AD73" s="8"/>
      <c r="AE73" s="8"/>
      <c r="AF73" s="8"/>
      <c r="AG73" s="8"/>
      <c r="AH73" s="55"/>
      <c r="AI73" s="55"/>
      <c r="AJ73" s="55"/>
      <c r="AK73" s="8"/>
      <c r="AL73" s="8"/>
    </row>
    <row r="74" spans="1:38" ht="12.6" customHeight="1" x14ac:dyDescent="0.2">
      <c r="A74" s="95"/>
      <c r="B74" s="106"/>
      <c r="C74" s="66"/>
      <c r="D74" s="66"/>
      <c r="E74" s="66"/>
      <c r="F74" s="181"/>
      <c r="G74" s="181"/>
      <c r="H74" s="181"/>
      <c r="I74" s="181"/>
      <c r="J74" s="181"/>
      <c r="K74" s="181"/>
      <c r="L74" s="107"/>
      <c r="M74" s="107"/>
      <c r="N74" s="108"/>
      <c r="O74" s="108"/>
      <c r="P74" s="108"/>
      <c r="Q74" s="109"/>
      <c r="R74" s="86"/>
      <c r="S74" s="62"/>
      <c r="T74" s="62"/>
      <c r="U74" s="62"/>
      <c r="V74" s="62"/>
      <c r="W74" s="62"/>
      <c r="X74" s="75"/>
      <c r="AB74" s="105"/>
    </row>
    <row r="75" spans="1:38" ht="12.6" customHeight="1" x14ac:dyDescent="0.2">
      <c r="A75" s="95"/>
      <c r="B75" s="106"/>
      <c r="C75" s="305"/>
      <c r="D75" s="305"/>
      <c r="E75" s="305"/>
      <c r="F75" s="232"/>
      <c r="G75" s="232"/>
      <c r="H75" s="232"/>
      <c r="I75" s="232"/>
      <c r="J75" s="232"/>
      <c r="K75" s="232"/>
      <c r="L75" s="107"/>
      <c r="M75" s="107"/>
      <c r="N75" s="108"/>
      <c r="O75" s="108"/>
      <c r="P75" s="108"/>
      <c r="Q75" s="109"/>
      <c r="R75" s="86"/>
      <c r="S75" s="62"/>
      <c r="T75" s="62"/>
      <c r="U75" s="62"/>
      <c r="V75" s="62"/>
      <c r="W75" s="62"/>
      <c r="X75" s="75"/>
      <c r="AB75" s="105"/>
    </row>
    <row r="76" spans="1:38" ht="12.6" customHeight="1" x14ac:dyDescent="0.2">
      <c r="A76" s="95"/>
      <c r="B76" s="106"/>
      <c r="C76" s="612"/>
      <c r="D76" s="612"/>
      <c r="E76" s="612"/>
      <c r="F76" s="232"/>
      <c r="G76" s="232"/>
      <c r="H76" s="232"/>
      <c r="I76" s="232"/>
      <c r="J76" s="232"/>
      <c r="K76" s="232"/>
      <c r="L76" s="107"/>
      <c r="M76" s="107"/>
      <c r="N76" s="108"/>
      <c r="O76" s="108"/>
      <c r="P76" s="108"/>
      <c r="Q76" s="109"/>
      <c r="R76" s="86"/>
      <c r="S76" s="62"/>
      <c r="T76" s="62"/>
      <c r="U76" s="62"/>
      <c r="V76" s="62"/>
      <c r="W76" s="62"/>
      <c r="X76" s="75"/>
      <c r="AB76" s="105"/>
    </row>
    <row r="77" spans="1:38" ht="12.6" customHeight="1" x14ac:dyDescent="0.2">
      <c r="A77" s="95"/>
      <c r="B77" s="106"/>
      <c r="C77" s="612"/>
      <c r="D77" s="612"/>
      <c r="E77" s="612"/>
      <c r="F77" s="232"/>
      <c r="G77" s="232"/>
      <c r="H77" s="232"/>
      <c r="I77" s="232"/>
      <c r="J77" s="232"/>
      <c r="K77" s="232"/>
      <c r="L77" s="107"/>
      <c r="M77" s="107"/>
      <c r="N77" s="108"/>
      <c r="O77" s="108"/>
      <c r="P77" s="108"/>
      <c r="Q77" s="109"/>
      <c r="R77" s="86"/>
      <c r="S77" s="62"/>
      <c r="T77" s="62"/>
      <c r="U77" s="62"/>
      <c r="V77" s="62"/>
      <c r="W77" s="62"/>
      <c r="X77" s="75"/>
      <c r="AB77" s="105"/>
    </row>
    <row r="78" spans="1:38" ht="12.6" customHeight="1" x14ac:dyDescent="0.2">
      <c r="A78" s="95"/>
      <c r="B78" s="106"/>
      <c r="C78" s="233"/>
      <c r="D78" s="233"/>
      <c r="E78" s="233"/>
      <c r="F78" s="232"/>
      <c r="G78" s="232"/>
      <c r="H78" s="232"/>
      <c r="I78" s="232"/>
      <c r="J78" s="232"/>
      <c r="K78" s="232"/>
      <c r="L78" s="107"/>
      <c r="M78" s="107"/>
      <c r="N78" s="108"/>
      <c r="O78" s="108"/>
      <c r="P78" s="108"/>
      <c r="Q78" s="109"/>
      <c r="R78" s="86"/>
      <c r="S78" s="62"/>
      <c r="T78" s="62"/>
      <c r="U78" s="62"/>
      <c r="V78" s="62"/>
      <c r="W78" s="62"/>
      <c r="X78" s="75"/>
      <c r="AB78" s="105"/>
    </row>
    <row r="79" spans="1:38" ht="15.75" customHeight="1" x14ac:dyDescent="0.2">
      <c r="A79" s="18"/>
      <c r="B79" s="745" t="s">
        <v>11</v>
      </c>
      <c r="C79" s="690" t="s">
        <v>12</v>
      </c>
      <c r="D79" s="691"/>
      <c r="E79" s="691"/>
      <c r="F79" s="685" t="s">
        <v>13</v>
      </c>
      <c r="G79" s="685" t="s">
        <v>13</v>
      </c>
      <c r="H79" s="692" t="s">
        <v>794</v>
      </c>
      <c r="I79" s="692"/>
      <c r="J79" s="693"/>
      <c r="K79" s="693"/>
      <c r="L79" s="693"/>
      <c r="M79" s="693"/>
      <c r="N79" s="693"/>
      <c r="O79" s="693"/>
      <c r="P79" s="693"/>
      <c r="Q79" s="693"/>
      <c r="R79" s="693"/>
      <c r="S79" s="693"/>
      <c r="T79" s="693"/>
      <c r="U79" s="693"/>
      <c r="V79" s="693"/>
      <c r="W79" s="693"/>
      <c r="X79" s="651" t="s">
        <v>14</v>
      </c>
      <c r="Y79" s="652"/>
      <c r="Z79" s="652"/>
      <c r="AA79" s="653"/>
      <c r="AB79" s="798" t="s">
        <v>15</v>
      </c>
      <c r="AF79" s="760" t="s">
        <v>3</v>
      </c>
      <c r="AG79" s="761"/>
      <c r="AH79" s="761"/>
    </row>
    <row r="80" spans="1:38" ht="12" customHeight="1" x14ac:dyDescent="0.2">
      <c r="A80" s="18"/>
      <c r="B80" s="745"/>
      <c r="C80" s="691"/>
      <c r="D80" s="691"/>
      <c r="E80" s="691"/>
      <c r="F80" s="686"/>
      <c r="G80" s="686"/>
      <c r="H80" s="454"/>
      <c r="I80" s="452" t="s">
        <v>285</v>
      </c>
      <c r="J80" s="454"/>
      <c r="K80" s="452" t="s">
        <v>17</v>
      </c>
      <c r="L80" s="455"/>
      <c r="M80" s="455" t="s">
        <v>18</v>
      </c>
      <c r="N80" s="455"/>
      <c r="O80" s="452" t="s">
        <v>19</v>
      </c>
      <c r="P80" s="455"/>
      <c r="Q80" s="455" t="s">
        <v>286</v>
      </c>
      <c r="R80" s="455"/>
      <c r="S80" s="455" t="s">
        <v>20</v>
      </c>
      <c r="T80" s="455"/>
      <c r="U80" s="455" t="s">
        <v>21</v>
      </c>
      <c r="V80" s="455"/>
      <c r="W80" s="455" t="s">
        <v>22</v>
      </c>
      <c r="X80" s="654"/>
      <c r="Y80" s="655"/>
      <c r="Z80" s="655"/>
      <c r="AA80" s="656"/>
      <c r="AB80" s="799"/>
    </row>
    <row r="81" spans="1:34" ht="12.6" customHeight="1" x14ac:dyDescent="0.2">
      <c r="A81" s="18"/>
      <c r="B81" s="645" t="s">
        <v>86</v>
      </c>
      <c r="C81" s="725"/>
      <c r="D81" s="725"/>
      <c r="E81" s="1002"/>
      <c r="F81" s="1147" t="s">
        <v>654</v>
      </c>
      <c r="G81" s="1148"/>
      <c r="H81" s="1148"/>
      <c r="I81" s="1148"/>
      <c r="J81" s="559"/>
      <c r="K81" s="554"/>
      <c r="L81" s="557"/>
      <c r="M81" s="309"/>
      <c r="N81" s="100"/>
      <c r="O81" s="483"/>
      <c r="P81" s="558"/>
      <c r="Q81" s="483"/>
      <c r="R81" s="100"/>
      <c r="S81" s="309"/>
      <c r="T81" s="100"/>
      <c r="U81" s="309"/>
      <c r="V81" s="100"/>
      <c r="W81" s="309"/>
      <c r="X81" s="129"/>
      <c r="Y81" s="129"/>
      <c r="Z81" s="129"/>
      <c r="AA81" s="129"/>
      <c r="AB81" s="394" t="s">
        <v>87</v>
      </c>
      <c r="AC81" s="390" t="s">
        <v>88</v>
      </c>
      <c r="AD81" s="390" t="s">
        <v>89</v>
      </c>
      <c r="AE81" s="390" t="s">
        <v>90</v>
      </c>
      <c r="AF81" s="390" t="s">
        <v>91</v>
      </c>
      <c r="AG81" s="390" t="s">
        <v>92</v>
      </c>
    </row>
    <row r="82" spans="1:34" ht="12.6" customHeight="1" x14ac:dyDescent="0.2">
      <c r="A82" s="18"/>
      <c r="B82" s="659" t="s">
        <v>93</v>
      </c>
      <c r="C82" s="660"/>
      <c r="D82" s="660"/>
      <c r="E82" s="987"/>
      <c r="F82" s="1149"/>
      <c r="G82" s="1148"/>
      <c r="H82" s="1148"/>
      <c r="I82" s="1148"/>
      <c r="J82" s="258"/>
      <c r="K82" s="273"/>
      <c r="L82" s="473"/>
      <c r="M82" s="279"/>
      <c r="N82" s="101"/>
      <c r="O82" s="302"/>
      <c r="P82" s="310"/>
      <c r="Q82" s="297"/>
      <c r="R82" s="101"/>
      <c r="S82" s="252"/>
      <c r="T82" s="101"/>
      <c r="U82" s="279"/>
      <c r="V82" s="549"/>
      <c r="W82" s="279"/>
      <c r="X82" s="132"/>
      <c r="Y82" s="132"/>
      <c r="Z82" s="132"/>
      <c r="AA82" s="132"/>
      <c r="AB82" s="394" t="s">
        <v>94</v>
      </c>
      <c r="AC82" s="390" t="s">
        <v>95</v>
      </c>
      <c r="AD82" s="390" t="s">
        <v>96</v>
      </c>
      <c r="AE82" s="390" t="s">
        <v>97</v>
      </c>
      <c r="AF82" s="390" t="s">
        <v>98</v>
      </c>
      <c r="AG82" s="390" t="s">
        <v>99</v>
      </c>
      <c r="AH82" s="390" t="s">
        <v>100</v>
      </c>
    </row>
    <row r="83" spans="1:34" ht="12.6" customHeight="1" x14ac:dyDescent="0.25">
      <c r="A83" s="18"/>
      <c r="B83" s="647" t="s">
        <v>101</v>
      </c>
      <c r="C83" s="648"/>
      <c r="D83" s="648"/>
      <c r="E83" s="1005"/>
      <c r="F83" s="1149"/>
      <c r="G83" s="1148"/>
      <c r="H83" s="1148"/>
      <c r="I83" s="1148"/>
      <c r="J83" s="258"/>
      <c r="K83" s="272"/>
      <c r="L83" s="292"/>
      <c r="M83" s="280"/>
      <c r="N83" s="441"/>
      <c r="O83" s="301"/>
      <c r="P83" s="274"/>
      <c r="Q83" s="329"/>
      <c r="R83" s="441"/>
      <c r="S83" s="295"/>
      <c r="T83" s="441"/>
      <c r="U83" s="280"/>
      <c r="V83" s="441"/>
      <c r="W83" s="280"/>
      <c r="X83" s="1006"/>
      <c r="Y83" s="1007"/>
      <c r="Z83" s="1007"/>
      <c r="AA83" s="183"/>
      <c r="AB83" s="394" t="s">
        <v>102</v>
      </c>
      <c r="AC83" s="390" t="s">
        <v>103</v>
      </c>
      <c r="AD83" s="390" t="s">
        <v>104</v>
      </c>
      <c r="AE83" s="390" t="s">
        <v>105</v>
      </c>
      <c r="AF83" s="390" t="s">
        <v>106</v>
      </c>
      <c r="AG83" s="395" t="s">
        <v>107</v>
      </c>
      <c r="AH83" s="390" t="s">
        <v>108</v>
      </c>
    </row>
    <row r="84" spans="1:34" ht="12.6" customHeight="1" x14ac:dyDescent="0.25">
      <c r="A84" s="18"/>
      <c r="B84" s="659" t="s">
        <v>109</v>
      </c>
      <c r="C84" s="660"/>
      <c r="D84" s="660"/>
      <c r="E84" s="987"/>
      <c r="F84" s="1149"/>
      <c r="G84" s="1148"/>
      <c r="H84" s="1148"/>
      <c r="I84" s="1148"/>
      <c r="J84" s="258"/>
      <c r="K84" s="273"/>
      <c r="L84" s="473"/>
      <c r="M84" s="279"/>
      <c r="N84" s="549"/>
      <c r="O84" s="302"/>
      <c r="P84" s="310"/>
      <c r="Q84" s="297"/>
      <c r="R84" s="549"/>
      <c r="S84" s="252"/>
      <c r="T84" s="549"/>
      <c r="U84" s="279"/>
      <c r="V84" s="549"/>
      <c r="W84" s="279"/>
      <c r="X84" s="1006"/>
      <c r="Y84" s="1007"/>
      <c r="Z84" s="1007"/>
      <c r="AA84" s="183"/>
      <c r="AB84" s="394" t="s">
        <v>110</v>
      </c>
      <c r="AC84" s="396" t="s">
        <v>111</v>
      </c>
      <c r="AD84" s="396" t="s">
        <v>112</v>
      </c>
      <c r="AE84" s="396" t="s">
        <v>113</v>
      </c>
      <c r="AF84" s="396" t="s">
        <v>114</v>
      </c>
      <c r="AG84" s="30"/>
    </row>
    <row r="85" spans="1:34" ht="12.6" customHeight="1" x14ac:dyDescent="0.2">
      <c r="A85" s="18"/>
      <c r="B85" s="647" t="s">
        <v>115</v>
      </c>
      <c r="C85" s="648"/>
      <c r="D85" s="648"/>
      <c r="E85" s="1005"/>
      <c r="F85" s="1149"/>
      <c r="G85" s="1148"/>
      <c r="H85" s="1148"/>
      <c r="I85" s="1148"/>
      <c r="J85" s="258"/>
      <c r="K85" s="272"/>
      <c r="L85" s="292"/>
      <c r="M85" s="280"/>
      <c r="N85" s="441"/>
      <c r="O85" s="301"/>
      <c r="P85" s="274"/>
      <c r="Q85" s="329"/>
      <c r="R85" s="441"/>
      <c r="S85" s="295"/>
      <c r="T85" s="441"/>
      <c r="U85" s="280"/>
      <c r="V85" s="441"/>
      <c r="W85" s="280"/>
      <c r="X85" s="146"/>
      <c r="Y85" s="146"/>
      <c r="Z85" s="146"/>
      <c r="AA85" s="146"/>
      <c r="AB85" s="31" t="s">
        <v>116</v>
      </c>
      <c r="AC85" s="390" t="s">
        <v>117</v>
      </c>
      <c r="AD85" s="390" t="s">
        <v>118</v>
      </c>
      <c r="AE85" s="390" t="s">
        <v>119</v>
      </c>
      <c r="AF85" s="390" t="s">
        <v>120</v>
      </c>
      <c r="AG85" s="390" t="s">
        <v>121</v>
      </c>
    </row>
    <row r="86" spans="1:34" ht="12.6" customHeight="1" x14ac:dyDescent="0.2">
      <c r="A86" s="18"/>
      <c r="B86" s="659" t="s">
        <v>122</v>
      </c>
      <c r="C86" s="660"/>
      <c r="D86" s="660"/>
      <c r="E86" s="987"/>
      <c r="F86" s="1149"/>
      <c r="G86" s="1148"/>
      <c r="H86" s="1148"/>
      <c r="I86" s="1148"/>
      <c r="J86" s="258"/>
      <c r="K86" s="273"/>
      <c r="L86" s="473"/>
      <c r="M86" s="279"/>
      <c r="N86" s="549"/>
      <c r="O86" s="302"/>
      <c r="P86" s="310"/>
      <c r="Q86" s="297"/>
      <c r="R86" s="549"/>
      <c r="S86" s="252"/>
      <c r="T86" s="549"/>
      <c r="U86" s="279"/>
      <c r="V86" s="549"/>
      <c r="W86" s="279"/>
      <c r="X86" s="146"/>
      <c r="Y86" s="146"/>
      <c r="Z86" s="146"/>
      <c r="AA86" s="146"/>
      <c r="AB86" s="31" t="s">
        <v>123</v>
      </c>
      <c r="AC86" s="396" t="s">
        <v>124</v>
      </c>
      <c r="AD86" s="396" t="s">
        <v>125</v>
      </c>
      <c r="AE86" s="396" t="s">
        <v>126</v>
      </c>
    </row>
    <row r="87" spans="1:34" ht="12.6" customHeight="1" x14ac:dyDescent="0.25">
      <c r="A87" s="18"/>
      <c r="B87" s="647" t="s">
        <v>127</v>
      </c>
      <c r="C87" s="648"/>
      <c r="D87" s="648"/>
      <c r="E87" s="1005"/>
      <c r="F87" s="1149"/>
      <c r="G87" s="1148"/>
      <c r="H87" s="1148"/>
      <c r="I87" s="1148"/>
      <c r="J87" s="256"/>
      <c r="K87" s="272"/>
      <c r="L87" s="292"/>
      <c r="M87" s="280"/>
      <c r="N87" s="441"/>
      <c r="O87" s="301"/>
      <c r="P87" s="274"/>
      <c r="Q87" s="329"/>
      <c r="R87" s="441"/>
      <c r="S87" s="295"/>
      <c r="T87" s="441"/>
      <c r="U87" s="280"/>
      <c r="V87" s="441"/>
      <c r="W87" s="280"/>
      <c r="X87" s="1006"/>
      <c r="Y87" s="1007"/>
      <c r="Z87" s="1007"/>
      <c r="AA87" s="183"/>
      <c r="AB87" s="31" t="s">
        <v>128</v>
      </c>
      <c r="AC87" s="390" t="s">
        <v>129</v>
      </c>
      <c r="AD87" s="390" t="s">
        <v>130</v>
      </c>
      <c r="AE87" s="390" t="s">
        <v>131</v>
      </c>
      <c r="AF87" s="390" t="s">
        <v>132</v>
      </c>
      <c r="AG87" s="390" t="s">
        <v>133</v>
      </c>
      <c r="AH87" s="390" t="s">
        <v>134</v>
      </c>
    </row>
    <row r="88" spans="1:34" ht="12.6" customHeight="1" x14ac:dyDescent="0.25">
      <c r="A88" s="18"/>
      <c r="B88" s="659" t="s">
        <v>135</v>
      </c>
      <c r="C88" s="660"/>
      <c r="D88" s="660"/>
      <c r="E88" s="987"/>
      <c r="F88" s="1149"/>
      <c r="G88" s="1148"/>
      <c r="H88" s="1148"/>
      <c r="I88" s="1148"/>
      <c r="J88" s="258"/>
      <c r="K88" s="273"/>
      <c r="L88" s="473"/>
      <c r="M88" s="279"/>
      <c r="N88" s="549"/>
      <c r="O88" s="302"/>
      <c r="P88" s="310"/>
      <c r="Q88" s="297"/>
      <c r="R88" s="549"/>
      <c r="S88" s="252"/>
      <c r="T88" s="549"/>
      <c r="U88" s="279"/>
      <c r="V88" s="549"/>
      <c r="W88" s="279"/>
      <c r="X88" s="1006"/>
      <c r="Y88" s="1007"/>
      <c r="Z88" s="1007"/>
      <c r="AA88" s="183"/>
      <c r="AB88" s="392" t="s">
        <v>136</v>
      </c>
      <c r="AC88" s="63"/>
      <c r="AD88" s="63"/>
      <c r="AE88" s="63"/>
      <c r="AF88" s="63"/>
      <c r="AG88" s="63"/>
    </row>
    <row r="89" spans="1:34" ht="12.6" customHeight="1" x14ac:dyDescent="0.2">
      <c r="A89" s="18"/>
      <c r="B89" s="647" t="s">
        <v>137</v>
      </c>
      <c r="C89" s="648"/>
      <c r="D89" s="648"/>
      <c r="E89" s="1005"/>
      <c r="F89" s="1149"/>
      <c r="G89" s="1148"/>
      <c r="H89" s="1148"/>
      <c r="I89" s="1148"/>
      <c r="J89" s="256"/>
      <c r="K89" s="272"/>
      <c r="L89" s="292"/>
      <c r="M89" s="280"/>
      <c r="N89" s="441"/>
      <c r="O89" s="301"/>
      <c r="P89" s="274"/>
      <c r="Q89" s="329"/>
      <c r="R89" s="441"/>
      <c r="S89" s="295"/>
      <c r="T89" s="441"/>
      <c r="U89" s="280"/>
      <c r="V89" s="441"/>
      <c r="W89" s="280"/>
      <c r="X89" s="145"/>
      <c r="Y89" s="145"/>
      <c r="Z89" s="145"/>
      <c r="AA89" s="145"/>
      <c r="AB89" s="390" t="s">
        <v>138</v>
      </c>
      <c r="AC89" s="63"/>
      <c r="AD89" s="63"/>
      <c r="AE89" s="63"/>
      <c r="AF89" s="63"/>
      <c r="AG89" s="63"/>
    </row>
    <row r="90" spans="1:34" ht="12.6" customHeight="1" x14ac:dyDescent="0.2">
      <c r="A90" s="18"/>
      <c r="B90" s="659" t="s">
        <v>139</v>
      </c>
      <c r="C90" s="660"/>
      <c r="D90" s="660"/>
      <c r="E90" s="987"/>
      <c r="F90" s="1149"/>
      <c r="G90" s="1148"/>
      <c r="H90" s="1148"/>
      <c r="I90" s="1148"/>
      <c r="J90" s="258"/>
      <c r="K90" s="273"/>
      <c r="L90" s="473"/>
      <c r="M90" s="279"/>
      <c r="N90" s="549"/>
      <c r="O90" s="302"/>
      <c r="P90" s="310"/>
      <c r="Q90" s="302"/>
      <c r="R90" s="549"/>
      <c r="S90" s="302"/>
      <c r="T90" s="549"/>
      <c r="U90" s="279"/>
      <c r="V90" s="549"/>
      <c r="W90" s="279"/>
      <c r="X90" s="145"/>
      <c r="Y90" s="145"/>
      <c r="Z90" s="145"/>
      <c r="AA90" s="145"/>
      <c r="AB90" s="390" t="s">
        <v>140</v>
      </c>
      <c r="AC90" s="63"/>
      <c r="AD90" s="63"/>
      <c r="AE90" s="63"/>
      <c r="AF90" s="63"/>
      <c r="AG90" s="63"/>
    </row>
    <row r="91" spans="1:34" ht="12.6" customHeight="1" x14ac:dyDescent="0.2">
      <c r="A91" s="18"/>
      <c r="B91" s="647" t="s">
        <v>141</v>
      </c>
      <c r="C91" s="648"/>
      <c r="D91" s="648"/>
      <c r="E91" s="1005"/>
      <c r="F91" s="1150"/>
      <c r="G91" s="1151"/>
      <c r="H91" s="1151"/>
      <c r="I91" s="1151"/>
      <c r="J91" s="256"/>
      <c r="K91" s="272"/>
      <c r="L91" s="292"/>
      <c r="M91" s="280"/>
      <c r="N91" s="441"/>
      <c r="O91" s="340"/>
      <c r="P91" s="274"/>
      <c r="Q91" s="329"/>
      <c r="R91" s="93"/>
      <c r="S91" s="336"/>
      <c r="T91" s="441"/>
      <c r="U91" s="280"/>
      <c r="V91" s="441"/>
      <c r="W91" s="280"/>
      <c r="X91" s="129"/>
      <c r="Y91" s="129"/>
      <c r="Z91" s="129"/>
      <c r="AA91" s="129"/>
      <c r="AB91" s="393" t="s">
        <v>142</v>
      </c>
      <c r="AC91" s="390" t="s">
        <v>143</v>
      </c>
      <c r="AD91" s="390" t="s">
        <v>144</v>
      </c>
      <c r="AE91" s="390" t="s">
        <v>145</v>
      </c>
      <c r="AF91" s="390" t="s">
        <v>146</v>
      </c>
      <c r="AG91" s="390" t="s">
        <v>147</v>
      </c>
    </row>
    <row r="92" spans="1:34" ht="12.6" customHeight="1" x14ac:dyDescent="0.2">
      <c r="A92" s="18"/>
      <c r="B92" s="659" t="s">
        <v>453</v>
      </c>
      <c r="C92" s="660"/>
      <c r="D92" s="660"/>
      <c r="E92" s="660"/>
      <c r="F92" s="279"/>
      <c r="G92" s="297"/>
      <c r="H92" s="258"/>
      <c r="I92" s="556"/>
      <c r="J92" s="549"/>
      <c r="K92" s="279"/>
      <c r="L92" s="549"/>
      <c r="M92" s="279"/>
      <c r="N92" s="549"/>
      <c r="O92" s="279"/>
      <c r="P92" s="549"/>
      <c r="Q92" s="279"/>
      <c r="R92" s="549"/>
      <c r="S92" s="279"/>
      <c r="T92" s="549"/>
      <c r="U92" s="279"/>
      <c r="V92" s="70"/>
      <c r="W92" s="334"/>
      <c r="X92" s="156"/>
      <c r="Y92" s="132"/>
      <c r="Z92" s="132"/>
      <c r="AA92" s="135"/>
      <c r="AB92" s="391">
        <v>117</v>
      </c>
    </row>
    <row r="93" spans="1:34" ht="12.6" customHeight="1" x14ac:dyDescent="0.2">
      <c r="A93" s="18"/>
      <c r="B93" s="661" t="s">
        <v>471</v>
      </c>
      <c r="C93" s="694"/>
      <c r="D93" s="694"/>
      <c r="E93" s="695"/>
      <c r="F93" s="280"/>
      <c r="G93" s="329"/>
      <c r="H93" s="256"/>
      <c r="I93" s="272"/>
      <c r="J93" s="441"/>
      <c r="K93" s="280"/>
      <c r="L93" s="441"/>
      <c r="M93" s="280"/>
      <c r="N93" s="441"/>
      <c r="O93" s="280"/>
      <c r="P93" s="441"/>
      <c r="Q93" s="280"/>
      <c r="R93" s="441"/>
      <c r="S93" s="280"/>
      <c r="T93" s="441"/>
      <c r="U93" s="280"/>
      <c r="V93" s="87"/>
      <c r="W93" s="333"/>
      <c r="X93" s="156"/>
      <c r="Y93" s="132"/>
      <c r="Z93" s="132"/>
      <c r="AA93" s="135"/>
      <c r="AB93" s="391"/>
    </row>
    <row r="94" spans="1:34" ht="12.6" customHeight="1" x14ac:dyDescent="0.2">
      <c r="A94" s="18"/>
      <c r="B94" s="659" t="s">
        <v>454</v>
      </c>
      <c r="C94" s="660"/>
      <c r="D94" s="660"/>
      <c r="E94" s="660"/>
      <c r="F94" s="279"/>
      <c r="G94" s="297"/>
      <c r="H94" s="258"/>
      <c r="I94" s="273"/>
      <c r="J94" s="549"/>
      <c r="K94" s="279"/>
      <c r="L94" s="549"/>
      <c r="M94" s="279"/>
      <c r="N94" s="549"/>
      <c r="O94" s="279"/>
      <c r="P94" s="549"/>
      <c r="Q94" s="279"/>
      <c r="R94" s="549"/>
      <c r="S94" s="279"/>
      <c r="T94" s="549"/>
      <c r="U94" s="279"/>
      <c r="V94" s="70"/>
      <c r="W94" s="334"/>
      <c r="X94" s="156"/>
      <c r="Y94" s="132"/>
      <c r="Z94" s="132"/>
      <c r="AA94" s="135"/>
      <c r="AB94" s="391">
        <v>129</v>
      </c>
    </row>
    <row r="95" spans="1:34" ht="12.6" customHeight="1" x14ac:dyDescent="0.2">
      <c r="A95" s="102"/>
      <c r="B95" s="861" t="s">
        <v>380</v>
      </c>
      <c r="C95" s="1119"/>
      <c r="D95" s="1119"/>
      <c r="E95" s="1119"/>
      <c r="F95" s="512">
        <v>480</v>
      </c>
      <c r="G95" s="520">
        <f t="shared" ref="G95:G100" si="171">+F95*$X$1</f>
        <v>480</v>
      </c>
      <c r="H95" s="514"/>
      <c r="I95" s="514"/>
      <c r="J95" s="629">
        <f>F95+200</f>
        <v>680</v>
      </c>
      <c r="K95" s="630">
        <f>+J95*$X$1</f>
        <v>680</v>
      </c>
      <c r="L95" s="631">
        <f>F95+150</f>
        <v>630</v>
      </c>
      <c r="M95" s="630">
        <f t="shared" ref="M95:M97" si="172">+L95*$X$1</f>
        <v>630</v>
      </c>
      <c r="N95" s="521">
        <f>F95+7.2</f>
        <v>487.2</v>
      </c>
      <c r="O95" s="1000" t="s">
        <v>148</v>
      </c>
      <c r="P95" s="1001"/>
      <c r="Q95" s="1001"/>
      <c r="R95" s="1001"/>
      <c r="S95" s="1001"/>
      <c r="T95" s="1001"/>
      <c r="U95" s="1001"/>
      <c r="V95" s="1001"/>
      <c r="W95" s="1001"/>
      <c r="X95" s="157"/>
      <c r="Y95" s="132"/>
      <c r="Z95" s="132"/>
      <c r="AA95" s="135"/>
      <c r="AB95" s="397">
        <v>247</v>
      </c>
    </row>
    <row r="96" spans="1:34" ht="12.6" customHeight="1" x14ac:dyDescent="0.2">
      <c r="A96" s="95"/>
      <c r="B96" s="661" t="s">
        <v>485</v>
      </c>
      <c r="C96" s="694"/>
      <c r="D96" s="694"/>
      <c r="E96" s="695"/>
      <c r="F96" s="366">
        <f>2.631*X2</f>
        <v>2862.5279999999998</v>
      </c>
      <c r="G96" s="301">
        <f>+F96*$X$1</f>
        <v>2862.5279999999998</v>
      </c>
      <c r="H96" s="272"/>
      <c r="I96" s="272"/>
      <c r="J96" s="87">
        <f>F96+200</f>
        <v>3062.5279999999998</v>
      </c>
      <c r="K96" s="280">
        <f t="shared" ref="K96" si="173">+J96*$X$1</f>
        <v>3062.5279999999998</v>
      </c>
      <c r="L96" s="441">
        <f t="shared" ref="L96" si="174">F96+150</f>
        <v>3012.5279999999998</v>
      </c>
      <c r="M96" s="280">
        <f t="shared" si="172"/>
        <v>3012.5279999999998</v>
      </c>
      <c r="N96" s="441">
        <f t="shared" ref="N96" si="175">F96+110</f>
        <v>2972.5279999999998</v>
      </c>
      <c r="O96" s="280">
        <f t="shared" ref="O96" si="176">+N96*$X$1</f>
        <v>2972.5279999999998</v>
      </c>
      <c r="P96" s="441">
        <f t="shared" ref="P96" si="177">F96+100</f>
        <v>2962.5279999999998</v>
      </c>
      <c r="Q96" s="280">
        <f t="shared" ref="Q96" si="178">+P96*$X$1</f>
        <v>2962.5279999999998</v>
      </c>
      <c r="R96" s="441">
        <f t="shared" ref="R96" si="179">F96+80</f>
        <v>2942.5279999999998</v>
      </c>
      <c r="S96" s="280">
        <f t="shared" ref="S96" si="180">+R96*$X$1</f>
        <v>2942.5279999999998</v>
      </c>
      <c r="T96" s="441">
        <f t="shared" ref="T96" si="181">F96+65</f>
        <v>2927.5279999999998</v>
      </c>
      <c r="U96" s="280">
        <f t="shared" ref="U96" si="182">+T96*$X$1</f>
        <v>2927.5279999999998</v>
      </c>
      <c r="V96" s="441">
        <f t="shared" ref="V96" si="183">F96+56</f>
        <v>2918.5279999999998</v>
      </c>
      <c r="W96" s="280">
        <f t="shared" ref="W96" si="184">+V96*$X$1</f>
        <v>2918.5279999999998</v>
      </c>
      <c r="X96" s="157"/>
      <c r="Y96" s="132"/>
      <c r="Z96" s="132"/>
      <c r="AA96" s="135"/>
      <c r="AB96" s="397">
        <v>249</v>
      </c>
    </row>
    <row r="97" spans="1:29" ht="12.6" customHeight="1" x14ac:dyDescent="0.2">
      <c r="A97" s="102"/>
      <c r="B97" s="749" t="s">
        <v>379</v>
      </c>
      <c r="C97" s="750"/>
      <c r="D97" s="750"/>
      <c r="E97" s="750"/>
      <c r="F97" s="513">
        <v>120</v>
      </c>
      <c r="G97" s="518">
        <f t="shared" si="171"/>
        <v>120</v>
      </c>
      <c r="H97" s="519"/>
      <c r="I97" s="519"/>
      <c r="J97" s="515">
        <f>F97+260</f>
        <v>380</v>
      </c>
      <c r="K97" s="513">
        <f t="shared" ref="K97" si="185">+J97*$X$1</f>
        <v>380</v>
      </c>
      <c r="L97" s="607">
        <f>F97+200</f>
        <v>320</v>
      </c>
      <c r="M97" s="513">
        <f t="shared" si="172"/>
        <v>320</v>
      </c>
      <c r="N97" s="607">
        <f>F97+200</f>
        <v>320</v>
      </c>
      <c r="O97" s="513">
        <f t="shared" ref="O97" si="186">+N97*$X$1</f>
        <v>320</v>
      </c>
      <c r="P97" s="607">
        <f>F97+170</f>
        <v>290</v>
      </c>
      <c r="Q97" s="513">
        <f t="shared" ref="Q97" si="187">+P97*$X$1</f>
        <v>290</v>
      </c>
      <c r="R97" s="607">
        <f>F97+140</f>
        <v>260</v>
      </c>
      <c r="S97" s="513">
        <f t="shared" ref="S97" si="188">+R97*$X$1</f>
        <v>260</v>
      </c>
      <c r="T97" s="607">
        <f>F97+120</f>
        <v>240</v>
      </c>
      <c r="U97" s="513">
        <f t="shared" ref="U97" si="189">+T97*$X$1</f>
        <v>240</v>
      </c>
      <c r="V97" s="607">
        <f>F97+100</f>
        <v>220</v>
      </c>
      <c r="W97" s="513">
        <f t="shared" ref="W97" si="190">+V97*$X$1</f>
        <v>220</v>
      </c>
      <c r="X97" s="158"/>
      <c r="Y97" s="132"/>
      <c r="Z97" s="132"/>
      <c r="AA97" s="135"/>
      <c r="AB97" s="398">
        <v>251</v>
      </c>
    </row>
    <row r="98" spans="1:29" ht="12.6" customHeight="1" x14ac:dyDescent="0.2">
      <c r="A98" s="18"/>
      <c r="B98" s="647" t="s">
        <v>351</v>
      </c>
      <c r="C98" s="648"/>
      <c r="D98" s="648"/>
      <c r="E98" s="648"/>
      <c r="F98" s="280">
        <v>690</v>
      </c>
      <c r="G98" s="280">
        <f t="shared" si="171"/>
        <v>690</v>
      </c>
      <c r="H98" s="272"/>
      <c r="I98" s="272"/>
      <c r="J98" s="113">
        <f t="shared" ref="J98:J105" si="191">F98+200</f>
        <v>890</v>
      </c>
      <c r="K98" s="280">
        <f t="shared" ref="K98:K102" si="192">+J98*$X$1</f>
        <v>890</v>
      </c>
      <c r="L98" s="441"/>
      <c r="M98" s="441"/>
      <c r="N98" s="441">
        <f>F98+23</f>
        <v>713</v>
      </c>
      <c r="O98" s="441"/>
      <c r="P98" s="272"/>
      <c r="Q98" s="272"/>
      <c r="R98" s="441">
        <f>F98+15</f>
        <v>705</v>
      </c>
      <c r="S98" s="441"/>
      <c r="T98" s="441">
        <f>F98+12</f>
        <v>702</v>
      </c>
      <c r="U98" s="441"/>
      <c r="V98" s="441">
        <f>F98+10</f>
        <v>700</v>
      </c>
      <c r="W98" s="441"/>
      <c r="X98" s="158"/>
      <c r="Y98" s="132"/>
      <c r="Z98" s="132"/>
      <c r="AA98" s="135"/>
      <c r="AB98" s="398" t="s">
        <v>149</v>
      </c>
    </row>
    <row r="99" spans="1:29" ht="12.6" customHeight="1" x14ac:dyDescent="0.2">
      <c r="A99" s="18"/>
      <c r="B99" s="664" t="s">
        <v>475</v>
      </c>
      <c r="C99" s="665"/>
      <c r="D99" s="665"/>
      <c r="E99" s="666"/>
      <c r="F99" s="365">
        <f>12.04*X2</f>
        <v>13099.519999999999</v>
      </c>
      <c r="G99" s="279">
        <f t="shared" si="171"/>
        <v>13099.519999999999</v>
      </c>
      <c r="H99" s="610">
        <f>F99+600</f>
        <v>13699.519999999999</v>
      </c>
      <c r="I99" s="279">
        <f t="shared" ref="I99:I104" si="193">+H99*$X$1</f>
        <v>13699.519999999999</v>
      </c>
      <c r="J99" s="70">
        <f t="shared" si="191"/>
        <v>13299.519999999999</v>
      </c>
      <c r="K99" s="279">
        <f t="shared" si="192"/>
        <v>13299.519999999999</v>
      </c>
      <c r="L99" s="610">
        <f t="shared" ref="L99:L102" si="194">F99+150</f>
        <v>13249.519999999999</v>
      </c>
      <c r="M99" s="279">
        <f t="shared" ref="M99:M102" si="195">+L99*$X$1</f>
        <v>13249.519999999999</v>
      </c>
      <c r="N99" s="610">
        <f t="shared" ref="N99:N102" si="196">F99+110</f>
        <v>13209.519999999999</v>
      </c>
      <c r="O99" s="279">
        <f t="shared" ref="O99:O102" si="197">+N99*$X$1</f>
        <v>13209.519999999999</v>
      </c>
      <c r="P99" s="610">
        <f t="shared" ref="P99:P102" si="198">F99+100</f>
        <v>13199.519999999999</v>
      </c>
      <c r="Q99" s="279">
        <f t="shared" ref="Q99:Q102" si="199">+P99*$X$1</f>
        <v>13199.519999999999</v>
      </c>
      <c r="R99" s="610">
        <f t="shared" ref="R99:R102" si="200">F99+80</f>
        <v>13179.519999999999</v>
      </c>
      <c r="S99" s="279">
        <f t="shared" ref="S99:S102" si="201">+R99*$X$1</f>
        <v>13179.519999999999</v>
      </c>
      <c r="T99" s="610">
        <f t="shared" ref="T99:T102" si="202">F99+65</f>
        <v>13164.519999999999</v>
      </c>
      <c r="U99" s="279">
        <f t="shared" ref="U99:U102" si="203">+T99*$X$1</f>
        <v>13164.519999999999</v>
      </c>
      <c r="V99" s="610">
        <f t="shared" ref="V99:V102" si="204">F99+56</f>
        <v>13155.519999999999</v>
      </c>
      <c r="W99" s="279">
        <f t="shared" ref="W99:W102" si="205">+V99*$X$1</f>
        <v>13155.519999999999</v>
      </c>
      <c r="X99" s="159"/>
      <c r="Y99" s="132"/>
      <c r="Z99" s="132"/>
      <c r="AA99" s="135"/>
      <c r="AB99" s="398">
        <v>268</v>
      </c>
    </row>
    <row r="100" spans="1:29" ht="12.6" customHeight="1" x14ac:dyDescent="0.2">
      <c r="A100" s="18"/>
      <c r="B100" s="647" t="s">
        <v>643</v>
      </c>
      <c r="C100" s="648"/>
      <c r="D100" s="648"/>
      <c r="E100" s="648"/>
      <c r="F100" s="366">
        <f>4.49*X2</f>
        <v>4885.12</v>
      </c>
      <c r="G100" s="280">
        <f t="shared" si="171"/>
        <v>4885.12</v>
      </c>
      <c r="H100" s="610">
        <f t="shared" ref="H100:H102" si="206">F100+600</f>
        <v>5485.12</v>
      </c>
      <c r="I100" s="280">
        <f t="shared" si="193"/>
        <v>5485.12</v>
      </c>
      <c r="J100" s="87">
        <f t="shared" si="191"/>
        <v>5085.12</v>
      </c>
      <c r="K100" s="280">
        <f t="shared" si="192"/>
        <v>5085.12</v>
      </c>
      <c r="L100" s="441">
        <f t="shared" si="194"/>
        <v>5035.12</v>
      </c>
      <c r="M100" s="280">
        <f t="shared" si="195"/>
        <v>5035.12</v>
      </c>
      <c r="N100" s="441">
        <f t="shared" si="196"/>
        <v>4995.12</v>
      </c>
      <c r="O100" s="280">
        <f t="shared" si="197"/>
        <v>4995.12</v>
      </c>
      <c r="P100" s="441">
        <f t="shared" si="198"/>
        <v>4985.12</v>
      </c>
      <c r="Q100" s="280">
        <f t="shared" si="199"/>
        <v>4985.12</v>
      </c>
      <c r="R100" s="441">
        <f t="shared" si="200"/>
        <v>4965.12</v>
      </c>
      <c r="S100" s="280">
        <f t="shared" si="201"/>
        <v>4965.12</v>
      </c>
      <c r="T100" s="441">
        <f t="shared" si="202"/>
        <v>4950.12</v>
      </c>
      <c r="U100" s="280">
        <f t="shared" si="203"/>
        <v>4950.12</v>
      </c>
      <c r="V100" s="441">
        <f t="shared" si="204"/>
        <v>4941.12</v>
      </c>
      <c r="W100" s="280">
        <f t="shared" si="205"/>
        <v>4941.12</v>
      </c>
      <c r="X100" s="159"/>
      <c r="Y100" s="136"/>
      <c r="Z100" s="132"/>
      <c r="AA100" s="135"/>
      <c r="AB100" s="398">
        <v>270</v>
      </c>
      <c r="AC100" s="30"/>
    </row>
    <row r="101" spans="1:29" ht="12.6" customHeight="1" x14ac:dyDescent="0.2">
      <c r="A101" s="18"/>
      <c r="B101" s="659" t="s">
        <v>150</v>
      </c>
      <c r="C101" s="660"/>
      <c r="D101" s="660"/>
      <c r="E101" s="660"/>
      <c r="F101" s="365">
        <f>13.1*X2</f>
        <v>14252.8</v>
      </c>
      <c r="G101" s="279">
        <f t="shared" ref="G101:G102" si="207">+F101*$X$1</f>
        <v>14252.8</v>
      </c>
      <c r="H101" s="610">
        <f t="shared" si="206"/>
        <v>14852.8</v>
      </c>
      <c r="I101" s="279">
        <f t="shared" si="193"/>
        <v>14852.8</v>
      </c>
      <c r="J101" s="70">
        <f t="shared" si="191"/>
        <v>14452.8</v>
      </c>
      <c r="K101" s="279">
        <f t="shared" si="192"/>
        <v>14452.8</v>
      </c>
      <c r="L101" s="610">
        <f t="shared" si="194"/>
        <v>14402.8</v>
      </c>
      <c r="M101" s="279">
        <f t="shared" si="195"/>
        <v>14402.8</v>
      </c>
      <c r="N101" s="610">
        <f t="shared" si="196"/>
        <v>14362.8</v>
      </c>
      <c r="O101" s="279">
        <f t="shared" si="197"/>
        <v>14362.8</v>
      </c>
      <c r="P101" s="610">
        <f t="shared" si="198"/>
        <v>14352.8</v>
      </c>
      <c r="Q101" s="279">
        <f t="shared" si="199"/>
        <v>14352.8</v>
      </c>
      <c r="R101" s="610">
        <f t="shared" si="200"/>
        <v>14332.8</v>
      </c>
      <c r="S101" s="279">
        <f t="shared" si="201"/>
        <v>14332.8</v>
      </c>
      <c r="T101" s="610">
        <f t="shared" si="202"/>
        <v>14317.8</v>
      </c>
      <c r="U101" s="279">
        <f t="shared" si="203"/>
        <v>14317.8</v>
      </c>
      <c r="V101" s="610">
        <f t="shared" si="204"/>
        <v>14308.8</v>
      </c>
      <c r="W101" s="279">
        <f t="shared" si="205"/>
        <v>14308.8</v>
      </c>
      <c r="X101" s="158"/>
      <c r="Y101" s="132"/>
      <c r="Z101" s="132"/>
      <c r="AA101" s="135"/>
      <c r="AB101" s="398">
        <v>273</v>
      </c>
      <c r="AC101" s="30"/>
    </row>
    <row r="102" spans="1:29" ht="12.6" customHeight="1" x14ac:dyDescent="0.2">
      <c r="A102" s="18"/>
      <c r="B102" s="647" t="s">
        <v>151</v>
      </c>
      <c r="C102" s="648"/>
      <c r="D102" s="648"/>
      <c r="E102" s="648"/>
      <c r="F102" s="366">
        <f>8.7*X2</f>
        <v>9465.5999999999985</v>
      </c>
      <c r="G102" s="280">
        <f t="shared" si="207"/>
        <v>9465.5999999999985</v>
      </c>
      <c r="H102" s="610">
        <f t="shared" si="206"/>
        <v>10065.599999999999</v>
      </c>
      <c r="I102" s="280">
        <f t="shared" si="193"/>
        <v>10065.599999999999</v>
      </c>
      <c r="J102" s="87">
        <f t="shared" si="191"/>
        <v>9665.5999999999985</v>
      </c>
      <c r="K102" s="280">
        <f t="shared" si="192"/>
        <v>9665.5999999999985</v>
      </c>
      <c r="L102" s="441">
        <f t="shared" si="194"/>
        <v>9615.5999999999985</v>
      </c>
      <c r="M102" s="280">
        <f t="shared" si="195"/>
        <v>9615.5999999999985</v>
      </c>
      <c r="N102" s="441">
        <f t="shared" si="196"/>
        <v>9575.5999999999985</v>
      </c>
      <c r="O102" s="280">
        <f t="shared" si="197"/>
        <v>9575.5999999999985</v>
      </c>
      <c r="P102" s="441">
        <f t="shared" si="198"/>
        <v>9565.5999999999985</v>
      </c>
      <c r="Q102" s="280">
        <f t="shared" si="199"/>
        <v>9565.5999999999985</v>
      </c>
      <c r="R102" s="441">
        <f t="shared" si="200"/>
        <v>9545.5999999999985</v>
      </c>
      <c r="S102" s="280">
        <f t="shared" si="201"/>
        <v>9545.5999999999985</v>
      </c>
      <c r="T102" s="441">
        <f t="shared" si="202"/>
        <v>9530.5999999999985</v>
      </c>
      <c r="U102" s="280">
        <f t="shared" si="203"/>
        <v>9530.5999999999985</v>
      </c>
      <c r="V102" s="441">
        <f t="shared" si="204"/>
        <v>9521.5999999999985</v>
      </c>
      <c r="W102" s="280">
        <f t="shared" si="205"/>
        <v>9521.5999999999985</v>
      </c>
      <c r="X102" s="159"/>
      <c r="Y102" s="136"/>
      <c r="Z102" s="132"/>
      <c r="AA102" s="135"/>
      <c r="AB102" s="398">
        <v>278</v>
      </c>
      <c r="AC102" s="30"/>
    </row>
    <row r="103" spans="1:29" ht="12.6" customHeight="1" x14ac:dyDescent="0.2">
      <c r="A103" s="18"/>
      <c r="B103" s="649" t="s">
        <v>955</v>
      </c>
      <c r="C103" s="650"/>
      <c r="D103" s="650"/>
      <c r="E103" s="650"/>
      <c r="F103" s="365">
        <f>1.55*X2</f>
        <v>1686.4</v>
      </c>
      <c r="G103" s="279">
        <f>+F103*$X$1</f>
        <v>1686.4</v>
      </c>
      <c r="H103" s="70"/>
      <c r="I103" s="279"/>
      <c r="J103" s="70">
        <f t="shared" si="191"/>
        <v>1886.4</v>
      </c>
      <c r="K103" s="279">
        <f t="shared" ref="K103:K105" si="208">+J103*$X$1</f>
        <v>1886.4</v>
      </c>
      <c r="L103" s="610">
        <f t="shared" ref="L103:L105" si="209">F103+150</f>
        <v>1836.4</v>
      </c>
      <c r="M103" s="279">
        <f t="shared" ref="M103:M105" si="210">+L103*$X$1</f>
        <v>1836.4</v>
      </c>
      <c r="N103" s="610">
        <f t="shared" ref="N103:N105" si="211">F103+110</f>
        <v>1796.4</v>
      </c>
      <c r="O103" s="279">
        <f t="shared" ref="O103:O105" si="212">+N103*$X$1</f>
        <v>1796.4</v>
      </c>
      <c r="P103" s="610">
        <f t="shared" ref="P103:P105" si="213">F103+100</f>
        <v>1786.4</v>
      </c>
      <c r="Q103" s="279">
        <f t="shared" ref="Q103:Q105" si="214">+P103*$X$1</f>
        <v>1786.4</v>
      </c>
      <c r="R103" s="610">
        <f t="shared" ref="R103:R105" si="215">F103+80</f>
        <v>1766.4</v>
      </c>
      <c r="S103" s="279">
        <f t="shared" ref="S103:S105" si="216">+R103*$X$1</f>
        <v>1766.4</v>
      </c>
      <c r="T103" s="610">
        <f t="shared" ref="T103:T105" si="217">F103+65</f>
        <v>1751.4</v>
      </c>
      <c r="U103" s="279">
        <f t="shared" ref="U103:U105" si="218">+T103*$X$1</f>
        <v>1751.4</v>
      </c>
      <c r="V103" s="610">
        <f t="shared" ref="V103:V105" si="219">F103+56</f>
        <v>1742.4</v>
      </c>
      <c r="W103" s="279">
        <f t="shared" ref="W103:W105" si="220">+V103*$X$1</f>
        <v>1742.4</v>
      </c>
      <c r="X103" s="156"/>
      <c r="Y103" s="136"/>
      <c r="Z103" s="132"/>
      <c r="AA103" s="135"/>
      <c r="AB103" s="398">
        <v>285</v>
      </c>
      <c r="AC103" s="30"/>
    </row>
    <row r="104" spans="1:29" ht="12.6" customHeight="1" x14ac:dyDescent="0.2">
      <c r="A104" s="18"/>
      <c r="B104" s="1003" t="s">
        <v>152</v>
      </c>
      <c r="C104" s="1004"/>
      <c r="D104" s="1004"/>
      <c r="E104" s="1004"/>
      <c r="F104" s="366">
        <f>2.03*X2</f>
        <v>2208.64</v>
      </c>
      <c r="G104" s="280">
        <f>+F104*$X$1</f>
        <v>2208.64</v>
      </c>
      <c r="H104" s="441">
        <f>F104+600</f>
        <v>2808.64</v>
      </c>
      <c r="I104" s="280">
        <f t="shared" si="193"/>
        <v>2808.64</v>
      </c>
      <c r="J104" s="87">
        <f t="shared" si="191"/>
        <v>2408.64</v>
      </c>
      <c r="K104" s="280">
        <f t="shared" si="208"/>
        <v>2408.64</v>
      </c>
      <c r="L104" s="441">
        <f t="shared" si="209"/>
        <v>2358.64</v>
      </c>
      <c r="M104" s="280">
        <f t="shared" si="210"/>
        <v>2358.64</v>
      </c>
      <c r="N104" s="441">
        <f t="shared" si="211"/>
        <v>2318.64</v>
      </c>
      <c r="O104" s="280">
        <f t="shared" si="212"/>
        <v>2318.64</v>
      </c>
      <c r="P104" s="441">
        <f t="shared" si="213"/>
        <v>2308.64</v>
      </c>
      <c r="Q104" s="280">
        <f t="shared" si="214"/>
        <v>2308.64</v>
      </c>
      <c r="R104" s="441">
        <f t="shared" si="215"/>
        <v>2288.64</v>
      </c>
      <c r="S104" s="280">
        <f t="shared" si="216"/>
        <v>2288.64</v>
      </c>
      <c r="T104" s="441">
        <f t="shared" si="217"/>
        <v>2273.64</v>
      </c>
      <c r="U104" s="280">
        <f t="shared" si="218"/>
        <v>2273.64</v>
      </c>
      <c r="V104" s="441">
        <f t="shared" si="219"/>
        <v>2264.64</v>
      </c>
      <c r="W104" s="280">
        <f t="shared" si="220"/>
        <v>2264.64</v>
      </c>
      <c r="X104" s="156"/>
      <c r="Y104" s="136"/>
      <c r="Z104" s="132"/>
      <c r="AA104" s="135"/>
      <c r="AB104" s="398">
        <v>288</v>
      </c>
      <c r="AC104" s="30"/>
    </row>
    <row r="105" spans="1:29" ht="12.6" customHeight="1" x14ac:dyDescent="0.2">
      <c r="A105" s="18"/>
      <c r="B105" s="659" t="s">
        <v>153</v>
      </c>
      <c r="C105" s="660"/>
      <c r="D105" s="660"/>
      <c r="E105" s="660"/>
      <c r="F105" s="279">
        <v>426</v>
      </c>
      <c r="G105" s="279">
        <f>+F105*$X$1</f>
        <v>426</v>
      </c>
      <c r="H105" s="70"/>
      <c r="I105" s="279"/>
      <c r="J105" s="70">
        <f t="shared" si="191"/>
        <v>626</v>
      </c>
      <c r="K105" s="279">
        <f t="shared" si="208"/>
        <v>626</v>
      </c>
      <c r="L105" s="610">
        <f t="shared" si="209"/>
        <v>576</v>
      </c>
      <c r="M105" s="279">
        <f t="shared" si="210"/>
        <v>576</v>
      </c>
      <c r="N105" s="610">
        <f t="shared" si="211"/>
        <v>536</v>
      </c>
      <c r="O105" s="279">
        <f t="shared" si="212"/>
        <v>536</v>
      </c>
      <c r="P105" s="610">
        <f t="shared" si="213"/>
        <v>526</v>
      </c>
      <c r="Q105" s="279">
        <f t="shared" si="214"/>
        <v>526</v>
      </c>
      <c r="R105" s="610">
        <f t="shared" si="215"/>
        <v>506</v>
      </c>
      <c r="S105" s="279">
        <f t="shared" si="216"/>
        <v>506</v>
      </c>
      <c r="T105" s="610">
        <f t="shared" si="217"/>
        <v>491</v>
      </c>
      <c r="U105" s="279">
        <f t="shared" si="218"/>
        <v>491</v>
      </c>
      <c r="V105" s="610">
        <f t="shared" si="219"/>
        <v>482</v>
      </c>
      <c r="W105" s="279">
        <f t="shared" si="220"/>
        <v>482</v>
      </c>
      <c r="X105" s="156"/>
      <c r="Y105" s="136"/>
      <c r="Z105" s="132"/>
      <c r="AA105" s="135"/>
      <c r="AB105" s="398">
        <v>289</v>
      </c>
      <c r="AC105" s="30"/>
    </row>
    <row r="106" spans="1:29" ht="12.6" customHeight="1" x14ac:dyDescent="0.2">
      <c r="A106" s="18"/>
      <c r="B106" s="647" t="s">
        <v>154</v>
      </c>
      <c r="C106" s="648"/>
      <c r="D106" s="648"/>
      <c r="E106" s="648"/>
      <c r="F106" s="280"/>
      <c r="G106" s="988" t="s">
        <v>978</v>
      </c>
      <c r="H106" s="989"/>
      <c r="I106" s="989"/>
      <c r="J106" s="989"/>
      <c r="K106" s="989"/>
      <c r="L106" s="989"/>
      <c r="M106" s="989"/>
      <c r="N106" s="614">
        <v>750</v>
      </c>
      <c r="O106" s="280">
        <f t="shared" ref="O106:Q109" si="221">+N106*$X$1</f>
        <v>750</v>
      </c>
      <c r="P106" s="274">
        <v>724</v>
      </c>
      <c r="Q106" s="280">
        <f t="shared" si="221"/>
        <v>724</v>
      </c>
      <c r="R106" s="111">
        <v>664</v>
      </c>
      <c r="S106" s="295">
        <f t="shared" ref="S106:S109" si="222">+R106*$X$1</f>
        <v>664</v>
      </c>
      <c r="T106" s="100">
        <v>625</v>
      </c>
      <c r="U106" s="295">
        <f t="shared" ref="U106:U109" si="223">+T106*$X$1</f>
        <v>625</v>
      </c>
      <c r="V106" s="100">
        <v>534</v>
      </c>
      <c r="W106" s="295">
        <f t="shared" ref="W106:W109" si="224">+V106*$X$1</f>
        <v>534</v>
      </c>
      <c r="X106" s="981"/>
      <c r="Y106" s="982"/>
      <c r="Z106" s="982"/>
      <c r="AA106" s="983"/>
      <c r="AB106" s="398">
        <v>290</v>
      </c>
    </row>
    <row r="107" spans="1:29" ht="12.6" customHeight="1" x14ac:dyDescent="0.2">
      <c r="A107" s="18"/>
      <c r="B107" s="659" t="s">
        <v>391</v>
      </c>
      <c r="C107" s="660"/>
      <c r="D107" s="660"/>
      <c r="E107" s="660"/>
      <c r="F107" s="279"/>
      <c r="G107" s="988" t="s">
        <v>569</v>
      </c>
      <c r="H107" s="989"/>
      <c r="I107" s="989"/>
      <c r="J107" s="989"/>
      <c r="K107" s="989"/>
      <c r="L107" s="989"/>
      <c r="M107" s="990"/>
      <c r="N107" s="609">
        <v>910</v>
      </c>
      <c r="O107" s="279">
        <f t="shared" si="221"/>
        <v>910</v>
      </c>
      <c r="P107" s="275">
        <v>875</v>
      </c>
      <c r="Q107" s="279">
        <f t="shared" si="221"/>
        <v>875</v>
      </c>
      <c r="R107" s="385">
        <v>805</v>
      </c>
      <c r="S107" s="252">
        <f t="shared" si="222"/>
        <v>805</v>
      </c>
      <c r="T107" s="610">
        <v>757</v>
      </c>
      <c r="U107" s="252">
        <f t="shared" si="223"/>
        <v>757</v>
      </c>
      <c r="V107" s="610">
        <v>647</v>
      </c>
      <c r="W107" s="252">
        <f t="shared" si="224"/>
        <v>647</v>
      </c>
      <c r="X107" s="981"/>
      <c r="Y107" s="982"/>
      <c r="Z107" s="982"/>
      <c r="AA107" s="983"/>
      <c r="AB107" s="398" t="s">
        <v>155</v>
      </c>
    </row>
    <row r="108" spans="1:29" ht="12.6" customHeight="1" x14ac:dyDescent="0.2">
      <c r="A108" s="18"/>
      <c r="B108" s="647" t="s">
        <v>392</v>
      </c>
      <c r="C108" s="648"/>
      <c r="D108" s="648"/>
      <c r="E108" s="648"/>
      <c r="F108" s="280"/>
      <c r="G108" s="988" t="s">
        <v>568</v>
      </c>
      <c r="H108" s="989"/>
      <c r="I108" s="989"/>
      <c r="J108" s="989"/>
      <c r="K108" s="989"/>
      <c r="L108" s="989"/>
      <c r="M108" s="990"/>
      <c r="N108" s="274">
        <v>930</v>
      </c>
      <c r="O108" s="280">
        <f t="shared" ref="O108:O109" si="225">+N108*$X$1</f>
        <v>930</v>
      </c>
      <c r="P108" s="274">
        <v>903</v>
      </c>
      <c r="Q108" s="280">
        <f t="shared" si="221"/>
        <v>903</v>
      </c>
      <c r="R108" s="611">
        <v>831</v>
      </c>
      <c r="S108" s="295">
        <f t="shared" si="222"/>
        <v>831</v>
      </c>
      <c r="T108" s="441">
        <v>782</v>
      </c>
      <c r="U108" s="295">
        <f t="shared" si="223"/>
        <v>782</v>
      </c>
      <c r="V108" s="441">
        <v>667</v>
      </c>
      <c r="W108" s="295">
        <f t="shared" si="224"/>
        <v>667</v>
      </c>
      <c r="X108" s="981"/>
      <c r="Y108" s="982"/>
      <c r="Z108" s="982"/>
      <c r="AA108" s="983"/>
      <c r="AB108" s="398">
        <v>291</v>
      </c>
    </row>
    <row r="109" spans="1:29" ht="12.6" customHeight="1" x14ac:dyDescent="0.2">
      <c r="A109" s="18"/>
      <c r="B109" s="659" t="s">
        <v>393</v>
      </c>
      <c r="C109" s="660"/>
      <c r="D109" s="660"/>
      <c r="E109" s="660"/>
      <c r="F109" s="279"/>
      <c r="G109" s="988" t="s">
        <v>569</v>
      </c>
      <c r="H109" s="989"/>
      <c r="I109" s="989"/>
      <c r="J109" s="989"/>
      <c r="K109" s="989"/>
      <c r="L109" s="989"/>
      <c r="M109" s="990"/>
      <c r="N109" s="275">
        <v>1160</v>
      </c>
      <c r="O109" s="279">
        <f t="shared" si="225"/>
        <v>1160</v>
      </c>
      <c r="P109" s="275">
        <v>1130</v>
      </c>
      <c r="Q109" s="279">
        <f t="shared" si="221"/>
        <v>1130</v>
      </c>
      <c r="R109" s="385">
        <v>1042</v>
      </c>
      <c r="S109" s="252">
        <f t="shared" si="222"/>
        <v>1042</v>
      </c>
      <c r="T109" s="610">
        <v>981</v>
      </c>
      <c r="U109" s="252">
        <f t="shared" si="223"/>
        <v>981</v>
      </c>
      <c r="V109" s="610">
        <v>837</v>
      </c>
      <c r="W109" s="252">
        <f t="shared" si="224"/>
        <v>837</v>
      </c>
      <c r="X109" s="981"/>
      <c r="Y109" s="982"/>
      <c r="Z109" s="982"/>
      <c r="AA109" s="983"/>
      <c r="AB109" s="398" t="s">
        <v>156</v>
      </c>
    </row>
    <row r="110" spans="1:29" ht="12.6" customHeight="1" x14ac:dyDescent="0.2">
      <c r="A110" s="18"/>
      <c r="B110" s="649" t="s">
        <v>979</v>
      </c>
      <c r="C110" s="650"/>
      <c r="D110" s="650"/>
      <c r="E110" s="650"/>
      <c r="F110" s="280"/>
      <c r="G110" s="988" t="s">
        <v>568</v>
      </c>
      <c r="H110" s="989"/>
      <c r="I110" s="989"/>
      <c r="J110" s="989"/>
      <c r="K110" s="989"/>
      <c r="L110" s="989"/>
      <c r="M110" s="990"/>
      <c r="N110" s="274">
        <v>590</v>
      </c>
      <c r="O110" s="280">
        <f t="shared" ref="O110" si="226">+N110*$X$1</f>
        <v>590</v>
      </c>
      <c r="P110" s="274">
        <v>550</v>
      </c>
      <c r="Q110" s="280">
        <f t="shared" ref="Q110" si="227">+P110*$X$1</f>
        <v>550</v>
      </c>
      <c r="R110" s="611">
        <v>498</v>
      </c>
      <c r="S110" s="295">
        <f t="shared" ref="S110" si="228">+R110*$X$1</f>
        <v>498</v>
      </c>
      <c r="T110" s="441">
        <v>468</v>
      </c>
      <c r="U110" s="295">
        <f t="shared" ref="U110" si="229">+T110*$X$1</f>
        <v>468</v>
      </c>
      <c r="V110" s="441">
        <v>399</v>
      </c>
      <c r="W110" s="295">
        <f t="shared" ref="W110" si="230">+V110*$X$1</f>
        <v>399</v>
      </c>
      <c r="X110" s="981"/>
      <c r="Y110" s="982"/>
      <c r="Z110" s="982"/>
      <c r="AA110" s="983"/>
      <c r="AB110" s="398"/>
    </row>
    <row r="111" spans="1:29" ht="12.6" customHeight="1" x14ac:dyDescent="0.2">
      <c r="A111" s="18"/>
      <c r="B111" s="649" t="s">
        <v>980</v>
      </c>
      <c r="C111" s="650"/>
      <c r="D111" s="650"/>
      <c r="E111" s="650"/>
      <c r="F111" s="280"/>
      <c r="G111" s="988" t="s">
        <v>569</v>
      </c>
      <c r="H111" s="989"/>
      <c r="I111" s="989"/>
      <c r="J111" s="989"/>
      <c r="K111" s="989"/>
      <c r="L111" s="989"/>
      <c r="M111" s="990"/>
      <c r="N111" s="310">
        <v>670</v>
      </c>
      <c r="O111" s="279">
        <f t="shared" ref="O111:O112" si="231">+N111*$X$1</f>
        <v>670</v>
      </c>
      <c r="P111" s="310">
        <v>620</v>
      </c>
      <c r="Q111" s="279">
        <f t="shared" ref="Q111:Q112" si="232">+P111*$X$1</f>
        <v>620</v>
      </c>
      <c r="R111" s="615">
        <v>570</v>
      </c>
      <c r="S111" s="252">
        <f t="shared" ref="S111:S112" si="233">+R111*$X$1</f>
        <v>570</v>
      </c>
      <c r="T111" s="610">
        <v>535</v>
      </c>
      <c r="U111" s="252">
        <f t="shared" ref="U111:U112" si="234">+T111*$X$1</f>
        <v>535</v>
      </c>
      <c r="V111" s="610">
        <v>455</v>
      </c>
      <c r="W111" s="252">
        <f t="shared" ref="W111:W112" si="235">+V111*$X$1</f>
        <v>455</v>
      </c>
      <c r="X111" s="981"/>
      <c r="Y111" s="982"/>
      <c r="Z111" s="982"/>
      <c r="AA111" s="983"/>
      <c r="AB111" s="398"/>
    </row>
    <row r="112" spans="1:29" ht="12.6" customHeight="1" x14ac:dyDescent="0.2">
      <c r="A112" s="18"/>
      <c r="B112" s="649" t="s">
        <v>981</v>
      </c>
      <c r="C112" s="650"/>
      <c r="D112" s="650"/>
      <c r="E112" s="650"/>
      <c r="F112" s="280"/>
      <c r="G112" s="988" t="s">
        <v>568</v>
      </c>
      <c r="H112" s="989"/>
      <c r="I112" s="989"/>
      <c r="J112" s="989"/>
      <c r="K112" s="989"/>
      <c r="L112" s="989"/>
      <c r="M112" s="990"/>
      <c r="N112" s="274">
        <v>1150</v>
      </c>
      <c r="O112" s="280">
        <f t="shared" si="231"/>
        <v>1150</v>
      </c>
      <c r="P112" s="274">
        <v>1110</v>
      </c>
      <c r="Q112" s="280">
        <f t="shared" si="232"/>
        <v>1110</v>
      </c>
      <c r="R112" s="611">
        <v>1010</v>
      </c>
      <c r="S112" s="295">
        <f t="shared" si="233"/>
        <v>1010</v>
      </c>
      <c r="T112" s="441">
        <v>950</v>
      </c>
      <c r="U112" s="295">
        <f t="shared" si="234"/>
        <v>950</v>
      </c>
      <c r="V112" s="441">
        <v>810</v>
      </c>
      <c r="W112" s="295">
        <f t="shared" si="235"/>
        <v>810</v>
      </c>
      <c r="X112" s="981"/>
      <c r="Y112" s="982"/>
      <c r="Z112" s="982"/>
      <c r="AA112" s="983"/>
      <c r="AB112" s="398"/>
    </row>
    <row r="113" spans="1:28" ht="12.6" customHeight="1" x14ac:dyDescent="0.2">
      <c r="A113" s="18"/>
      <c r="B113" s="649" t="s">
        <v>982</v>
      </c>
      <c r="C113" s="650"/>
      <c r="D113" s="650"/>
      <c r="E113" s="650"/>
      <c r="F113" s="280"/>
      <c r="G113" s="988" t="s">
        <v>569</v>
      </c>
      <c r="H113" s="989"/>
      <c r="I113" s="989"/>
      <c r="J113" s="989"/>
      <c r="K113" s="989"/>
      <c r="L113" s="989"/>
      <c r="M113" s="990"/>
      <c r="N113" s="310">
        <v>1260</v>
      </c>
      <c r="O113" s="279">
        <f t="shared" ref="O113" si="236">+N113*$X$1</f>
        <v>1260</v>
      </c>
      <c r="P113" s="310">
        <v>1200</v>
      </c>
      <c r="Q113" s="279">
        <f t="shared" ref="Q113" si="237">+P113*$X$1</f>
        <v>1200</v>
      </c>
      <c r="R113" s="615">
        <v>1080</v>
      </c>
      <c r="S113" s="252">
        <f t="shared" ref="S113" si="238">+R113*$X$1</f>
        <v>1080</v>
      </c>
      <c r="T113" s="610">
        <v>1015</v>
      </c>
      <c r="U113" s="252">
        <f t="shared" ref="U113" si="239">+T113*$X$1</f>
        <v>1015</v>
      </c>
      <c r="V113" s="610">
        <v>866</v>
      </c>
      <c r="W113" s="252">
        <f t="shared" ref="W113" si="240">+V113*$X$1</f>
        <v>866</v>
      </c>
      <c r="X113" s="981"/>
      <c r="Y113" s="982"/>
      <c r="Z113" s="982"/>
      <c r="AA113" s="983"/>
      <c r="AB113" s="398"/>
    </row>
    <row r="114" spans="1:28" ht="12.6" customHeight="1" x14ac:dyDescent="0.2">
      <c r="A114" s="18"/>
      <c r="B114" s="645" t="s">
        <v>342</v>
      </c>
      <c r="C114" s="725"/>
      <c r="D114" s="725"/>
      <c r="E114" s="725"/>
      <c r="F114" s="309"/>
      <c r="G114" s="309"/>
      <c r="H114" s="91"/>
      <c r="I114" s="1008" t="s">
        <v>343</v>
      </c>
      <c r="J114" s="1009"/>
      <c r="K114" s="1009"/>
      <c r="L114" s="1009"/>
      <c r="M114" s="1009"/>
      <c r="N114" s="1009"/>
      <c r="O114" s="1009"/>
      <c r="P114" s="1009"/>
      <c r="Q114" s="1009"/>
      <c r="R114" s="1009"/>
      <c r="S114" s="1009"/>
      <c r="T114" s="1009"/>
      <c r="U114" s="1009"/>
      <c r="V114" s="1009"/>
      <c r="W114" s="1010"/>
      <c r="X114" s="657"/>
      <c r="Y114" s="644"/>
      <c r="Z114" s="644"/>
      <c r="AA114" s="658"/>
      <c r="AB114" s="398"/>
    </row>
    <row r="115" spans="1:28" ht="12.6" customHeight="1" x14ac:dyDescent="0.2">
      <c r="A115" s="18"/>
      <c r="B115" s="710" t="s">
        <v>344</v>
      </c>
      <c r="C115" s="711"/>
      <c r="D115" s="711"/>
      <c r="E115" s="711"/>
      <c r="F115" s="296"/>
      <c r="G115" s="339"/>
      <c r="H115" s="116"/>
      <c r="I115" s="1011"/>
      <c r="J115" s="1012"/>
      <c r="K115" s="1012"/>
      <c r="L115" s="1013"/>
      <c r="M115" s="1013"/>
      <c r="N115" s="1013"/>
      <c r="O115" s="1012"/>
      <c r="P115" s="1012"/>
      <c r="Q115" s="1012"/>
      <c r="R115" s="1012"/>
      <c r="S115" s="1012"/>
      <c r="T115" s="1013"/>
      <c r="U115" s="1013"/>
      <c r="V115" s="1013"/>
      <c r="W115" s="1014"/>
      <c r="X115" s="657"/>
      <c r="Y115" s="644"/>
      <c r="Z115" s="644"/>
      <c r="AA115" s="658"/>
      <c r="AB115" s="398"/>
    </row>
    <row r="116" spans="1:28" ht="12.6" customHeight="1" x14ac:dyDescent="0.2">
      <c r="A116" s="18"/>
      <c r="B116" s="647" t="s">
        <v>757</v>
      </c>
      <c r="C116" s="648"/>
      <c r="D116" s="648"/>
      <c r="E116" s="648"/>
      <c r="F116" s="341"/>
      <c r="G116" s="988" t="s">
        <v>390</v>
      </c>
      <c r="H116" s="989"/>
      <c r="I116" s="989"/>
      <c r="J116" s="989"/>
      <c r="K116" s="990"/>
      <c r="L116" s="614">
        <v>2140</v>
      </c>
      <c r="M116" s="280">
        <f t="shared" ref="M116:O129" si="241">+L116*$X$1</f>
        <v>2140</v>
      </c>
      <c r="N116" s="122">
        <v>1896</v>
      </c>
      <c r="O116" s="280">
        <f t="shared" si="241"/>
        <v>1896</v>
      </c>
      <c r="P116" s="373">
        <v>1891</v>
      </c>
      <c r="Q116" s="280">
        <f t="shared" ref="Q116:Q128" si="242">+P116*$X$1</f>
        <v>1891</v>
      </c>
      <c r="R116" s="441">
        <v>1741</v>
      </c>
      <c r="S116" s="280">
        <f t="shared" ref="S116:S129" si="243">+R116*$X$1</f>
        <v>1741</v>
      </c>
      <c r="T116" s="441">
        <v>1639</v>
      </c>
      <c r="U116" s="309">
        <f t="shared" ref="U116:U127" si="244">+T116*$X$1</f>
        <v>1639</v>
      </c>
      <c r="V116" s="441">
        <v>857</v>
      </c>
      <c r="W116" s="309">
        <f t="shared" ref="W116:W127" si="245">+V116*$X$1</f>
        <v>857</v>
      </c>
      <c r="X116" s="981"/>
      <c r="Y116" s="982"/>
      <c r="Z116" s="982"/>
      <c r="AA116" s="983"/>
      <c r="AB116" s="398">
        <v>301</v>
      </c>
    </row>
    <row r="117" spans="1:28" ht="12.6" customHeight="1" x14ac:dyDescent="0.2">
      <c r="A117" s="18"/>
      <c r="B117" s="659" t="s">
        <v>758</v>
      </c>
      <c r="C117" s="660"/>
      <c r="D117" s="660"/>
      <c r="E117" s="660"/>
      <c r="F117" s="342"/>
      <c r="G117" s="988" t="s">
        <v>390</v>
      </c>
      <c r="H117" s="989"/>
      <c r="I117" s="989"/>
      <c r="J117" s="989"/>
      <c r="K117" s="990"/>
      <c r="L117" s="293">
        <v>2350</v>
      </c>
      <c r="M117" s="573">
        <f t="shared" si="241"/>
        <v>2350</v>
      </c>
      <c r="N117" s="385">
        <v>2053</v>
      </c>
      <c r="O117" s="573">
        <f t="shared" si="241"/>
        <v>2053</v>
      </c>
      <c r="P117" s="294">
        <v>2045</v>
      </c>
      <c r="Q117" s="279">
        <f t="shared" si="242"/>
        <v>2045</v>
      </c>
      <c r="R117" s="116">
        <v>1882</v>
      </c>
      <c r="S117" s="573">
        <f t="shared" si="243"/>
        <v>1882</v>
      </c>
      <c r="T117" s="610">
        <v>1771</v>
      </c>
      <c r="U117" s="296">
        <f t="shared" si="244"/>
        <v>1771</v>
      </c>
      <c r="V117" s="610">
        <v>1004</v>
      </c>
      <c r="W117" s="296">
        <f t="shared" si="245"/>
        <v>1004</v>
      </c>
      <c r="X117" s="981"/>
      <c r="Y117" s="982"/>
      <c r="Z117" s="982"/>
      <c r="AA117" s="983"/>
      <c r="AB117" s="398" t="s">
        <v>157</v>
      </c>
    </row>
    <row r="118" spans="1:28" ht="12.6" customHeight="1" x14ac:dyDescent="0.2">
      <c r="A118" s="18"/>
      <c r="B118" s="647" t="s">
        <v>759</v>
      </c>
      <c r="C118" s="648"/>
      <c r="D118" s="648"/>
      <c r="E118" s="648"/>
      <c r="F118" s="341"/>
      <c r="G118" s="988" t="s">
        <v>390</v>
      </c>
      <c r="H118" s="989"/>
      <c r="I118" s="989"/>
      <c r="J118" s="989"/>
      <c r="K118" s="990"/>
      <c r="L118" s="614">
        <v>3720</v>
      </c>
      <c r="M118" s="280">
        <f t="shared" ref="M118" si="246">+L118*$X$1</f>
        <v>3720</v>
      </c>
      <c r="N118" s="122">
        <v>3271</v>
      </c>
      <c r="O118" s="280">
        <f t="shared" ref="O118" si="247">+N118*$X$1</f>
        <v>3271</v>
      </c>
      <c r="P118" s="373">
        <v>3265</v>
      </c>
      <c r="Q118" s="280">
        <f t="shared" ref="Q118" si="248">+P118*$X$1</f>
        <v>3265</v>
      </c>
      <c r="R118" s="441">
        <v>3005</v>
      </c>
      <c r="S118" s="280">
        <f t="shared" ref="S118" si="249">+R118*$X$1</f>
        <v>3005</v>
      </c>
      <c r="T118" s="441">
        <v>2829</v>
      </c>
      <c r="U118" s="309">
        <f t="shared" ref="U118" si="250">+T118*$X$1</f>
        <v>2829</v>
      </c>
      <c r="V118" s="441">
        <v>1927</v>
      </c>
      <c r="W118" s="309">
        <f t="shared" ref="W118" si="251">+V118*$X$1</f>
        <v>1927</v>
      </c>
      <c r="X118" s="981"/>
      <c r="Y118" s="982"/>
      <c r="Z118" s="982"/>
      <c r="AA118" s="983"/>
      <c r="AB118" s="398" t="s">
        <v>158</v>
      </c>
    </row>
    <row r="119" spans="1:28" ht="12.6" customHeight="1" x14ac:dyDescent="0.2">
      <c r="A119" s="18"/>
      <c r="B119" s="659" t="s">
        <v>782</v>
      </c>
      <c r="C119" s="728"/>
      <c r="D119" s="728"/>
      <c r="E119" s="728"/>
      <c r="F119" s="342"/>
      <c r="G119" s="988" t="s">
        <v>390</v>
      </c>
      <c r="H119" s="989"/>
      <c r="I119" s="989"/>
      <c r="J119" s="989"/>
      <c r="K119" s="990"/>
      <c r="L119" s="609">
        <v>3720</v>
      </c>
      <c r="M119" s="279">
        <f t="shared" ref="M119" si="252">+L119*$X$1</f>
        <v>3720</v>
      </c>
      <c r="N119" s="385">
        <v>3271</v>
      </c>
      <c r="O119" s="279">
        <f t="shared" ref="O119" si="253">+N119*$X$1</f>
        <v>3271</v>
      </c>
      <c r="P119" s="551">
        <v>3265</v>
      </c>
      <c r="Q119" s="279">
        <f t="shared" ref="Q119" si="254">+P119*$X$1</f>
        <v>3265</v>
      </c>
      <c r="R119" s="610">
        <v>3005</v>
      </c>
      <c r="S119" s="279">
        <f t="shared" ref="S119" si="255">+R119*$X$1</f>
        <v>3005</v>
      </c>
      <c r="T119" s="610">
        <v>2829</v>
      </c>
      <c r="U119" s="296">
        <f t="shared" ref="U119" si="256">+T119*$X$1</f>
        <v>2829</v>
      </c>
      <c r="V119" s="610">
        <v>1927</v>
      </c>
      <c r="W119" s="296">
        <f t="shared" ref="W119" si="257">+V119*$X$1</f>
        <v>1927</v>
      </c>
      <c r="X119" s="981"/>
      <c r="Y119" s="982"/>
      <c r="Z119" s="982"/>
      <c r="AA119" s="983"/>
      <c r="AB119" s="398" t="s">
        <v>785</v>
      </c>
    </row>
    <row r="120" spans="1:28" ht="12.6" customHeight="1" x14ac:dyDescent="0.2">
      <c r="A120" s="18"/>
      <c r="B120" s="649" t="s">
        <v>784</v>
      </c>
      <c r="C120" s="1015"/>
      <c r="D120" s="1015"/>
      <c r="E120" s="1015"/>
      <c r="F120" s="341"/>
      <c r="G120" s="988" t="s">
        <v>390</v>
      </c>
      <c r="H120" s="989"/>
      <c r="I120" s="989"/>
      <c r="J120" s="989"/>
      <c r="K120" s="990"/>
      <c r="L120" s="614">
        <v>2795</v>
      </c>
      <c r="M120" s="280">
        <f t="shared" ref="M120" si="258">+L120*$X$1</f>
        <v>2795</v>
      </c>
      <c r="N120" s="87">
        <v>2453</v>
      </c>
      <c r="O120" s="280">
        <f t="shared" ref="O120" si="259">+N120*$X$1</f>
        <v>2453</v>
      </c>
      <c r="P120" s="274">
        <v>2447</v>
      </c>
      <c r="Q120" s="280">
        <f t="shared" ref="Q120" si="260">+P120*$X$1</f>
        <v>2447</v>
      </c>
      <c r="R120" s="441">
        <v>2252</v>
      </c>
      <c r="S120" s="280">
        <f t="shared" ref="S120" si="261">+R120*$X$1</f>
        <v>2252</v>
      </c>
      <c r="T120" s="441">
        <v>2119</v>
      </c>
      <c r="U120" s="280">
        <f t="shared" ref="U120" si="262">+T120*$X$1</f>
        <v>2119</v>
      </c>
      <c r="V120" s="441">
        <v>1307</v>
      </c>
      <c r="W120" s="280">
        <f t="shared" ref="W120" si="263">+V120*$X$1</f>
        <v>1307</v>
      </c>
      <c r="X120" s="981"/>
      <c r="Y120" s="982"/>
      <c r="Z120" s="982"/>
      <c r="AA120" s="983"/>
      <c r="AB120" s="398" t="s">
        <v>788</v>
      </c>
    </row>
    <row r="121" spans="1:28" ht="12.6" customHeight="1" x14ac:dyDescent="0.2">
      <c r="A121" s="18"/>
      <c r="B121" s="659" t="s">
        <v>394</v>
      </c>
      <c r="C121" s="660"/>
      <c r="D121" s="660"/>
      <c r="E121" s="660"/>
      <c r="F121" s="334"/>
      <c r="G121" s="988" t="s">
        <v>389</v>
      </c>
      <c r="H121" s="989"/>
      <c r="I121" s="989"/>
      <c r="J121" s="989"/>
      <c r="K121" s="990"/>
      <c r="L121" s="609">
        <v>1660</v>
      </c>
      <c r="M121" s="279">
        <f t="shared" si="241"/>
        <v>1660</v>
      </c>
      <c r="N121" s="70">
        <v>1441</v>
      </c>
      <c r="O121" s="279">
        <f t="shared" si="241"/>
        <v>1441</v>
      </c>
      <c r="P121" s="310">
        <v>1436</v>
      </c>
      <c r="Q121" s="279">
        <f t="shared" si="242"/>
        <v>1436</v>
      </c>
      <c r="R121" s="610">
        <v>1321</v>
      </c>
      <c r="S121" s="279">
        <f t="shared" si="243"/>
        <v>1321</v>
      </c>
      <c r="T121" s="610">
        <v>1245</v>
      </c>
      <c r="U121" s="279">
        <f t="shared" si="244"/>
        <v>1245</v>
      </c>
      <c r="V121" s="610">
        <v>685</v>
      </c>
      <c r="W121" s="279">
        <f t="shared" si="245"/>
        <v>685</v>
      </c>
      <c r="X121" s="981"/>
      <c r="Y121" s="982"/>
      <c r="Z121" s="982"/>
      <c r="AA121" s="983"/>
      <c r="AB121" s="398">
        <v>302</v>
      </c>
    </row>
    <row r="122" spans="1:28" ht="12.6" customHeight="1" x14ac:dyDescent="0.2">
      <c r="A122" s="18"/>
      <c r="B122" s="647" t="s">
        <v>395</v>
      </c>
      <c r="C122" s="648"/>
      <c r="D122" s="648"/>
      <c r="E122" s="648"/>
      <c r="F122" s="280"/>
      <c r="G122" s="988" t="s">
        <v>389</v>
      </c>
      <c r="H122" s="989"/>
      <c r="I122" s="989"/>
      <c r="J122" s="989"/>
      <c r="K122" s="990"/>
      <c r="L122" s="614">
        <v>1825</v>
      </c>
      <c r="M122" s="280">
        <f t="shared" si="241"/>
        <v>1825</v>
      </c>
      <c r="N122" s="87">
        <v>1595</v>
      </c>
      <c r="O122" s="280">
        <f t="shared" si="241"/>
        <v>1595</v>
      </c>
      <c r="P122" s="274">
        <v>1590</v>
      </c>
      <c r="Q122" s="280">
        <f t="shared" si="242"/>
        <v>1590</v>
      </c>
      <c r="R122" s="441">
        <v>1462</v>
      </c>
      <c r="S122" s="280">
        <f t="shared" si="243"/>
        <v>1462</v>
      </c>
      <c r="T122" s="441">
        <v>1376</v>
      </c>
      <c r="U122" s="280">
        <f t="shared" si="244"/>
        <v>1376</v>
      </c>
      <c r="V122" s="441">
        <v>801</v>
      </c>
      <c r="W122" s="280">
        <f t="shared" si="245"/>
        <v>801</v>
      </c>
      <c r="X122" s="981"/>
      <c r="Y122" s="982"/>
      <c r="Z122" s="982"/>
      <c r="AA122" s="983"/>
      <c r="AB122" s="398" t="s">
        <v>159</v>
      </c>
    </row>
    <row r="123" spans="1:28" ht="12.6" customHeight="1" x14ac:dyDescent="0.2">
      <c r="A123" s="18"/>
      <c r="B123" s="659" t="s">
        <v>365</v>
      </c>
      <c r="C123" s="660"/>
      <c r="D123" s="660"/>
      <c r="E123" s="660"/>
      <c r="F123" s="334"/>
      <c r="G123" s="988" t="s">
        <v>389</v>
      </c>
      <c r="H123" s="989"/>
      <c r="I123" s="989"/>
      <c r="J123" s="989"/>
      <c r="K123" s="990"/>
      <c r="L123" s="609">
        <v>3200</v>
      </c>
      <c r="M123" s="279">
        <f t="shared" ref="M123" si="264">+L123*$X$1</f>
        <v>3200</v>
      </c>
      <c r="N123" s="70">
        <v>2816</v>
      </c>
      <c r="O123" s="279">
        <f t="shared" ref="O123" si="265">+N123*$X$1</f>
        <v>2816</v>
      </c>
      <c r="P123" s="310">
        <v>2810</v>
      </c>
      <c r="Q123" s="279">
        <f t="shared" ref="Q123" si="266">+P123*$X$1</f>
        <v>2810</v>
      </c>
      <c r="R123" s="610">
        <v>2586</v>
      </c>
      <c r="S123" s="279">
        <f t="shared" ref="S123" si="267">+R123*$X$1</f>
        <v>2586</v>
      </c>
      <c r="T123" s="610">
        <v>2434</v>
      </c>
      <c r="U123" s="279">
        <f t="shared" ref="U123" si="268">+T123*$X$1</f>
        <v>2434</v>
      </c>
      <c r="V123" s="610">
        <v>1724</v>
      </c>
      <c r="W123" s="279">
        <f t="shared" ref="W123" si="269">+V123*$X$1</f>
        <v>1724</v>
      </c>
      <c r="X123" s="981"/>
      <c r="Y123" s="982"/>
      <c r="Z123" s="982"/>
      <c r="AA123" s="983"/>
      <c r="AB123" s="398" t="s">
        <v>160</v>
      </c>
    </row>
    <row r="124" spans="1:28" ht="12.6" customHeight="1" x14ac:dyDescent="0.2">
      <c r="A124" s="18"/>
      <c r="B124" s="647" t="s">
        <v>783</v>
      </c>
      <c r="C124" s="766"/>
      <c r="D124" s="766"/>
      <c r="E124" s="766"/>
      <c r="F124" s="333"/>
      <c r="G124" s="988" t="s">
        <v>389</v>
      </c>
      <c r="H124" s="989"/>
      <c r="I124" s="989"/>
      <c r="J124" s="989"/>
      <c r="K124" s="990"/>
      <c r="L124" s="614">
        <v>3200</v>
      </c>
      <c r="M124" s="280">
        <f t="shared" ref="M124" si="270">+L124*$X$1</f>
        <v>3200</v>
      </c>
      <c r="N124" s="87">
        <v>2816</v>
      </c>
      <c r="O124" s="280">
        <f t="shared" ref="O124" si="271">+N124*$X$1</f>
        <v>2816</v>
      </c>
      <c r="P124" s="274">
        <v>2810</v>
      </c>
      <c r="Q124" s="280">
        <f t="shared" ref="Q124" si="272">+P124*$X$1</f>
        <v>2810</v>
      </c>
      <c r="R124" s="441">
        <v>2586</v>
      </c>
      <c r="S124" s="280">
        <f t="shared" ref="S124" si="273">+R124*$X$1</f>
        <v>2586</v>
      </c>
      <c r="T124" s="441">
        <v>2434</v>
      </c>
      <c r="U124" s="280">
        <f t="shared" ref="U124" si="274">+T124*$X$1</f>
        <v>2434</v>
      </c>
      <c r="V124" s="441">
        <v>1724</v>
      </c>
      <c r="W124" s="280">
        <f t="shared" ref="W124" si="275">+V124*$X$1</f>
        <v>1724</v>
      </c>
      <c r="X124" s="981"/>
      <c r="Y124" s="982"/>
      <c r="Z124" s="982"/>
      <c r="AA124" s="983"/>
      <c r="AB124" s="398" t="s">
        <v>786</v>
      </c>
    </row>
    <row r="125" spans="1:28" ht="12.6" customHeight="1" x14ac:dyDescent="0.2">
      <c r="A125" s="18"/>
      <c r="B125" s="649" t="s">
        <v>787</v>
      </c>
      <c r="C125" s="1015"/>
      <c r="D125" s="1015"/>
      <c r="E125" s="1015"/>
      <c r="F125" s="334"/>
      <c r="G125" s="988" t="s">
        <v>389</v>
      </c>
      <c r="H125" s="989"/>
      <c r="I125" s="989"/>
      <c r="J125" s="989"/>
      <c r="K125" s="990"/>
      <c r="L125" s="609">
        <v>2280</v>
      </c>
      <c r="M125" s="279">
        <f t="shared" ref="M125" si="276">+L125*$X$1</f>
        <v>2280</v>
      </c>
      <c r="N125" s="70">
        <v>1998</v>
      </c>
      <c r="O125" s="279">
        <f t="shared" ref="O125" si="277">+N125*$X$1</f>
        <v>1998</v>
      </c>
      <c r="P125" s="310">
        <v>1990</v>
      </c>
      <c r="Q125" s="279">
        <f t="shared" ref="Q125" si="278">+P125*$X$1</f>
        <v>1990</v>
      </c>
      <c r="R125" s="610">
        <v>1832</v>
      </c>
      <c r="S125" s="279">
        <f t="shared" ref="S125" si="279">+R125*$X$1</f>
        <v>1832</v>
      </c>
      <c r="T125" s="610">
        <v>1724</v>
      </c>
      <c r="U125" s="279">
        <f t="shared" ref="U125" si="280">+T125*$X$1</f>
        <v>1724</v>
      </c>
      <c r="V125" s="610">
        <v>1103</v>
      </c>
      <c r="W125" s="279">
        <v>1105</v>
      </c>
      <c r="X125" s="981"/>
      <c r="Y125" s="982"/>
      <c r="Z125" s="982"/>
      <c r="AA125" s="983"/>
      <c r="AB125" s="398" t="s">
        <v>790</v>
      </c>
    </row>
    <row r="126" spans="1:28" ht="12.6" customHeight="1" x14ac:dyDescent="0.2">
      <c r="A126" s="18"/>
      <c r="B126" s="645" t="s">
        <v>619</v>
      </c>
      <c r="C126" s="725"/>
      <c r="D126" s="725"/>
      <c r="E126" s="725"/>
      <c r="F126" s="309"/>
      <c r="G126" s="988" t="s">
        <v>390</v>
      </c>
      <c r="H126" s="989"/>
      <c r="I126" s="989"/>
      <c r="J126" s="989"/>
      <c r="K126" s="990"/>
      <c r="L126" s="614">
        <v>2370</v>
      </c>
      <c r="M126" s="280">
        <f t="shared" si="241"/>
        <v>2370</v>
      </c>
      <c r="N126" s="574">
        <v>2053</v>
      </c>
      <c r="O126" s="280">
        <f t="shared" si="241"/>
        <v>2053</v>
      </c>
      <c r="P126" s="373">
        <v>2046</v>
      </c>
      <c r="Q126" s="280">
        <f t="shared" si="242"/>
        <v>2046</v>
      </c>
      <c r="R126" s="441">
        <v>1882</v>
      </c>
      <c r="S126" s="280">
        <f t="shared" si="243"/>
        <v>1882</v>
      </c>
      <c r="T126" s="441">
        <v>1614</v>
      </c>
      <c r="U126" s="280">
        <v>1771</v>
      </c>
      <c r="V126" s="441">
        <v>1512</v>
      </c>
      <c r="W126" s="280">
        <f t="shared" si="245"/>
        <v>1512</v>
      </c>
      <c r="X126" s="981"/>
      <c r="Y126" s="982"/>
      <c r="Z126" s="982"/>
      <c r="AA126" s="983"/>
      <c r="AB126" s="398">
        <v>303</v>
      </c>
    </row>
    <row r="127" spans="1:28" ht="12.6" customHeight="1" x14ac:dyDescent="0.2">
      <c r="A127" s="18"/>
      <c r="B127" s="649" t="s">
        <v>838</v>
      </c>
      <c r="C127" s="650"/>
      <c r="D127" s="650"/>
      <c r="E127" s="650"/>
      <c r="F127" s="279">
        <v>1990</v>
      </c>
      <c r="G127" s="279">
        <f>+F127*$X$1</f>
        <v>1990</v>
      </c>
      <c r="H127" s="70"/>
      <c r="I127" s="279"/>
      <c r="J127" s="70">
        <f>F127+200</f>
        <v>2190</v>
      </c>
      <c r="K127" s="279">
        <f t="shared" ref="K127" si="281">+J127*$X$1</f>
        <v>2190</v>
      </c>
      <c r="L127" s="610">
        <f t="shared" ref="L127" si="282">F127+150</f>
        <v>2140</v>
      </c>
      <c r="M127" s="279">
        <f t="shared" si="241"/>
        <v>2140</v>
      </c>
      <c r="N127" s="610">
        <f t="shared" ref="N127" si="283">F127+110</f>
        <v>2100</v>
      </c>
      <c r="O127" s="279">
        <f t="shared" si="241"/>
        <v>2100</v>
      </c>
      <c r="P127" s="610">
        <f t="shared" ref="P127" si="284">F127+100</f>
        <v>2090</v>
      </c>
      <c r="Q127" s="279">
        <f t="shared" si="242"/>
        <v>2090</v>
      </c>
      <c r="R127" s="610">
        <f t="shared" ref="R127" si="285">F127+80</f>
        <v>2070</v>
      </c>
      <c r="S127" s="279">
        <f t="shared" si="243"/>
        <v>2070</v>
      </c>
      <c r="T127" s="610">
        <f t="shared" ref="T127" si="286">F127+65</f>
        <v>2055</v>
      </c>
      <c r="U127" s="279">
        <f t="shared" si="244"/>
        <v>2055</v>
      </c>
      <c r="V127" s="610">
        <f t="shared" ref="V127" si="287">F127+56</f>
        <v>2046</v>
      </c>
      <c r="W127" s="279">
        <f t="shared" si="245"/>
        <v>2046</v>
      </c>
      <c r="X127" s="657"/>
      <c r="Y127" s="644"/>
      <c r="Z127" s="644"/>
      <c r="AA127" s="658"/>
      <c r="AB127" s="398">
        <v>304</v>
      </c>
    </row>
    <row r="128" spans="1:28" ht="12.6" customHeight="1" x14ac:dyDescent="0.2">
      <c r="A128" s="18"/>
      <c r="B128" s="647" t="s">
        <v>756</v>
      </c>
      <c r="C128" s="648"/>
      <c r="D128" s="648"/>
      <c r="E128" s="648"/>
      <c r="F128" s="280">
        <v>2400</v>
      </c>
      <c r="G128" s="280">
        <f t="shared" ref="G128" si="288">+F128*$X$1</f>
        <v>2400</v>
      </c>
      <c r="H128" s="441"/>
      <c r="I128" s="280"/>
      <c r="J128" s="441"/>
      <c r="K128" s="280"/>
      <c r="L128" s="441">
        <f>F128+150</f>
        <v>2550</v>
      </c>
      <c r="M128" s="280">
        <f t="shared" si="241"/>
        <v>2550</v>
      </c>
      <c r="N128" s="441">
        <f>F128+100</f>
        <v>2500</v>
      </c>
      <c r="O128" s="280">
        <f>+N128*$X$1</f>
        <v>2500</v>
      </c>
      <c r="P128" s="441">
        <f>F128+90</f>
        <v>2490</v>
      </c>
      <c r="Q128" s="280">
        <f t="shared" si="242"/>
        <v>2490</v>
      </c>
      <c r="R128" s="441">
        <f>F128+70</f>
        <v>2470</v>
      </c>
      <c r="S128" s="280">
        <f>+R128*$X$1</f>
        <v>2470</v>
      </c>
      <c r="T128" s="441">
        <f>F128+56</f>
        <v>2456</v>
      </c>
      <c r="U128" s="280">
        <f t="shared" ref="U128:U129" si="289">+T128*$X$1</f>
        <v>2456</v>
      </c>
      <c r="V128" s="441">
        <f>F128+49</f>
        <v>2449</v>
      </c>
      <c r="W128" s="280">
        <f t="shared" ref="W128:W129" si="290">+V128*$X$1</f>
        <v>2449</v>
      </c>
      <c r="X128" s="657"/>
      <c r="Y128" s="644"/>
      <c r="Z128" s="644"/>
      <c r="AA128" s="658"/>
      <c r="AB128" s="398">
        <v>307</v>
      </c>
    </row>
    <row r="129" spans="1:33" ht="12.6" customHeight="1" x14ac:dyDescent="0.2">
      <c r="A129" s="18"/>
      <c r="B129" s="659" t="s">
        <v>532</v>
      </c>
      <c r="C129" s="660"/>
      <c r="D129" s="660"/>
      <c r="E129" s="660"/>
      <c r="F129" s="296">
        <v>1453</v>
      </c>
      <c r="G129" s="279">
        <f>+F129*$X$1</f>
        <v>1453</v>
      </c>
      <c r="H129" s="273"/>
      <c r="I129" s="331"/>
      <c r="J129" s="610"/>
      <c r="K129" s="279"/>
      <c r="L129" s="610">
        <v>3145</v>
      </c>
      <c r="M129" s="279">
        <f>+L129*$X$1</f>
        <v>3145</v>
      </c>
      <c r="N129" s="610">
        <v>2350</v>
      </c>
      <c r="O129" s="279">
        <f t="shared" si="241"/>
        <v>2350</v>
      </c>
      <c r="P129" s="310">
        <v>2171</v>
      </c>
      <c r="Q129" s="279">
        <f t="shared" ref="Q129" si="291">+P129*$X$1</f>
        <v>2171</v>
      </c>
      <c r="R129" s="610">
        <v>2001</v>
      </c>
      <c r="S129" s="279">
        <f t="shared" si="243"/>
        <v>2001</v>
      </c>
      <c r="T129" s="610">
        <v>1875</v>
      </c>
      <c r="U129" s="279">
        <f t="shared" si="289"/>
        <v>1875</v>
      </c>
      <c r="V129" s="610">
        <v>1787</v>
      </c>
      <c r="W129" s="279">
        <f t="shared" si="290"/>
        <v>1787</v>
      </c>
      <c r="X129" s="657"/>
      <c r="Y129" s="644"/>
      <c r="Z129" s="644"/>
      <c r="AA129" s="658"/>
      <c r="AB129" s="398">
        <v>308</v>
      </c>
    </row>
    <row r="130" spans="1:33" ht="12.6" customHeight="1" x14ac:dyDescent="0.2">
      <c r="A130" s="18"/>
      <c r="B130" s="647" t="s">
        <v>531</v>
      </c>
      <c r="C130" s="648"/>
      <c r="D130" s="648"/>
      <c r="E130" s="648"/>
      <c r="F130" s="309">
        <v>1453</v>
      </c>
      <c r="G130" s="280">
        <f>+F130*$X$1</f>
        <v>1453</v>
      </c>
      <c r="H130" s="272"/>
      <c r="I130" s="332"/>
      <c r="J130" s="441"/>
      <c r="K130" s="280"/>
      <c r="L130" s="441">
        <v>3145</v>
      </c>
      <c r="M130" s="280">
        <f>+L130*$X$1</f>
        <v>3145</v>
      </c>
      <c r="N130" s="441">
        <v>2350</v>
      </c>
      <c r="O130" s="280">
        <f t="shared" ref="O130" si="292">+N130*$X$1</f>
        <v>2350</v>
      </c>
      <c r="P130" s="274">
        <v>2171</v>
      </c>
      <c r="Q130" s="280">
        <f t="shared" ref="Q130:Q133" si="293">+P130*$X$1</f>
        <v>2171</v>
      </c>
      <c r="R130" s="441">
        <v>2001</v>
      </c>
      <c r="S130" s="280">
        <f t="shared" ref="S130" si="294">+R130*$X$1</f>
        <v>2001</v>
      </c>
      <c r="T130" s="441">
        <v>1875</v>
      </c>
      <c r="U130" s="280">
        <f t="shared" ref="U130:U133" si="295">+T130*$X$1</f>
        <v>1875</v>
      </c>
      <c r="V130" s="441">
        <v>1787</v>
      </c>
      <c r="W130" s="280">
        <f t="shared" ref="W130:W133" si="296">+V130*$X$1</f>
        <v>1787</v>
      </c>
      <c r="X130" s="657"/>
      <c r="Y130" s="644"/>
      <c r="Z130" s="644"/>
      <c r="AA130" s="658"/>
      <c r="AB130" s="398">
        <v>309</v>
      </c>
    </row>
    <row r="131" spans="1:33" ht="12.6" customHeight="1" x14ac:dyDescent="0.2">
      <c r="A131" s="18"/>
      <c r="B131" s="659" t="s">
        <v>854</v>
      </c>
      <c r="C131" s="660"/>
      <c r="D131" s="660"/>
      <c r="E131" s="660"/>
      <c r="F131" s="365">
        <f>0.77*X2</f>
        <v>837.76</v>
      </c>
      <c r="G131" s="279">
        <f>+F131*$X$1</f>
        <v>837.76</v>
      </c>
      <c r="H131" s="495"/>
      <c r="I131" s="279"/>
      <c r="J131" s="610">
        <f>F131+200</f>
        <v>1037.76</v>
      </c>
      <c r="K131" s="279">
        <f t="shared" ref="K131" si="297">+J131*$X$1</f>
        <v>1037.76</v>
      </c>
      <c r="L131" s="610">
        <f>F131+150</f>
        <v>987.76</v>
      </c>
      <c r="M131" s="279">
        <f t="shared" ref="M131:M133" si="298">+L131*$X$1</f>
        <v>987.76</v>
      </c>
      <c r="N131" s="610">
        <f>F131+100</f>
        <v>937.76</v>
      </c>
      <c r="O131" s="279">
        <f>+N131*$X$1</f>
        <v>937.76</v>
      </c>
      <c r="P131" s="610">
        <f>F131+90</f>
        <v>927.76</v>
      </c>
      <c r="Q131" s="279">
        <f t="shared" si="293"/>
        <v>927.76</v>
      </c>
      <c r="R131" s="610">
        <f>F131+70</f>
        <v>907.76</v>
      </c>
      <c r="S131" s="279">
        <f>+R131*$X$1</f>
        <v>907.76</v>
      </c>
      <c r="T131" s="610">
        <f>F131+56</f>
        <v>893.76</v>
      </c>
      <c r="U131" s="279">
        <f t="shared" si="295"/>
        <v>893.76</v>
      </c>
      <c r="V131" s="610">
        <f>F131+49</f>
        <v>886.76</v>
      </c>
      <c r="W131" s="279">
        <f t="shared" si="296"/>
        <v>886.76</v>
      </c>
      <c r="X131" s="657"/>
      <c r="Y131" s="644"/>
      <c r="Z131" s="644"/>
      <c r="AA131" s="658"/>
      <c r="AB131" s="398">
        <v>310</v>
      </c>
    </row>
    <row r="132" spans="1:33" ht="12.6" customHeight="1" x14ac:dyDescent="0.2">
      <c r="A132" s="18"/>
      <c r="B132" s="647" t="s">
        <v>797</v>
      </c>
      <c r="C132" s="648"/>
      <c r="D132" s="648"/>
      <c r="E132" s="648"/>
      <c r="F132" s="366">
        <f>0.81*X2</f>
        <v>881.28000000000009</v>
      </c>
      <c r="G132" s="280">
        <f>+F132*$X$1</f>
        <v>881.28000000000009</v>
      </c>
      <c r="H132" s="441"/>
      <c r="I132" s="280"/>
      <c r="J132" s="441">
        <f>F132+200</f>
        <v>1081.2800000000002</v>
      </c>
      <c r="K132" s="280">
        <f t="shared" ref="K132" si="299">+J132*$X$1</f>
        <v>1081.2800000000002</v>
      </c>
      <c r="L132" s="441">
        <f>F132+150</f>
        <v>1031.2800000000002</v>
      </c>
      <c r="M132" s="280">
        <f t="shared" si="298"/>
        <v>1031.2800000000002</v>
      </c>
      <c r="N132" s="441">
        <f>F132+100</f>
        <v>981.28000000000009</v>
      </c>
      <c r="O132" s="280">
        <f>+N132*$X$1</f>
        <v>981.28000000000009</v>
      </c>
      <c r="P132" s="441">
        <f>F132+90</f>
        <v>971.28000000000009</v>
      </c>
      <c r="Q132" s="280">
        <f t="shared" si="293"/>
        <v>971.28000000000009</v>
      </c>
      <c r="R132" s="441">
        <f>F132+70</f>
        <v>951.28000000000009</v>
      </c>
      <c r="S132" s="280">
        <f>+R132*$X$1</f>
        <v>951.28000000000009</v>
      </c>
      <c r="T132" s="441">
        <f>F132+56</f>
        <v>937.28000000000009</v>
      </c>
      <c r="U132" s="280">
        <f t="shared" si="295"/>
        <v>937.28000000000009</v>
      </c>
      <c r="V132" s="441">
        <f>F132+49</f>
        <v>930.28000000000009</v>
      </c>
      <c r="W132" s="280">
        <f t="shared" si="296"/>
        <v>930.28000000000009</v>
      </c>
      <c r="X132" s="657"/>
      <c r="Y132" s="644"/>
      <c r="Z132" s="644"/>
      <c r="AA132" s="658"/>
      <c r="AB132" s="398">
        <v>311</v>
      </c>
    </row>
    <row r="133" spans="1:33" ht="12.6" customHeight="1" x14ac:dyDescent="0.2">
      <c r="A133" s="18"/>
      <c r="B133" s="659" t="s">
        <v>470</v>
      </c>
      <c r="C133" s="660"/>
      <c r="D133" s="660"/>
      <c r="E133" s="660"/>
      <c r="F133" s="365">
        <f>1.3*X2</f>
        <v>1414.4</v>
      </c>
      <c r="G133" s="279">
        <f t="shared" ref="G133" si="300">+F133*$X$1</f>
        <v>1414.4</v>
      </c>
      <c r="H133" s="495"/>
      <c r="I133" s="279"/>
      <c r="J133" s="610">
        <f>F133+200</f>
        <v>1614.4</v>
      </c>
      <c r="K133" s="279">
        <f t="shared" ref="K133" si="301">+J133*$X$1</f>
        <v>1614.4</v>
      </c>
      <c r="L133" s="610">
        <f>F133+150</f>
        <v>1564.4</v>
      </c>
      <c r="M133" s="279">
        <f t="shared" si="298"/>
        <v>1564.4</v>
      </c>
      <c r="N133" s="610">
        <f>F133+100</f>
        <v>1514.4</v>
      </c>
      <c r="O133" s="279">
        <f>+N133*$X$1</f>
        <v>1514.4</v>
      </c>
      <c r="P133" s="610">
        <f>F133+90</f>
        <v>1504.4</v>
      </c>
      <c r="Q133" s="279">
        <f t="shared" si="293"/>
        <v>1504.4</v>
      </c>
      <c r="R133" s="610">
        <f>F133+70</f>
        <v>1484.4</v>
      </c>
      <c r="S133" s="279">
        <f>+R133*$X$1</f>
        <v>1484.4</v>
      </c>
      <c r="T133" s="610">
        <f>F133+56</f>
        <v>1470.4</v>
      </c>
      <c r="U133" s="279">
        <f t="shared" si="295"/>
        <v>1470.4</v>
      </c>
      <c r="V133" s="610">
        <f>F133+49</f>
        <v>1463.4</v>
      </c>
      <c r="W133" s="279">
        <f t="shared" si="296"/>
        <v>1463.4</v>
      </c>
      <c r="X133" s="657"/>
      <c r="Y133" s="644"/>
      <c r="Z133" s="644"/>
      <c r="AA133" s="658"/>
      <c r="AB133" s="398">
        <v>312</v>
      </c>
    </row>
    <row r="134" spans="1:33" ht="12.6" customHeight="1" x14ac:dyDescent="0.2">
      <c r="A134" s="18"/>
      <c r="B134" s="661" t="s">
        <v>161</v>
      </c>
      <c r="C134" s="694"/>
      <c r="D134" s="694"/>
      <c r="E134" s="695"/>
      <c r="F134" s="280"/>
      <c r="G134" s="280"/>
      <c r="H134" s="441"/>
      <c r="I134" s="280"/>
      <c r="J134" s="87"/>
      <c r="K134" s="280"/>
      <c r="L134" s="441"/>
      <c r="M134" s="280"/>
      <c r="N134" s="441"/>
      <c r="O134" s="280"/>
      <c r="P134" s="441"/>
      <c r="Q134" s="280"/>
      <c r="R134" s="441"/>
      <c r="S134" s="280"/>
      <c r="T134" s="441"/>
      <c r="U134" s="280"/>
      <c r="V134" s="441"/>
      <c r="W134" s="280"/>
      <c r="X134" s="657"/>
      <c r="Y134" s="644"/>
      <c r="Z134" s="644"/>
      <c r="AA134" s="658"/>
      <c r="AB134" s="398" t="s">
        <v>162</v>
      </c>
    </row>
    <row r="135" spans="1:33" ht="12.6" customHeight="1" x14ac:dyDescent="0.2">
      <c r="A135" s="18"/>
      <c r="B135" s="808" t="s">
        <v>163</v>
      </c>
      <c r="C135" s="809"/>
      <c r="D135" s="809"/>
      <c r="E135" s="810"/>
      <c r="F135" s="296"/>
      <c r="G135" s="279"/>
      <c r="H135" s="495"/>
      <c r="I135" s="279"/>
      <c r="J135" s="70"/>
      <c r="K135" s="279"/>
      <c r="L135" s="495"/>
      <c r="M135" s="279"/>
      <c r="N135" s="495"/>
      <c r="O135" s="279"/>
      <c r="P135" s="495"/>
      <c r="Q135" s="279"/>
      <c r="R135" s="495"/>
      <c r="S135" s="279"/>
      <c r="T135" s="495"/>
      <c r="U135" s="279"/>
      <c r="V135" s="495"/>
      <c r="W135" s="279"/>
      <c r="X135" s="736"/>
      <c r="Y135" s="742"/>
      <c r="Z135" s="742"/>
      <c r="AA135" s="738"/>
      <c r="AB135" s="433" t="s">
        <v>164</v>
      </c>
    </row>
    <row r="136" spans="1:33" ht="12.6" customHeight="1" x14ac:dyDescent="0.2">
      <c r="A136" s="18"/>
      <c r="B136" s="661" t="s">
        <v>165</v>
      </c>
      <c r="C136" s="694"/>
      <c r="D136" s="694"/>
      <c r="E136" s="695"/>
      <c r="F136" s="280"/>
      <c r="G136" s="280"/>
      <c r="H136" s="441"/>
      <c r="I136" s="280"/>
      <c r="J136" s="87"/>
      <c r="K136" s="280"/>
      <c r="L136" s="441"/>
      <c r="M136" s="280"/>
      <c r="N136" s="441"/>
      <c r="O136" s="280"/>
      <c r="P136" s="441"/>
      <c r="Q136" s="280"/>
      <c r="R136" s="441"/>
      <c r="S136" s="280"/>
      <c r="T136" s="441"/>
      <c r="U136" s="280"/>
      <c r="V136" s="441"/>
      <c r="W136" s="280"/>
      <c r="X136" s="742"/>
      <c r="Y136" s="742"/>
      <c r="Z136" s="742"/>
      <c r="AA136" s="742"/>
      <c r="AB136" s="190" t="s">
        <v>166</v>
      </c>
    </row>
    <row r="137" spans="1:33" ht="12.6" customHeight="1" x14ac:dyDescent="0.2">
      <c r="A137" s="18"/>
      <c r="B137" s="664" t="s">
        <v>167</v>
      </c>
      <c r="C137" s="680"/>
      <c r="D137" s="680"/>
      <c r="E137" s="681"/>
      <c r="F137" s="279"/>
      <c r="G137" s="279"/>
      <c r="H137" s="495"/>
      <c r="I137" s="279"/>
      <c r="J137" s="70"/>
      <c r="K137" s="279"/>
      <c r="L137" s="495"/>
      <c r="M137" s="279"/>
      <c r="N137" s="495"/>
      <c r="O137" s="279"/>
      <c r="P137" s="495"/>
      <c r="Q137" s="279"/>
      <c r="R137" s="495"/>
      <c r="S137" s="279"/>
      <c r="T137" s="495"/>
      <c r="U137" s="279"/>
      <c r="V137" s="495"/>
      <c r="W137" s="279"/>
      <c r="X137" s="742"/>
      <c r="Y137" s="742"/>
      <c r="Z137" s="742"/>
      <c r="AA137" s="742"/>
      <c r="AB137" s="190" t="s">
        <v>168</v>
      </c>
    </row>
    <row r="138" spans="1:33" ht="12.6" customHeight="1" x14ac:dyDescent="0.2">
      <c r="A138" s="95"/>
      <c r="B138" s="661" t="s">
        <v>355</v>
      </c>
      <c r="C138" s="662"/>
      <c r="D138" s="662"/>
      <c r="E138" s="663"/>
      <c r="F138" s="280"/>
      <c r="G138" s="280"/>
      <c r="H138" s="87"/>
      <c r="I138" s="441"/>
      <c r="J138" s="441"/>
      <c r="K138" s="441"/>
      <c r="L138" s="441"/>
      <c r="M138" s="280"/>
      <c r="N138" s="441"/>
      <c r="O138" s="280"/>
      <c r="P138" s="441"/>
      <c r="Q138" s="280"/>
      <c r="R138" s="441"/>
      <c r="S138" s="280"/>
      <c r="T138" s="441"/>
      <c r="U138" s="280"/>
      <c r="V138" s="441"/>
      <c r="W138" s="280"/>
      <c r="X138" s="881"/>
      <c r="Y138" s="1135"/>
      <c r="Z138" s="1135"/>
      <c r="AA138" s="1136"/>
      <c r="AB138" s="190"/>
    </row>
    <row r="139" spans="1:33" ht="12.6" customHeight="1" x14ac:dyDescent="0.2">
      <c r="A139" s="95"/>
      <c r="B139" s="659" t="s">
        <v>169</v>
      </c>
      <c r="C139" s="660"/>
      <c r="D139" s="660"/>
      <c r="E139" s="660"/>
      <c r="F139" s="279"/>
      <c r="G139" s="279"/>
      <c r="H139" s="70"/>
      <c r="I139" s="495"/>
      <c r="J139" s="495"/>
      <c r="K139" s="495"/>
      <c r="L139" s="495"/>
      <c r="M139" s="279"/>
      <c r="N139" s="495"/>
      <c r="O139" s="279"/>
      <c r="P139" s="495"/>
      <c r="Q139" s="279"/>
      <c r="R139" s="495"/>
      <c r="S139" s="279"/>
      <c r="T139" s="495"/>
      <c r="U139" s="279"/>
      <c r="V139" s="495"/>
      <c r="W139" s="279"/>
      <c r="X139" s="881"/>
      <c r="Y139" s="882"/>
      <c r="Z139" s="882"/>
      <c r="AA139" s="883"/>
      <c r="AB139" s="190">
        <v>316</v>
      </c>
      <c r="AC139" s="59"/>
      <c r="AD139" s="59"/>
      <c r="AE139" s="59"/>
      <c r="AF139" s="59"/>
    </row>
    <row r="140" spans="1:33" ht="12.6" customHeight="1" x14ac:dyDescent="0.2">
      <c r="A140" s="95"/>
      <c r="B140" s="647" t="s">
        <v>170</v>
      </c>
      <c r="C140" s="648"/>
      <c r="D140" s="648"/>
      <c r="E140" s="648"/>
      <c r="F140" s="280"/>
      <c r="G140" s="500"/>
      <c r="H140" s="87"/>
      <c r="I140" s="501"/>
      <c r="J140" s="441"/>
      <c r="K140" s="501"/>
      <c r="L140" s="441"/>
      <c r="M140" s="502"/>
      <c r="N140" s="441"/>
      <c r="O140" s="502"/>
      <c r="P140" s="441"/>
      <c r="Q140" s="502"/>
      <c r="R140" s="441"/>
      <c r="S140" s="502"/>
      <c r="T140" s="441"/>
      <c r="U140" s="280"/>
      <c r="V140" s="441"/>
      <c r="W140" s="280"/>
      <c r="X140" s="881"/>
      <c r="Y140" s="882"/>
      <c r="Z140" s="882"/>
      <c r="AA140" s="883"/>
      <c r="AB140" s="190">
        <v>318</v>
      </c>
      <c r="AC140" s="59"/>
      <c r="AD140" s="59"/>
      <c r="AE140" s="59"/>
      <c r="AF140" s="59"/>
    </row>
    <row r="141" spans="1:33" ht="12.6" customHeight="1" x14ac:dyDescent="0.2">
      <c r="A141" s="18"/>
      <c r="B141" s="985" t="s">
        <v>323</v>
      </c>
      <c r="C141" s="986"/>
      <c r="D141" s="986"/>
      <c r="E141" s="986"/>
      <c r="F141" s="279">
        <v>1147</v>
      </c>
      <c r="G141" s="302">
        <f>+F141*$X$1</f>
        <v>1147</v>
      </c>
      <c r="H141" s="191" t="s">
        <v>171</v>
      </c>
      <c r="I141" s="193"/>
      <c r="J141" s="83"/>
      <c r="K141" s="83"/>
      <c r="L141" s="163"/>
      <c r="M141" s="83"/>
      <c r="N141" s="83"/>
      <c r="O141" s="83"/>
      <c r="P141" s="81">
        <v>80</v>
      </c>
      <c r="Q141" s="192">
        <f>+P141*$X$1</f>
        <v>80</v>
      </c>
      <c r="R141" s="497"/>
      <c r="S141" s="498"/>
      <c r="T141" s="70"/>
      <c r="U141" s="279"/>
      <c r="V141" s="495"/>
      <c r="W141" s="279"/>
      <c r="X141" s="881"/>
      <c r="Y141" s="882"/>
      <c r="Z141" s="882"/>
      <c r="AA141" s="883"/>
      <c r="AB141" s="401"/>
      <c r="AC141" s="1133"/>
      <c r="AD141" s="1134"/>
      <c r="AE141" s="1134"/>
      <c r="AF141" s="1134"/>
      <c r="AG141" s="4"/>
    </row>
    <row r="142" spans="1:33" ht="12.6" customHeight="1" x14ac:dyDescent="0.2">
      <c r="A142" s="18"/>
      <c r="B142" s="764" t="s">
        <v>324</v>
      </c>
      <c r="C142" s="984"/>
      <c r="D142" s="984"/>
      <c r="E142" s="984"/>
      <c r="F142" s="280">
        <v>1297</v>
      </c>
      <c r="G142" s="340">
        <f>+F142*$X$1</f>
        <v>1297</v>
      </c>
      <c r="H142" s="260" t="s">
        <v>171</v>
      </c>
      <c r="I142" s="261"/>
      <c r="J142" s="262"/>
      <c r="K142" s="262"/>
      <c r="L142" s="263"/>
      <c r="M142" s="262"/>
      <c r="N142" s="262"/>
      <c r="O142" s="262"/>
      <c r="P142" s="264">
        <v>80</v>
      </c>
      <c r="Q142" s="265">
        <f>+P142*$X$1</f>
        <v>80</v>
      </c>
      <c r="R142" s="505"/>
      <c r="S142" s="503"/>
      <c r="T142" s="504"/>
      <c r="U142" s="282"/>
      <c r="V142" s="93"/>
      <c r="W142" s="282"/>
      <c r="X142" s="881"/>
      <c r="Y142" s="882"/>
      <c r="Z142" s="882"/>
      <c r="AA142" s="883"/>
      <c r="AB142" s="401"/>
    </row>
    <row r="143" spans="1:33" ht="12.6" customHeight="1" x14ac:dyDescent="0.2">
      <c r="A143" s="18"/>
      <c r="B143" s="985" t="s">
        <v>828</v>
      </c>
      <c r="C143" s="986"/>
      <c r="D143" s="986"/>
      <c r="E143" s="986"/>
      <c r="F143" s="279"/>
      <c r="G143" s="279"/>
      <c r="H143" s="267"/>
      <c r="I143" s="279"/>
      <c r="J143" s="610">
        <f>F142+250</f>
        <v>1547</v>
      </c>
      <c r="K143" s="279">
        <f t="shared" ref="K143:K144" si="302">+J143*$X$1</f>
        <v>1547</v>
      </c>
      <c r="L143" s="610">
        <f>F142+200</f>
        <v>1497</v>
      </c>
      <c r="M143" s="279">
        <f>+L143*$X$1</f>
        <v>1497</v>
      </c>
      <c r="N143" s="610">
        <f>F142+160</f>
        <v>1457</v>
      </c>
      <c r="O143" s="279">
        <f>+N143*$X$1</f>
        <v>1457</v>
      </c>
      <c r="P143" s="610">
        <f>F142+140</f>
        <v>1437</v>
      </c>
      <c r="Q143" s="279">
        <f t="shared" ref="Q143:Q144" si="303">+P143*$X$1</f>
        <v>1437</v>
      </c>
      <c r="R143" s="610">
        <f>F142+120</f>
        <v>1417</v>
      </c>
      <c r="S143" s="279">
        <f>+R143*$X$1</f>
        <v>1417</v>
      </c>
      <c r="T143" s="610">
        <f>F142+105</f>
        <v>1402</v>
      </c>
      <c r="U143" s="279">
        <f t="shared" ref="U143:U144" si="304">+T143*$X$1</f>
        <v>1402</v>
      </c>
      <c r="V143" s="610">
        <f>F142+90</f>
        <v>1387</v>
      </c>
      <c r="W143" s="279">
        <f>+V143*$X$1</f>
        <v>1387</v>
      </c>
      <c r="X143" s="881"/>
      <c r="Y143" s="882"/>
      <c r="Z143" s="882"/>
      <c r="AA143" s="883"/>
      <c r="AB143" s="398">
        <v>321</v>
      </c>
    </row>
    <row r="144" spans="1:33" ht="12.6" customHeight="1" x14ac:dyDescent="0.2">
      <c r="A144" s="18"/>
      <c r="B144" s="764" t="s">
        <v>527</v>
      </c>
      <c r="C144" s="984"/>
      <c r="D144" s="984"/>
      <c r="E144" s="984"/>
      <c r="F144" s="280"/>
      <c r="G144" s="280"/>
      <c r="H144" s="289"/>
      <c r="I144" s="280"/>
      <c r="J144" s="441">
        <f>F142+350</f>
        <v>1647</v>
      </c>
      <c r="K144" s="280">
        <f t="shared" si="302"/>
        <v>1647</v>
      </c>
      <c r="L144" s="441">
        <f>F142+300</f>
        <v>1597</v>
      </c>
      <c r="M144" s="280">
        <f>+L144*$X$1</f>
        <v>1597</v>
      </c>
      <c r="N144" s="441">
        <f>F142+275</f>
        <v>1572</v>
      </c>
      <c r="O144" s="280">
        <f>+N144*$X$1</f>
        <v>1572</v>
      </c>
      <c r="P144" s="441">
        <f>F142+250</f>
        <v>1547</v>
      </c>
      <c r="Q144" s="280">
        <f t="shared" si="303"/>
        <v>1547</v>
      </c>
      <c r="R144" s="441">
        <f>F142+230</f>
        <v>1527</v>
      </c>
      <c r="S144" s="280">
        <f>+R144*$X$1</f>
        <v>1527</v>
      </c>
      <c r="T144" s="441">
        <f>F142+200</f>
        <v>1497</v>
      </c>
      <c r="U144" s="280">
        <f t="shared" si="304"/>
        <v>1497</v>
      </c>
      <c r="V144" s="441">
        <f>F142+170</f>
        <v>1467</v>
      </c>
      <c r="W144" s="280">
        <f>+V144*$X$1</f>
        <v>1467</v>
      </c>
      <c r="X144" s="881"/>
      <c r="Y144" s="882"/>
      <c r="Z144" s="882"/>
      <c r="AA144" s="883"/>
      <c r="AB144" s="398">
        <v>322</v>
      </c>
    </row>
    <row r="145" spans="1:34" ht="12.6" customHeight="1" x14ac:dyDescent="0.2">
      <c r="A145" s="18"/>
      <c r="B145" s="985" t="s">
        <v>325</v>
      </c>
      <c r="C145" s="986"/>
      <c r="D145" s="986"/>
      <c r="E145" s="986"/>
      <c r="F145" s="279">
        <v>1435</v>
      </c>
      <c r="G145" s="302">
        <f>+F145*$X$1</f>
        <v>1435</v>
      </c>
      <c r="H145" s="440" t="s">
        <v>171</v>
      </c>
      <c r="I145" s="622"/>
      <c r="J145" s="623"/>
      <c r="K145" s="623"/>
      <c r="L145" s="623"/>
      <c r="M145" s="623"/>
      <c r="N145" s="623"/>
      <c r="O145" s="623"/>
      <c r="P145" s="82">
        <v>110</v>
      </c>
      <c r="Q145" s="266">
        <f>+P145*$X$1</f>
        <v>110</v>
      </c>
      <c r="R145" s="308"/>
      <c r="S145" s="331"/>
      <c r="T145" s="624"/>
      <c r="U145" s="625"/>
      <c r="V145" s="84"/>
      <c r="W145" s="499"/>
      <c r="X145" s="881"/>
      <c r="Y145" s="882"/>
      <c r="Z145" s="882"/>
      <c r="AA145" s="883"/>
      <c r="AB145" s="401"/>
    </row>
    <row r="146" spans="1:34" ht="12.6" customHeight="1" x14ac:dyDescent="0.2">
      <c r="A146" s="18"/>
      <c r="B146" s="647" t="s">
        <v>172</v>
      </c>
      <c r="C146" s="648"/>
      <c r="D146" s="648"/>
      <c r="E146" s="648"/>
      <c r="F146" s="282">
        <v>1585</v>
      </c>
      <c r="G146" s="340">
        <f>+F146*$X$1</f>
        <v>1585</v>
      </c>
      <c r="H146" s="260" t="s">
        <v>171</v>
      </c>
      <c r="I146" s="626"/>
      <c r="J146" s="623"/>
      <c r="K146" s="623"/>
      <c r="L146" s="623"/>
      <c r="M146" s="623"/>
      <c r="N146" s="623"/>
      <c r="O146" s="623"/>
      <c r="P146" s="82">
        <v>110</v>
      </c>
      <c r="Q146" s="192">
        <f>+P146*$X$1</f>
        <v>110</v>
      </c>
      <c r="R146" s="278"/>
      <c r="S146" s="332"/>
      <c r="T146" s="627"/>
      <c r="U146" s="628"/>
      <c r="V146" s="87"/>
      <c r="W146" s="309"/>
      <c r="X146" s="881"/>
      <c r="Y146" s="882"/>
      <c r="Z146" s="882"/>
      <c r="AA146" s="883"/>
      <c r="AB146" s="401"/>
    </row>
    <row r="147" spans="1:34" ht="12.6" customHeight="1" x14ac:dyDescent="0.2">
      <c r="A147" s="18"/>
      <c r="B147" s="659" t="s">
        <v>827</v>
      </c>
      <c r="C147" s="660"/>
      <c r="D147" s="660"/>
      <c r="E147" s="660"/>
      <c r="F147" s="334"/>
      <c r="G147" s="334"/>
      <c r="H147" s="273"/>
      <c r="I147" s="331"/>
      <c r="J147" s="610">
        <f>F146+250</f>
        <v>1835</v>
      </c>
      <c r="K147" s="279">
        <f t="shared" ref="K147:K149" si="305">+J147*$X$1</f>
        <v>1835</v>
      </c>
      <c r="L147" s="610">
        <f>F146+200</f>
        <v>1785</v>
      </c>
      <c r="M147" s="279">
        <f>+L147*$X$1</f>
        <v>1785</v>
      </c>
      <c r="N147" s="610">
        <f>F146+160</f>
        <v>1745</v>
      </c>
      <c r="O147" s="279">
        <f>+N147*$X$1</f>
        <v>1745</v>
      </c>
      <c r="P147" s="610">
        <f>F146+140</f>
        <v>1725</v>
      </c>
      <c r="Q147" s="279">
        <f t="shared" ref="Q147:Q149" si="306">+P147*$X$1</f>
        <v>1725</v>
      </c>
      <c r="R147" s="610">
        <f>F146+120</f>
        <v>1705</v>
      </c>
      <c r="S147" s="279">
        <f>+R147*$X$1</f>
        <v>1705</v>
      </c>
      <c r="T147" s="610">
        <f>F146+105</f>
        <v>1690</v>
      </c>
      <c r="U147" s="279">
        <f t="shared" ref="U147:U149" si="307">+T147*$X$1</f>
        <v>1690</v>
      </c>
      <c r="V147" s="610">
        <f>F146+90</f>
        <v>1675</v>
      </c>
      <c r="W147" s="279">
        <f>+V147*$X$1</f>
        <v>1675</v>
      </c>
      <c r="X147" s="881"/>
      <c r="Y147" s="882"/>
      <c r="Z147" s="882"/>
      <c r="AA147" s="883"/>
      <c r="AB147" s="398">
        <v>325</v>
      </c>
    </row>
    <row r="148" spans="1:34" ht="12.6" customHeight="1" x14ac:dyDescent="0.2">
      <c r="A148" s="18"/>
      <c r="B148" s="647" t="s">
        <v>526</v>
      </c>
      <c r="C148" s="648"/>
      <c r="D148" s="648"/>
      <c r="E148" s="648"/>
      <c r="F148" s="333"/>
      <c r="G148" s="333"/>
      <c r="H148" s="272"/>
      <c r="I148" s="332"/>
      <c r="J148" s="441">
        <f>F146+350</f>
        <v>1935</v>
      </c>
      <c r="K148" s="280">
        <f t="shared" si="305"/>
        <v>1935</v>
      </c>
      <c r="L148" s="441">
        <f>F146+300</f>
        <v>1885</v>
      </c>
      <c r="M148" s="280">
        <f>+L148*$X$1</f>
        <v>1885</v>
      </c>
      <c r="N148" s="441">
        <f>F146+275</f>
        <v>1860</v>
      </c>
      <c r="O148" s="280">
        <f>+N148*$X$1</f>
        <v>1860</v>
      </c>
      <c r="P148" s="441">
        <f>F146+250</f>
        <v>1835</v>
      </c>
      <c r="Q148" s="280">
        <f t="shared" si="306"/>
        <v>1835</v>
      </c>
      <c r="R148" s="441">
        <f>F146+230</f>
        <v>1815</v>
      </c>
      <c r="S148" s="280">
        <f>+R148*$X$1</f>
        <v>1815</v>
      </c>
      <c r="T148" s="441">
        <f>F146+200</f>
        <v>1785</v>
      </c>
      <c r="U148" s="280">
        <f t="shared" si="307"/>
        <v>1785</v>
      </c>
      <c r="V148" s="441">
        <f>F146+170</f>
        <v>1755</v>
      </c>
      <c r="W148" s="280">
        <f>+V148*$X$1</f>
        <v>1755</v>
      </c>
      <c r="X148" s="881"/>
      <c r="Y148" s="882"/>
      <c r="Z148" s="882"/>
      <c r="AA148" s="883"/>
      <c r="AB148" s="398">
        <v>326</v>
      </c>
    </row>
    <row r="149" spans="1:34" ht="12.6" customHeight="1" x14ac:dyDescent="0.2">
      <c r="A149" s="18"/>
      <c r="B149" s="659" t="s">
        <v>345</v>
      </c>
      <c r="C149" s="660"/>
      <c r="D149" s="660"/>
      <c r="E149" s="660"/>
      <c r="F149" s="365">
        <f>8.3*X2</f>
        <v>9030.4000000000015</v>
      </c>
      <c r="G149" s="279">
        <f>+F149*$X$1</f>
        <v>9030.4000000000015</v>
      </c>
      <c r="H149" s="601">
        <f>F149+600</f>
        <v>9630.4000000000015</v>
      </c>
      <c r="I149" s="279">
        <f t="shared" ref="I149" si="308">+H149*$X$1</f>
        <v>9630.4000000000015</v>
      </c>
      <c r="J149" s="610">
        <f>F149+200</f>
        <v>9230.4000000000015</v>
      </c>
      <c r="K149" s="279">
        <f t="shared" si="305"/>
        <v>9230.4000000000015</v>
      </c>
      <c r="L149" s="610">
        <f>F149+150</f>
        <v>9180.4000000000015</v>
      </c>
      <c r="M149" s="279">
        <f t="shared" ref="M149" si="309">+L149*$X$1</f>
        <v>9180.4000000000015</v>
      </c>
      <c r="N149" s="610">
        <f>F149+100</f>
        <v>9130.4000000000015</v>
      </c>
      <c r="O149" s="279">
        <f>+N149*$X$1</f>
        <v>9130.4000000000015</v>
      </c>
      <c r="P149" s="610">
        <f>F149+90</f>
        <v>9120.4000000000015</v>
      </c>
      <c r="Q149" s="279">
        <f t="shared" si="306"/>
        <v>9120.4000000000015</v>
      </c>
      <c r="R149" s="610">
        <f>F149+70</f>
        <v>9100.4000000000015</v>
      </c>
      <c r="S149" s="279">
        <f>+R149*$X$1</f>
        <v>9100.4000000000015</v>
      </c>
      <c r="T149" s="610">
        <f>F149+56</f>
        <v>9086.4000000000015</v>
      </c>
      <c r="U149" s="279">
        <f t="shared" si="307"/>
        <v>9086.4000000000015</v>
      </c>
      <c r="V149" s="610">
        <f>F149+49</f>
        <v>9079.4000000000015</v>
      </c>
      <c r="W149" s="279">
        <f t="shared" ref="W149" si="310">+V149*$X$1</f>
        <v>9079.4000000000015</v>
      </c>
      <c r="X149" s="687"/>
      <c r="Y149" s="826"/>
      <c r="Z149" s="826"/>
      <c r="AA149" s="689"/>
      <c r="AB149" s="190">
        <v>332</v>
      </c>
    </row>
    <row r="150" spans="1:34" ht="12.6" customHeight="1" x14ac:dyDescent="0.2">
      <c r="A150" s="20"/>
      <c r="B150" s="887" t="s">
        <v>173</v>
      </c>
      <c r="C150" s="888"/>
      <c r="D150" s="888"/>
      <c r="E150" s="888"/>
      <c r="F150" s="280">
        <v>530</v>
      </c>
      <c r="G150" s="280">
        <f t="shared" ref="G150" si="311">+F150*$X$1</f>
        <v>530</v>
      </c>
      <c r="H150" s="547"/>
      <c r="I150" s="616"/>
      <c r="J150" s="441">
        <f>F150+400</f>
        <v>930</v>
      </c>
      <c r="K150" s="280">
        <f t="shared" ref="K150" si="312">+J150*$X$1</f>
        <v>930</v>
      </c>
      <c r="L150" s="441">
        <f>F150+360</f>
        <v>890</v>
      </c>
      <c r="M150" s="280">
        <f>+L150*$X$1</f>
        <v>890</v>
      </c>
      <c r="N150" s="441">
        <f>F150+340</f>
        <v>870</v>
      </c>
      <c r="O150" s="280">
        <f>+N150*$X$1</f>
        <v>870</v>
      </c>
      <c r="P150" s="441">
        <f>F150+300</f>
        <v>830</v>
      </c>
      <c r="Q150" s="280">
        <f t="shared" ref="Q150" si="313">+P150*$X$1</f>
        <v>830</v>
      </c>
      <c r="R150" s="441">
        <f>F150+260</f>
        <v>790</v>
      </c>
      <c r="S150" s="280">
        <f>+R150*$X$1</f>
        <v>790</v>
      </c>
      <c r="T150" s="441">
        <f>F150+230</f>
        <v>760</v>
      </c>
      <c r="U150" s="280">
        <f t="shared" ref="U150" si="314">+T150*$X$1</f>
        <v>760</v>
      </c>
      <c r="V150" s="441">
        <f>F150+190</f>
        <v>720</v>
      </c>
      <c r="W150" s="280">
        <f>+V150*$X$1</f>
        <v>720</v>
      </c>
      <c r="X150" s="145"/>
      <c r="Y150" s="145"/>
      <c r="Z150" s="145"/>
      <c r="AA150" s="145"/>
      <c r="AB150" s="190">
        <v>347</v>
      </c>
    </row>
    <row r="151" spans="1:34" ht="12.6" customHeight="1" x14ac:dyDescent="0.2">
      <c r="A151" s="20"/>
      <c r="B151" s="659" t="s">
        <v>616</v>
      </c>
      <c r="C151" s="660"/>
      <c r="D151" s="660"/>
      <c r="E151" s="660"/>
      <c r="F151" s="288"/>
      <c r="G151" s="548"/>
      <c r="H151" s="549"/>
      <c r="I151" s="610"/>
      <c r="J151" s="610"/>
      <c r="K151" s="610"/>
      <c r="L151" s="273"/>
      <c r="M151" s="273"/>
      <c r="N151" s="609"/>
      <c r="O151" s="610"/>
      <c r="P151" s="273"/>
      <c r="Q151" s="273"/>
      <c r="R151" s="610"/>
      <c r="S151" s="610"/>
      <c r="T151" s="610"/>
      <c r="U151" s="94"/>
      <c r="V151" s="610"/>
      <c r="W151" s="94"/>
      <c r="X151" s="145"/>
      <c r="Y151" s="145"/>
      <c r="Z151" s="145"/>
      <c r="AA151" s="145"/>
      <c r="AB151" s="190">
        <v>348</v>
      </c>
    </row>
    <row r="152" spans="1:34" ht="12.6" customHeight="1" x14ac:dyDescent="0.2">
      <c r="A152" s="20"/>
      <c r="B152" s="647" t="s">
        <v>174</v>
      </c>
      <c r="C152" s="648"/>
      <c r="D152" s="648"/>
      <c r="E152" s="648"/>
      <c r="F152" s="287"/>
      <c r="G152" s="550"/>
      <c r="H152" s="441"/>
      <c r="I152" s="441"/>
      <c r="J152" s="441"/>
      <c r="K152" s="441"/>
      <c r="L152" s="272"/>
      <c r="M152" s="272"/>
      <c r="N152" s="614"/>
      <c r="O152" s="441"/>
      <c r="P152" s="272"/>
      <c r="Q152" s="272"/>
      <c r="R152" s="441"/>
      <c r="S152" s="441"/>
      <c r="T152" s="441"/>
      <c r="U152" s="92"/>
      <c r="V152" s="441"/>
      <c r="W152" s="92"/>
      <c r="X152" s="145"/>
      <c r="Y152" s="145"/>
      <c r="Z152" s="145"/>
      <c r="AA152" s="145"/>
      <c r="AB152" s="190">
        <v>349</v>
      </c>
    </row>
    <row r="153" spans="1:34" ht="12.6" customHeight="1" x14ac:dyDescent="0.2">
      <c r="A153" s="20"/>
      <c r="B153" s="659" t="s">
        <v>175</v>
      </c>
      <c r="C153" s="660"/>
      <c r="D153" s="660"/>
      <c r="E153" s="660"/>
      <c r="F153" s="288"/>
      <c r="G153" s="548"/>
      <c r="H153" s="549"/>
      <c r="I153" s="610"/>
      <c r="J153" s="610"/>
      <c r="K153" s="610"/>
      <c r="L153" s="273"/>
      <c r="M153" s="273"/>
      <c r="N153" s="609"/>
      <c r="O153" s="610"/>
      <c r="P153" s="273"/>
      <c r="Q153" s="273"/>
      <c r="R153" s="610"/>
      <c r="S153" s="610"/>
      <c r="T153" s="610"/>
      <c r="U153" s="94"/>
      <c r="V153" s="610"/>
      <c r="W153" s="94"/>
      <c r="X153" s="145"/>
      <c r="Y153" s="145"/>
      <c r="Z153" s="145"/>
      <c r="AA153" s="145"/>
      <c r="AB153" s="190">
        <v>350</v>
      </c>
    </row>
    <row r="154" spans="1:34" ht="12.6" customHeight="1" x14ac:dyDescent="0.2">
      <c r="A154" s="20"/>
      <c r="B154" s="647" t="s">
        <v>176</v>
      </c>
      <c r="C154" s="648"/>
      <c r="D154" s="648"/>
      <c r="E154" s="648"/>
      <c r="F154" s="287"/>
      <c r="G154" s="550"/>
      <c r="H154" s="441"/>
      <c r="I154" s="441"/>
      <c r="J154" s="441"/>
      <c r="K154" s="441"/>
      <c r="L154" s="272"/>
      <c r="M154" s="272"/>
      <c r="N154" s="614"/>
      <c r="O154" s="441"/>
      <c r="P154" s="272"/>
      <c r="Q154" s="272"/>
      <c r="R154" s="441"/>
      <c r="S154" s="441"/>
      <c r="T154" s="441"/>
      <c r="U154" s="92"/>
      <c r="V154" s="441"/>
      <c r="W154" s="92"/>
      <c r="X154" s="145"/>
      <c r="Y154" s="145"/>
      <c r="Z154" s="145"/>
      <c r="AA154" s="145"/>
      <c r="AB154" s="190">
        <v>351</v>
      </c>
    </row>
    <row r="155" spans="1:34" ht="12.6" customHeight="1" x14ac:dyDescent="0.2">
      <c r="A155" s="20"/>
      <c r="B155" s="659" t="s">
        <v>177</v>
      </c>
      <c r="C155" s="660"/>
      <c r="D155" s="660"/>
      <c r="E155" s="660"/>
      <c r="F155" s="288"/>
      <c r="G155" s="548"/>
      <c r="H155" s="549"/>
      <c r="I155" s="610"/>
      <c r="J155" s="610"/>
      <c r="K155" s="610"/>
      <c r="L155" s="273"/>
      <c r="M155" s="273"/>
      <c r="N155" s="101"/>
      <c r="O155" s="610"/>
      <c r="P155" s="273"/>
      <c r="Q155" s="273"/>
      <c r="R155" s="610"/>
      <c r="S155" s="610"/>
      <c r="T155" s="101"/>
      <c r="U155" s="560"/>
      <c r="V155" s="101"/>
      <c r="W155" s="560"/>
      <c r="X155" s="145"/>
      <c r="Y155" s="145"/>
      <c r="Z155" s="145"/>
      <c r="AA155" s="145"/>
      <c r="AB155" s="190">
        <v>352</v>
      </c>
    </row>
    <row r="156" spans="1:34" ht="12.75" customHeight="1" x14ac:dyDescent="0.2">
      <c r="A156" s="18"/>
      <c r="B156" s="3"/>
      <c r="C156" s="3"/>
      <c r="D156" s="3"/>
      <c r="E156" s="3"/>
      <c r="F156" s="126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64"/>
      <c r="F157" s="126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8"/>
      <c r="B158" s="3"/>
      <c r="C158" s="3"/>
      <c r="D158" s="3"/>
      <c r="E158" s="3"/>
      <c r="F158" s="97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8"/>
      <c r="B159" s="745" t="s">
        <v>11</v>
      </c>
      <c r="C159" s="690" t="s">
        <v>12</v>
      </c>
      <c r="D159" s="691"/>
      <c r="E159" s="691"/>
      <c r="F159" s="685" t="s">
        <v>13</v>
      </c>
      <c r="G159" s="685" t="s">
        <v>13</v>
      </c>
      <c r="H159" s="692" t="s">
        <v>794</v>
      </c>
      <c r="I159" s="692"/>
      <c r="J159" s="693"/>
      <c r="K159" s="693"/>
      <c r="L159" s="693"/>
      <c r="M159" s="693"/>
      <c r="N159" s="693"/>
      <c r="O159" s="693"/>
      <c r="P159" s="693"/>
      <c r="Q159" s="693"/>
      <c r="R159" s="693"/>
      <c r="S159" s="693"/>
      <c r="T159" s="693"/>
      <c r="U159" s="693"/>
      <c r="V159" s="693"/>
      <c r="W159" s="693"/>
      <c r="X159" s="651" t="s">
        <v>14</v>
      </c>
      <c r="Y159" s="652"/>
      <c r="Z159" s="652"/>
      <c r="AA159" s="653"/>
      <c r="AB159" s="798" t="s">
        <v>15</v>
      </c>
      <c r="AF159" s="760" t="s">
        <v>3</v>
      </c>
      <c r="AG159" s="761"/>
      <c r="AH159" s="761"/>
    </row>
    <row r="160" spans="1:34" ht="12.6" customHeight="1" x14ac:dyDescent="0.2">
      <c r="A160" s="18"/>
      <c r="B160" s="745"/>
      <c r="C160" s="691"/>
      <c r="D160" s="691"/>
      <c r="E160" s="691"/>
      <c r="F160" s="686"/>
      <c r="G160" s="686"/>
      <c r="H160" s="454"/>
      <c r="I160" s="452" t="s">
        <v>285</v>
      </c>
      <c r="J160" s="454"/>
      <c r="K160" s="452" t="s">
        <v>17</v>
      </c>
      <c r="L160" s="455"/>
      <c r="M160" s="455" t="s">
        <v>18</v>
      </c>
      <c r="N160" s="455"/>
      <c r="O160" s="452" t="s">
        <v>19</v>
      </c>
      <c r="P160" s="455"/>
      <c r="Q160" s="455" t="s">
        <v>286</v>
      </c>
      <c r="R160" s="455"/>
      <c r="S160" s="455" t="s">
        <v>20</v>
      </c>
      <c r="T160" s="455"/>
      <c r="U160" s="455" t="s">
        <v>21</v>
      </c>
      <c r="V160" s="455"/>
      <c r="W160" s="455" t="s">
        <v>22</v>
      </c>
      <c r="X160" s="654"/>
      <c r="Y160" s="655"/>
      <c r="Z160" s="655"/>
      <c r="AA160" s="656"/>
      <c r="AB160" s="799"/>
      <c r="AG160" s="33"/>
    </row>
    <row r="161" spans="1:38" ht="12.6" customHeight="1" x14ac:dyDescent="0.2">
      <c r="A161" s="20"/>
      <c r="B161" s="661" t="s">
        <v>362</v>
      </c>
      <c r="C161" s="694"/>
      <c r="D161" s="694"/>
      <c r="E161" s="695"/>
      <c r="F161" s="369">
        <f>0.65*X2</f>
        <v>707.2</v>
      </c>
      <c r="G161" s="295">
        <f t="shared" ref="G161" si="315">+F161*$X$1</f>
        <v>707.2</v>
      </c>
      <c r="H161" s="98"/>
      <c r="I161" s="280"/>
      <c r="J161" s="87"/>
      <c r="K161" s="280"/>
      <c r="L161" s="441">
        <f t="shared" ref="L161" si="316">F161+150</f>
        <v>857.2</v>
      </c>
      <c r="M161" s="280">
        <f t="shared" ref="M161" si="317">+L161*$X$1</f>
        <v>857.2</v>
      </c>
      <c r="N161" s="441">
        <f t="shared" ref="N161" si="318">F161+110</f>
        <v>817.2</v>
      </c>
      <c r="O161" s="280">
        <f t="shared" ref="O161" si="319">+N161*$X$1</f>
        <v>817.2</v>
      </c>
      <c r="P161" s="441">
        <f t="shared" ref="P161" si="320">F161+100</f>
        <v>807.2</v>
      </c>
      <c r="Q161" s="280">
        <f t="shared" ref="Q161" si="321">+P161*$X$1</f>
        <v>807.2</v>
      </c>
      <c r="R161" s="441">
        <f t="shared" ref="R161" si="322">F161+80</f>
        <v>787.2</v>
      </c>
      <c r="S161" s="280">
        <f t="shared" ref="S161" si="323">+R161*$X$1</f>
        <v>787.2</v>
      </c>
      <c r="T161" s="441">
        <f t="shared" ref="T161" si="324">F161+65</f>
        <v>772.2</v>
      </c>
      <c r="U161" s="280">
        <f t="shared" ref="U161" si="325">+T161*$X$1</f>
        <v>772.2</v>
      </c>
      <c r="V161" s="441">
        <f t="shared" ref="V161" si="326">F161+56</f>
        <v>763.2</v>
      </c>
      <c r="W161" s="280">
        <f t="shared" ref="W161" si="327">+V161*$X$1</f>
        <v>763.2</v>
      </c>
      <c r="X161" s="736"/>
      <c r="Y161" s="879"/>
      <c r="Z161" s="879"/>
      <c r="AA161" s="880"/>
      <c r="AB161" s="190">
        <v>370</v>
      </c>
    </row>
    <row r="162" spans="1:38" ht="12.6" customHeight="1" x14ac:dyDescent="0.2">
      <c r="A162" s="20"/>
      <c r="B162" s="808" t="s">
        <v>530</v>
      </c>
      <c r="C162" s="809"/>
      <c r="D162" s="809"/>
      <c r="E162" s="810"/>
      <c r="F162" s="296">
        <v>1094</v>
      </c>
      <c r="G162" s="252">
        <f t="shared" ref="G162" si="328">+F162*$X$1</f>
        <v>1094</v>
      </c>
      <c r="H162" s="375"/>
      <c r="I162" s="279"/>
      <c r="J162" s="70">
        <f>F162+200</f>
        <v>1294</v>
      </c>
      <c r="K162" s="279">
        <f t="shared" ref="K162" si="329">+J162*$X$1</f>
        <v>1294</v>
      </c>
      <c r="L162" s="610">
        <f t="shared" ref="L162" si="330">F162+150</f>
        <v>1244</v>
      </c>
      <c r="M162" s="279">
        <f t="shared" ref="M162" si="331">+L162*$X$1</f>
        <v>1244</v>
      </c>
      <c r="N162" s="610">
        <f t="shared" ref="N162" si="332">F162+110</f>
        <v>1204</v>
      </c>
      <c r="O162" s="279">
        <f t="shared" ref="O162" si="333">+N162*$X$1</f>
        <v>1204</v>
      </c>
      <c r="P162" s="610">
        <f t="shared" ref="P162" si="334">F162+100</f>
        <v>1194</v>
      </c>
      <c r="Q162" s="279">
        <f t="shared" ref="Q162" si="335">+P162*$X$1</f>
        <v>1194</v>
      </c>
      <c r="R162" s="610">
        <f t="shared" ref="R162" si="336">F162+80</f>
        <v>1174</v>
      </c>
      <c r="S162" s="279">
        <f t="shared" ref="S162" si="337">+R162*$X$1</f>
        <v>1174</v>
      </c>
      <c r="T162" s="610">
        <f t="shared" ref="T162" si="338">F162+65</f>
        <v>1159</v>
      </c>
      <c r="U162" s="279">
        <f t="shared" ref="U162" si="339">+T162*$X$1</f>
        <v>1159</v>
      </c>
      <c r="V162" s="610">
        <f t="shared" ref="V162" si="340">F162+56</f>
        <v>1150</v>
      </c>
      <c r="W162" s="279">
        <f t="shared" ref="W162" si="341">+V162*$X$1</f>
        <v>1150</v>
      </c>
      <c r="X162" s="736"/>
      <c r="Y162" s="879"/>
      <c r="Z162" s="879"/>
      <c r="AA162" s="880"/>
      <c r="AB162" s="387">
        <v>373</v>
      </c>
    </row>
    <row r="163" spans="1:38" ht="12.6" customHeight="1" x14ac:dyDescent="0.2">
      <c r="A163" s="20"/>
      <c r="B163" s="661" t="s">
        <v>178</v>
      </c>
      <c r="C163" s="694"/>
      <c r="D163" s="694"/>
      <c r="E163" s="695"/>
      <c r="F163" s="366">
        <f>1.36*X2</f>
        <v>1479.68</v>
      </c>
      <c r="G163" s="295">
        <f>+F163*$X$1</f>
        <v>1479.68</v>
      </c>
      <c r="H163" s="98"/>
      <c r="I163" s="280"/>
      <c r="J163" s="87">
        <f>F163+200</f>
        <v>1679.68</v>
      </c>
      <c r="K163" s="280">
        <f t="shared" ref="K163:K164" si="342">+J163*$X$1</f>
        <v>1679.68</v>
      </c>
      <c r="L163" s="441">
        <f t="shared" ref="L163" si="343">F163+150</f>
        <v>1629.68</v>
      </c>
      <c r="M163" s="280">
        <f t="shared" ref="M163:M164" si="344">+L163*$X$1</f>
        <v>1629.68</v>
      </c>
      <c r="N163" s="441">
        <f t="shared" ref="N163" si="345">F163+110</f>
        <v>1589.68</v>
      </c>
      <c r="O163" s="280">
        <f t="shared" ref="O163" si="346">+N163*$X$1</f>
        <v>1589.68</v>
      </c>
      <c r="P163" s="441">
        <f t="shared" ref="P163" si="347">F163+100</f>
        <v>1579.68</v>
      </c>
      <c r="Q163" s="280">
        <f t="shared" ref="Q163:Q164" si="348">+P163*$X$1</f>
        <v>1579.68</v>
      </c>
      <c r="R163" s="441">
        <f t="shared" ref="R163" si="349">F163+80</f>
        <v>1559.68</v>
      </c>
      <c r="S163" s="280">
        <f t="shared" ref="S163" si="350">+R163*$X$1</f>
        <v>1559.68</v>
      </c>
      <c r="T163" s="441">
        <f t="shared" ref="T163" si="351">F163+65</f>
        <v>1544.68</v>
      </c>
      <c r="U163" s="280">
        <f t="shared" ref="U163:U164" si="352">+T163*$X$1</f>
        <v>1544.68</v>
      </c>
      <c r="V163" s="441">
        <f t="shared" ref="V163" si="353">F163+56</f>
        <v>1535.68</v>
      </c>
      <c r="W163" s="280">
        <f t="shared" ref="W163:W164" si="354">+V163*$X$1</f>
        <v>1535.68</v>
      </c>
      <c r="X163" s="736"/>
      <c r="Y163" s="879"/>
      <c r="Z163" s="879"/>
      <c r="AA163" s="880"/>
      <c r="AB163" s="190">
        <v>375</v>
      </c>
    </row>
    <row r="164" spans="1:38" ht="12.6" customHeight="1" x14ac:dyDescent="0.2">
      <c r="A164" s="20"/>
      <c r="B164" s="664" t="s">
        <v>179</v>
      </c>
      <c r="C164" s="680"/>
      <c r="D164" s="680"/>
      <c r="E164" s="681"/>
      <c r="F164" s="365">
        <f>4.67*X2</f>
        <v>5080.96</v>
      </c>
      <c r="G164" s="252">
        <f>+F164*$X$1</f>
        <v>5080.96</v>
      </c>
      <c r="H164" s="549">
        <f>F164+600</f>
        <v>5680.96</v>
      </c>
      <c r="I164" s="279">
        <f t="shared" ref="I164" si="355">+H164*$X$1</f>
        <v>5680.96</v>
      </c>
      <c r="J164" s="610">
        <f>F164+200</f>
        <v>5280.96</v>
      </c>
      <c r="K164" s="279">
        <f t="shared" si="342"/>
        <v>5280.96</v>
      </c>
      <c r="L164" s="610">
        <f>F164+150</f>
        <v>5230.96</v>
      </c>
      <c r="M164" s="279">
        <f t="shared" si="344"/>
        <v>5230.96</v>
      </c>
      <c r="N164" s="610">
        <f>F164+100</f>
        <v>5180.96</v>
      </c>
      <c r="O164" s="279">
        <f>+N164*$X$1</f>
        <v>5180.96</v>
      </c>
      <c r="P164" s="610">
        <f>F164+90</f>
        <v>5170.96</v>
      </c>
      <c r="Q164" s="279">
        <f t="shared" si="348"/>
        <v>5170.96</v>
      </c>
      <c r="R164" s="610">
        <f>F164+70</f>
        <v>5150.96</v>
      </c>
      <c r="S164" s="279">
        <f>+R164*$X$1</f>
        <v>5150.96</v>
      </c>
      <c r="T164" s="610">
        <f>F164+56</f>
        <v>5136.96</v>
      </c>
      <c r="U164" s="279">
        <f t="shared" si="352"/>
        <v>5136.96</v>
      </c>
      <c r="V164" s="610">
        <f>F164+49</f>
        <v>5129.96</v>
      </c>
      <c r="W164" s="279">
        <f t="shared" si="354"/>
        <v>5129.96</v>
      </c>
      <c r="X164" s="687"/>
      <c r="Y164" s="826"/>
      <c r="Z164" s="826"/>
      <c r="AA164" s="689"/>
      <c r="AB164" s="190">
        <v>376</v>
      </c>
    </row>
    <row r="165" spans="1:38" ht="12.6" customHeight="1" x14ac:dyDescent="0.2">
      <c r="A165" s="20"/>
      <c r="B165" s="661" t="s">
        <v>180</v>
      </c>
      <c r="C165" s="694"/>
      <c r="D165" s="694"/>
      <c r="E165" s="695"/>
      <c r="F165" s="366">
        <f>3.56*X2</f>
        <v>3873.28</v>
      </c>
      <c r="G165" s="295">
        <f>+F165*$X$1</f>
        <v>3873.28</v>
      </c>
      <c r="H165" s="278"/>
      <c r="I165" s="332"/>
      <c r="J165" s="87">
        <f>F165+200</f>
        <v>4073.28</v>
      </c>
      <c r="K165" s="280">
        <f t="shared" ref="K165:K166" si="356">+J165*$X$1</f>
        <v>4073.28</v>
      </c>
      <c r="L165" s="441">
        <f t="shared" ref="L165" si="357">F165+150</f>
        <v>4023.28</v>
      </c>
      <c r="M165" s="280">
        <f t="shared" ref="M165:M166" si="358">+L165*$X$1</f>
        <v>4023.28</v>
      </c>
      <c r="N165" s="441">
        <f t="shared" ref="N165" si="359">F165+110</f>
        <v>3983.28</v>
      </c>
      <c r="O165" s="280">
        <f t="shared" ref="O165:O166" si="360">+N165*$X$1</f>
        <v>3983.28</v>
      </c>
      <c r="P165" s="441"/>
      <c r="Q165" s="280"/>
      <c r="R165" s="441"/>
      <c r="S165" s="280"/>
      <c r="T165" s="100"/>
      <c r="U165" s="295"/>
      <c r="V165" s="100"/>
      <c r="W165" s="295"/>
      <c r="X165" s="736"/>
      <c r="Y165" s="879"/>
      <c r="Z165" s="879"/>
      <c r="AA165" s="880"/>
      <c r="AB165" s="190">
        <v>379</v>
      </c>
    </row>
    <row r="166" spans="1:38" s="1" customFormat="1" ht="12.6" customHeight="1" x14ac:dyDescent="0.2">
      <c r="A166" s="19"/>
      <c r="B166" s="676" t="s">
        <v>932</v>
      </c>
      <c r="C166" s="677"/>
      <c r="D166" s="677"/>
      <c r="E166" s="678"/>
      <c r="F166" s="506">
        <f>4.27*X2</f>
        <v>4645.7599999999993</v>
      </c>
      <c r="G166" s="279">
        <f t="shared" ref="G166" si="361">+F166*$X$1</f>
        <v>4645.7599999999993</v>
      </c>
      <c r="H166" s="70">
        <f t="shared" ref="H166:H181" si="362">F166+600</f>
        <v>5245.7599999999993</v>
      </c>
      <c r="I166" s="279">
        <f t="shared" ref="I166" si="363">+H166*$X$1</f>
        <v>5245.7599999999993</v>
      </c>
      <c r="J166" s="610">
        <f>F166+220</f>
        <v>4865.7599999999993</v>
      </c>
      <c r="K166" s="279">
        <f t="shared" si="356"/>
        <v>4865.7599999999993</v>
      </c>
      <c r="L166" s="610">
        <f>F166+170</f>
        <v>4815.7599999999993</v>
      </c>
      <c r="M166" s="279">
        <f t="shared" si="358"/>
        <v>4815.7599999999993</v>
      </c>
      <c r="N166" s="610">
        <f>F166+120</f>
        <v>4765.7599999999993</v>
      </c>
      <c r="O166" s="279">
        <f t="shared" si="360"/>
        <v>4765.7599999999993</v>
      </c>
      <c r="P166" s="610">
        <f>F166+110</f>
        <v>4755.7599999999993</v>
      </c>
      <c r="Q166" s="279">
        <f t="shared" ref="Q166" si="364">+P166*$X$1</f>
        <v>4755.7599999999993</v>
      </c>
      <c r="R166" s="610">
        <f>F166+95</f>
        <v>4740.7599999999993</v>
      </c>
      <c r="S166" s="279">
        <f t="shared" ref="S166" si="365">+R166*$X$1</f>
        <v>4740.7599999999993</v>
      </c>
      <c r="T166" s="610">
        <f>F166+85</f>
        <v>4730.7599999999993</v>
      </c>
      <c r="U166" s="279">
        <f t="shared" ref="U166" si="366">+T166*$X$1</f>
        <v>4730.7599999999993</v>
      </c>
      <c r="V166" s="610">
        <f>F166+76</f>
        <v>4721.7599999999993</v>
      </c>
      <c r="W166" s="279">
        <f t="shared" ref="W166:W169" si="367">+V166*$X$1</f>
        <v>4721.7599999999993</v>
      </c>
      <c r="X166" s="577"/>
      <c r="Y166" s="578"/>
      <c r="Z166" s="578"/>
      <c r="AA166" s="579"/>
      <c r="AB166" s="190">
        <v>380</v>
      </c>
      <c r="AC166" s="4"/>
      <c r="AD166" s="4"/>
      <c r="AE166" s="4"/>
      <c r="AF166" s="4"/>
      <c r="AG166" s="4"/>
      <c r="AH166" s="126"/>
      <c r="AI166" s="4"/>
      <c r="AJ166" s="4"/>
      <c r="AK166" s="4"/>
      <c r="AL166" s="4"/>
    </row>
    <row r="167" spans="1:38" ht="12.6" customHeight="1" x14ac:dyDescent="0.2">
      <c r="A167" s="102"/>
      <c r="B167" s="676" t="s">
        <v>929</v>
      </c>
      <c r="C167" s="677"/>
      <c r="D167" s="677"/>
      <c r="E167" s="678"/>
      <c r="F167" s="366">
        <f>2.64*X2</f>
        <v>2872.32</v>
      </c>
      <c r="G167" s="280">
        <f t="shared" ref="G167" si="368">+F167*$X$1</f>
        <v>2872.32</v>
      </c>
      <c r="H167" s="441">
        <f t="shared" si="362"/>
        <v>3472.32</v>
      </c>
      <c r="I167" s="280">
        <f t="shared" ref="I167:I169" si="369">+H167*$X$1</f>
        <v>3472.32</v>
      </c>
      <c r="J167" s="87">
        <f t="shared" ref="J167:J176" si="370">F167+200</f>
        <v>3072.32</v>
      </c>
      <c r="K167" s="280">
        <f t="shared" ref="K167:K169" si="371">+J167*$X$1</f>
        <v>3072.32</v>
      </c>
      <c r="L167" s="441">
        <f t="shared" ref="L167:L169" si="372">F167+150</f>
        <v>3022.32</v>
      </c>
      <c r="M167" s="280">
        <f t="shared" ref="M167:M169" si="373">+L167*$X$1</f>
        <v>3022.32</v>
      </c>
      <c r="N167" s="441">
        <f t="shared" ref="N167:N169" si="374">F167+110</f>
        <v>2982.32</v>
      </c>
      <c r="O167" s="280">
        <f t="shared" ref="O167:O169" si="375">+N167*$X$1</f>
        <v>2982.32</v>
      </c>
      <c r="P167" s="441">
        <f t="shared" ref="P167:P169" si="376">F167+100</f>
        <v>2972.32</v>
      </c>
      <c r="Q167" s="280">
        <f t="shared" ref="Q167:Q169" si="377">+P167*$X$1</f>
        <v>2972.32</v>
      </c>
      <c r="R167" s="441">
        <f t="shared" ref="R167:R169" si="378">F167+80</f>
        <v>2952.32</v>
      </c>
      <c r="S167" s="280">
        <f t="shared" ref="S167:S169" si="379">+R167*$X$1</f>
        <v>2952.32</v>
      </c>
      <c r="T167" s="441">
        <f t="shared" ref="T167:T169" si="380">F167+65</f>
        <v>2937.32</v>
      </c>
      <c r="U167" s="280">
        <f t="shared" ref="U167:U169" si="381">+T167*$X$1</f>
        <v>2937.32</v>
      </c>
      <c r="V167" s="441">
        <f t="shared" ref="V167:V169" si="382">F167+56</f>
        <v>2928.32</v>
      </c>
      <c r="W167" s="280">
        <f t="shared" si="367"/>
        <v>2928.32</v>
      </c>
      <c r="X167" s="736"/>
      <c r="Y167" s="879"/>
      <c r="Z167" s="879"/>
      <c r="AA167" s="880"/>
      <c r="AB167" s="190">
        <v>381</v>
      </c>
    </row>
    <row r="168" spans="1:38" ht="12.6" customHeight="1" x14ac:dyDescent="0.2">
      <c r="A168" s="102"/>
      <c r="B168" s="664" t="s">
        <v>381</v>
      </c>
      <c r="C168" s="680"/>
      <c r="D168" s="680"/>
      <c r="E168" s="681"/>
      <c r="F168" s="365">
        <f>1.87*X2</f>
        <v>2034.5600000000002</v>
      </c>
      <c r="G168" s="252">
        <f t="shared" ref="G168:G171" si="383">+F168*$X$1</f>
        <v>2034.5600000000002</v>
      </c>
      <c r="H168" s="441">
        <f t="shared" si="362"/>
        <v>2634.5600000000004</v>
      </c>
      <c r="I168" s="279">
        <f t="shared" si="369"/>
        <v>2634.5600000000004</v>
      </c>
      <c r="J168" s="70">
        <f t="shared" si="370"/>
        <v>2234.5600000000004</v>
      </c>
      <c r="K168" s="279">
        <f t="shared" si="371"/>
        <v>2234.5600000000004</v>
      </c>
      <c r="L168" s="610">
        <f t="shared" si="372"/>
        <v>2184.5600000000004</v>
      </c>
      <c r="M168" s="279">
        <f t="shared" si="373"/>
        <v>2184.5600000000004</v>
      </c>
      <c r="N168" s="610">
        <f t="shared" si="374"/>
        <v>2144.5600000000004</v>
      </c>
      <c r="O168" s="279">
        <f t="shared" si="375"/>
        <v>2144.5600000000004</v>
      </c>
      <c r="P168" s="610">
        <f t="shared" si="376"/>
        <v>2134.5600000000004</v>
      </c>
      <c r="Q168" s="279">
        <f t="shared" si="377"/>
        <v>2134.5600000000004</v>
      </c>
      <c r="R168" s="610">
        <f t="shared" si="378"/>
        <v>2114.5600000000004</v>
      </c>
      <c r="S168" s="279">
        <f t="shared" si="379"/>
        <v>2114.5600000000004</v>
      </c>
      <c r="T168" s="610">
        <f t="shared" si="380"/>
        <v>2099.5600000000004</v>
      </c>
      <c r="U168" s="279">
        <f t="shared" si="381"/>
        <v>2099.5600000000004</v>
      </c>
      <c r="V168" s="610">
        <f t="shared" si="382"/>
        <v>2090.5600000000004</v>
      </c>
      <c r="W168" s="279">
        <f t="shared" si="367"/>
        <v>2090.5600000000004</v>
      </c>
      <c r="X168" s="736"/>
      <c r="Y168" s="879"/>
      <c r="Z168" s="879"/>
      <c r="AA168" s="880"/>
      <c r="AB168" s="190">
        <v>382</v>
      </c>
    </row>
    <row r="169" spans="1:38" ht="12.6" customHeight="1" x14ac:dyDescent="0.2">
      <c r="A169" s="102"/>
      <c r="B169" s="676" t="s">
        <v>938</v>
      </c>
      <c r="C169" s="677"/>
      <c r="D169" s="677"/>
      <c r="E169" s="678"/>
      <c r="F169" s="366">
        <f>33.35*X2</f>
        <v>36284.800000000003</v>
      </c>
      <c r="G169" s="280">
        <f t="shared" si="383"/>
        <v>36284.800000000003</v>
      </c>
      <c r="H169" s="441">
        <f t="shared" si="362"/>
        <v>36884.800000000003</v>
      </c>
      <c r="I169" s="280">
        <f t="shared" si="369"/>
        <v>36884.800000000003</v>
      </c>
      <c r="J169" s="87">
        <f t="shared" si="370"/>
        <v>36484.800000000003</v>
      </c>
      <c r="K169" s="280">
        <f t="shared" si="371"/>
        <v>36484.800000000003</v>
      </c>
      <c r="L169" s="441">
        <f t="shared" si="372"/>
        <v>36434.800000000003</v>
      </c>
      <c r="M169" s="280">
        <f t="shared" si="373"/>
        <v>36434.800000000003</v>
      </c>
      <c r="N169" s="441">
        <f t="shared" si="374"/>
        <v>36394.800000000003</v>
      </c>
      <c r="O169" s="280">
        <f t="shared" si="375"/>
        <v>36394.800000000003</v>
      </c>
      <c r="P169" s="441">
        <f t="shared" si="376"/>
        <v>36384.800000000003</v>
      </c>
      <c r="Q169" s="280">
        <f t="shared" si="377"/>
        <v>36384.800000000003</v>
      </c>
      <c r="R169" s="441">
        <f t="shared" si="378"/>
        <v>36364.800000000003</v>
      </c>
      <c r="S169" s="280">
        <f t="shared" si="379"/>
        <v>36364.800000000003</v>
      </c>
      <c r="T169" s="441">
        <f t="shared" si="380"/>
        <v>36349.800000000003</v>
      </c>
      <c r="U169" s="280">
        <f t="shared" si="381"/>
        <v>36349.800000000003</v>
      </c>
      <c r="V169" s="441">
        <f t="shared" si="382"/>
        <v>36340.800000000003</v>
      </c>
      <c r="W169" s="280">
        <f t="shared" si="367"/>
        <v>36340.800000000003</v>
      </c>
      <c r="X169" s="736"/>
      <c r="Y169" s="879"/>
      <c r="Z169" s="879"/>
      <c r="AA169" s="880"/>
      <c r="AB169" s="190">
        <v>384</v>
      </c>
    </row>
    <row r="170" spans="1:38" ht="12.6" customHeight="1" x14ac:dyDescent="0.2">
      <c r="A170" s="20"/>
      <c r="B170" s="664" t="s">
        <v>884</v>
      </c>
      <c r="C170" s="680"/>
      <c r="D170" s="680"/>
      <c r="E170" s="681"/>
      <c r="F170" s="365">
        <f>21.9*X2</f>
        <v>23827.199999999997</v>
      </c>
      <c r="G170" s="252">
        <f t="shared" si="383"/>
        <v>23827.199999999997</v>
      </c>
      <c r="H170" s="610">
        <f t="shared" si="362"/>
        <v>24427.199999999997</v>
      </c>
      <c r="I170" s="279">
        <f t="shared" ref="I170:I174" si="384">+H170*$X$1</f>
        <v>24427.199999999997</v>
      </c>
      <c r="J170" s="610">
        <f t="shared" si="370"/>
        <v>24027.199999999997</v>
      </c>
      <c r="K170" s="279">
        <f t="shared" ref="K170:K174" si="385">+J170*$X$1</f>
        <v>24027.199999999997</v>
      </c>
      <c r="L170" s="610">
        <f>F170+150</f>
        <v>23977.199999999997</v>
      </c>
      <c r="M170" s="279">
        <f t="shared" ref="M170:M174" si="386">+L170*$X$1</f>
        <v>23977.199999999997</v>
      </c>
      <c r="N170" s="610">
        <f>F170+100</f>
        <v>23927.199999999997</v>
      </c>
      <c r="O170" s="279">
        <f>+N170*$X$1</f>
        <v>23927.199999999997</v>
      </c>
      <c r="P170" s="610">
        <f>F170+90</f>
        <v>23917.199999999997</v>
      </c>
      <c r="Q170" s="279">
        <f t="shared" ref="Q170:Q174" si="387">+P170*$X$1</f>
        <v>23917.199999999997</v>
      </c>
      <c r="R170" s="610">
        <f>F170+70</f>
        <v>23897.199999999997</v>
      </c>
      <c r="S170" s="279">
        <f>+R170*$X$1</f>
        <v>23897.199999999997</v>
      </c>
      <c r="T170" s="610">
        <f>F170+56</f>
        <v>23883.199999999997</v>
      </c>
      <c r="U170" s="279">
        <f t="shared" ref="U170:U178" si="388">+T170*$X$1</f>
        <v>23883.199999999997</v>
      </c>
      <c r="V170" s="610">
        <f>F170+49</f>
        <v>23876.199999999997</v>
      </c>
      <c r="W170" s="279">
        <f t="shared" ref="W170:W178" si="389">+V170*$X$1</f>
        <v>23876.199999999997</v>
      </c>
      <c r="X170" s="736"/>
      <c r="Y170" s="879"/>
      <c r="Z170" s="879"/>
      <c r="AA170" s="880"/>
      <c r="AB170" s="190">
        <v>392</v>
      </c>
    </row>
    <row r="171" spans="1:38" ht="12.6" customHeight="1" x14ac:dyDescent="0.2">
      <c r="A171" s="20"/>
      <c r="B171" s="676" t="s">
        <v>952</v>
      </c>
      <c r="C171" s="677"/>
      <c r="D171" s="677"/>
      <c r="E171" s="678"/>
      <c r="F171" s="366">
        <f>54*X2</f>
        <v>58752</v>
      </c>
      <c r="G171" s="295">
        <f t="shared" si="383"/>
        <v>58752</v>
      </c>
      <c r="H171" s="441">
        <f t="shared" si="362"/>
        <v>59352</v>
      </c>
      <c r="I171" s="280">
        <f t="shared" si="384"/>
        <v>59352</v>
      </c>
      <c r="J171" s="87">
        <f t="shared" si="370"/>
        <v>58952</v>
      </c>
      <c r="K171" s="280">
        <f t="shared" si="385"/>
        <v>58952</v>
      </c>
      <c r="L171" s="441">
        <f t="shared" ref="L171:L174" si="390">F171+150</f>
        <v>58902</v>
      </c>
      <c r="M171" s="280">
        <f t="shared" si="386"/>
        <v>58902</v>
      </c>
      <c r="N171" s="441">
        <f t="shared" ref="N171:N174" si="391">F171+110</f>
        <v>58862</v>
      </c>
      <c r="O171" s="280">
        <f t="shared" ref="O171:O174" si="392">+N171*$X$1</f>
        <v>58862</v>
      </c>
      <c r="P171" s="441">
        <f t="shared" ref="P171:P174" si="393">F171+100</f>
        <v>58852</v>
      </c>
      <c r="Q171" s="280">
        <f t="shared" si="387"/>
        <v>58852</v>
      </c>
      <c r="R171" s="441">
        <f t="shared" ref="R171:R174" si="394">F171+80</f>
        <v>58832</v>
      </c>
      <c r="S171" s="280">
        <f t="shared" ref="S171:S174" si="395">+R171*$X$1</f>
        <v>58832</v>
      </c>
      <c r="T171" s="441">
        <f t="shared" ref="T171:T174" si="396">F171+65</f>
        <v>58817</v>
      </c>
      <c r="U171" s="280">
        <f t="shared" si="388"/>
        <v>58817</v>
      </c>
      <c r="V171" s="441">
        <f t="shared" ref="V171:V174" si="397">F171+56</f>
        <v>58808</v>
      </c>
      <c r="W171" s="280">
        <f t="shared" si="389"/>
        <v>58808</v>
      </c>
      <c r="X171" s="736"/>
      <c r="Y171" s="879"/>
      <c r="Z171" s="879"/>
      <c r="AA171" s="880"/>
      <c r="AB171" s="190">
        <v>393</v>
      </c>
    </row>
    <row r="172" spans="1:38" ht="12.6" customHeight="1" x14ac:dyDescent="0.2">
      <c r="A172" s="20"/>
      <c r="B172" s="676" t="s">
        <v>951</v>
      </c>
      <c r="C172" s="677"/>
      <c r="D172" s="677"/>
      <c r="E172" s="678"/>
      <c r="F172" s="365">
        <f>49*X2</f>
        <v>53312</v>
      </c>
      <c r="G172" s="252">
        <f t="shared" ref="G172" si="398">+F172*$X$1</f>
        <v>53312</v>
      </c>
      <c r="H172" s="441">
        <f t="shared" si="362"/>
        <v>53912</v>
      </c>
      <c r="I172" s="279">
        <f t="shared" si="384"/>
        <v>53912</v>
      </c>
      <c r="J172" s="70">
        <f t="shared" si="370"/>
        <v>53512</v>
      </c>
      <c r="K172" s="279">
        <f t="shared" si="385"/>
        <v>53512</v>
      </c>
      <c r="L172" s="610">
        <f t="shared" si="390"/>
        <v>53462</v>
      </c>
      <c r="M172" s="279">
        <f t="shared" si="386"/>
        <v>53462</v>
      </c>
      <c r="N172" s="610">
        <f t="shared" si="391"/>
        <v>53422</v>
      </c>
      <c r="O172" s="279">
        <f t="shared" si="392"/>
        <v>53422</v>
      </c>
      <c r="P172" s="610">
        <f t="shared" si="393"/>
        <v>53412</v>
      </c>
      <c r="Q172" s="279">
        <f t="shared" si="387"/>
        <v>53412</v>
      </c>
      <c r="R172" s="610">
        <f t="shared" si="394"/>
        <v>53392</v>
      </c>
      <c r="S172" s="279">
        <f t="shared" si="395"/>
        <v>53392</v>
      </c>
      <c r="T172" s="610">
        <f t="shared" si="396"/>
        <v>53377</v>
      </c>
      <c r="U172" s="279">
        <f t="shared" si="388"/>
        <v>53377</v>
      </c>
      <c r="V172" s="610">
        <f t="shared" si="397"/>
        <v>53368</v>
      </c>
      <c r="W172" s="279">
        <f t="shared" si="389"/>
        <v>53368</v>
      </c>
      <c r="X172" s="736"/>
      <c r="Y172" s="879"/>
      <c r="Z172" s="879"/>
      <c r="AA172" s="880"/>
      <c r="AB172" s="190">
        <v>394</v>
      </c>
    </row>
    <row r="173" spans="1:38" ht="12.6" customHeight="1" x14ac:dyDescent="0.2">
      <c r="A173" s="20"/>
      <c r="B173" s="661" t="s">
        <v>927</v>
      </c>
      <c r="C173" s="694"/>
      <c r="D173" s="694"/>
      <c r="E173" s="695"/>
      <c r="F173" s="366">
        <f>17.8*X2</f>
        <v>19366.400000000001</v>
      </c>
      <c r="G173" s="295">
        <f t="shared" ref="G173:G175" si="399">+F173*$X$1</f>
        <v>19366.400000000001</v>
      </c>
      <c r="H173" s="441">
        <f t="shared" si="362"/>
        <v>19966.400000000001</v>
      </c>
      <c r="I173" s="280">
        <f t="shared" si="384"/>
        <v>19966.400000000001</v>
      </c>
      <c r="J173" s="87">
        <f t="shared" si="370"/>
        <v>19566.400000000001</v>
      </c>
      <c r="K173" s="280">
        <f t="shared" si="385"/>
        <v>19566.400000000001</v>
      </c>
      <c r="L173" s="441">
        <f t="shared" si="390"/>
        <v>19516.400000000001</v>
      </c>
      <c r="M173" s="280">
        <f t="shared" si="386"/>
        <v>19516.400000000001</v>
      </c>
      <c r="N173" s="441">
        <f t="shared" si="391"/>
        <v>19476.400000000001</v>
      </c>
      <c r="O173" s="280">
        <f t="shared" si="392"/>
        <v>19476.400000000001</v>
      </c>
      <c r="P173" s="441">
        <f t="shared" si="393"/>
        <v>19466.400000000001</v>
      </c>
      <c r="Q173" s="280">
        <f t="shared" si="387"/>
        <v>19466.400000000001</v>
      </c>
      <c r="R173" s="441">
        <f t="shared" si="394"/>
        <v>19446.400000000001</v>
      </c>
      <c r="S173" s="280">
        <f t="shared" si="395"/>
        <v>19446.400000000001</v>
      </c>
      <c r="T173" s="441">
        <f t="shared" si="396"/>
        <v>19431.400000000001</v>
      </c>
      <c r="U173" s="280">
        <f t="shared" si="388"/>
        <v>19431.400000000001</v>
      </c>
      <c r="V173" s="441">
        <f t="shared" si="397"/>
        <v>19422.400000000001</v>
      </c>
      <c r="W173" s="280">
        <f t="shared" si="389"/>
        <v>19422.400000000001</v>
      </c>
      <c r="X173" s="736"/>
      <c r="Y173" s="879"/>
      <c r="Z173" s="879"/>
      <c r="AA173" s="880"/>
      <c r="AB173" s="190">
        <v>395</v>
      </c>
    </row>
    <row r="174" spans="1:38" ht="12.6" customHeight="1" x14ac:dyDescent="0.2">
      <c r="A174" s="20"/>
      <c r="B174" s="676" t="s">
        <v>965</v>
      </c>
      <c r="C174" s="677"/>
      <c r="D174" s="677"/>
      <c r="E174" s="678"/>
      <c r="F174" s="365">
        <f>22.04*X2</f>
        <v>23979.52</v>
      </c>
      <c r="G174" s="252">
        <f t="shared" ref="G174" si="400">+F174*$X$1</f>
        <v>23979.52</v>
      </c>
      <c r="H174" s="441">
        <f t="shared" si="362"/>
        <v>24579.52</v>
      </c>
      <c r="I174" s="279">
        <f t="shared" si="384"/>
        <v>24579.52</v>
      </c>
      <c r="J174" s="70">
        <f t="shared" si="370"/>
        <v>24179.52</v>
      </c>
      <c r="K174" s="279">
        <f t="shared" si="385"/>
        <v>24179.52</v>
      </c>
      <c r="L174" s="610">
        <f t="shared" si="390"/>
        <v>24129.52</v>
      </c>
      <c r="M174" s="279">
        <f t="shared" si="386"/>
        <v>24129.52</v>
      </c>
      <c r="N174" s="610">
        <f t="shared" si="391"/>
        <v>24089.52</v>
      </c>
      <c r="O174" s="279">
        <f t="shared" si="392"/>
        <v>24089.52</v>
      </c>
      <c r="P174" s="610">
        <f t="shared" si="393"/>
        <v>24079.52</v>
      </c>
      <c r="Q174" s="279">
        <f t="shared" si="387"/>
        <v>24079.52</v>
      </c>
      <c r="R174" s="610">
        <f t="shared" si="394"/>
        <v>24059.52</v>
      </c>
      <c r="S174" s="279">
        <f t="shared" si="395"/>
        <v>24059.52</v>
      </c>
      <c r="T174" s="610">
        <f t="shared" si="396"/>
        <v>24044.52</v>
      </c>
      <c r="U174" s="279">
        <f t="shared" si="388"/>
        <v>24044.52</v>
      </c>
      <c r="V174" s="610">
        <f t="shared" si="397"/>
        <v>24035.52</v>
      </c>
      <c r="W174" s="279">
        <f t="shared" si="389"/>
        <v>24035.52</v>
      </c>
      <c r="X174" s="736"/>
      <c r="Y174" s="879"/>
      <c r="Z174" s="879"/>
      <c r="AA174" s="880"/>
      <c r="AB174" s="190">
        <v>396</v>
      </c>
    </row>
    <row r="175" spans="1:38" ht="12.6" customHeight="1" x14ac:dyDescent="0.2">
      <c r="A175" s="20"/>
      <c r="B175" s="676" t="s">
        <v>925</v>
      </c>
      <c r="C175" s="677"/>
      <c r="D175" s="677"/>
      <c r="E175" s="678"/>
      <c r="F175" s="366">
        <f>29.69*X2</f>
        <v>32302.720000000001</v>
      </c>
      <c r="G175" s="295">
        <f t="shared" si="399"/>
        <v>32302.720000000001</v>
      </c>
      <c r="H175" s="441">
        <f t="shared" si="362"/>
        <v>32902.720000000001</v>
      </c>
      <c r="I175" s="280">
        <f t="shared" ref="I175:I177" si="401">+H175*$X$1</f>
        <v>32902.720000000001</v>
      </c>
      <c r="J175" s="441">
        <f t="shared" si="370"/>
        <v>32502.720000000001</v>
      </c>
      <c r="K175" s="280">
        <f t="shared" ref="K175:K177" si="402">+J175*$X$1</f>
        <v>32502.720000000001</v>
      </c>
      <c r="L175" s="441">
        <f>F175+150</f>
        <v>32452.720000000001</v>
      </c>
      <c r="M175" s="280">
        <f t="shared" ref="M175:M177" si="403">+L175*$X$1</f>
        <v>32452.720000000001</v>
      </c>
      <c r="N175" s="441">
        <f>F175+100</f>
        <v>32402.720000000001</v>
      </c>
      <c r="O175" s="280">
        <f>+N175*$X$1</f>
        <v>32402.720000000001</v>
      </c>
      <c r="P175" s="441">
        <f>F175+90</f>
        <v>32392.720000000001</v>
      </c>
      <c r="Q175" s="280">
        <f t="shared" ref="Q175:Q177" si="404">+P175*$X$1</f>
        <v>32392.720000000001</v>
      </c>
      <c r="R175" s="441">
        <f>F175+70</f>
        <v>32372.720000000001</v>
      </c>
      <c r="S175" s="280">
        <f>+R175*$X$1</f>
        <v>32372.720000000001</v>
      </c>
      <c r="T175" s="441">
        <f>F175+56</f>
        <v>32358.720000000001</v>
      </c>
      <c r="U175" s="280">
        <f t="shared" ref="U175:U177" si="405">+T175*$X$1</f>
        <v>32358.720000000001</v>
      </c>
      <c r="V175" s="441">
        <f>F175+49</f>
        <v>32351.72</v>
      </c>
      <c r="W175" s="280">
        <f t="shared" ref="W175:W177" si="406">+V175*$X$1</f>
        <v>32351.72</v>
      </c>
      <c r="X175" s="736"/>
      <c r="Y175" s="879"/>
      <c r="Z175" s="879"/>
      <c r="AA175" s="880"/>
      <c r="AB175" s="190">
        <v>397</v>
      </c>
    </row>
    <row r="176" spans="1:38" ht="12.6" customHeight="1" x14ac:dyDescent="0.2">
      <c r="A176" s="20"/>
      <c r="B176" s="664" t="s">
        <v>926</v>
      </c>
      <c r="C176" s="680"/>
      <c r="D176" s="680"/>
      <c r="E176" s="681"/>
      <c r="F176" s="365">
        <f>19.3*X2</f>
        <v>20998.400000000001</v>
      </c>
      <c r="G176" s="252">
        <f t="shared" ref="G176:G178" si="407">+F176*$X$1</f>
        <v>20998.400000000001</v>
      </c>
      <c r="H176" s="610">
        <f t="shared" si="362"/>
        <v>21598.400000000001</v>
      </c>
      <c r="I176" s="279">
        <f t="shared" si="401"/>
        <v>21598.400000000001</v>
      </c>
      <c r="J176" s="610">
        <f t="shared" si="370"/>
        <v>21198.400000000001</v>
      </c>
      <c r="K176" s="279">
        <f t="shared" si="402"/>
        <v>21198.400000000001</v>
      </c>
      <c r="L176" s="610">
        <f>F176+150</f>
        <v>21148.400000000001</v>
      </c>
      <c r="M176" s="279">
        <f t="shared" si="403"/>
        <v>21148.400000000001</v>
      </c>
      <c r="N176" s="610">
        <f>F176+100</f>
        <v>21098.400000000001</v>
      </c>
      <c r="O176" s="279">
        <f>+N176*$X$1</f>
        <v>21098.400000000001</v>
      </c>
      <c r="P176" s="610">
        <f>F176+90</f>
        <v>21088.400000000001</v>
      </c>
      <c r="Q176" s="279">
        <f t="shared" si="404"/>
        <v>21088.400000000001</v>
      </c>
      <c r="R176" s="610">
        <f>F176+70</f>
        <v>21068.400000000001</v>
      </c>
      <c r="S176" s="279">
        <f>+R176*$X$1</f>
        <v>21068.400000000001</v>
      </c>
      <c r="T176" s="610">
        <f>F176+56</f>
        <v>21054.400000000001</v>
      </c>
      <c r="U176" s="279">
        <f t="shared" si="405"/>
        <v>21054.400000000001</v>
      </c>
      <c r="V176" s="610">
        <f>F176+49</f>
        <v>21047.4</v>
      </c>
      <c r="W176" s="279">
        <f t="shared" si="406"/>
        <v>21047.4</v>
      </c>
      <c r="X176" s="736"/>
      <c r="Y176" s="879"/>
      <c r="Z176" s="879"/>
      <c r="AA176" s="880"/>
      <c r="AB176" s="190">
        <v>398</v>
      </c>
    </row>
    <row r="177" spans="1:38" s="1" customFormat="1" ht="12.6" customHeight="1" x14ac:dyDescent="0.2">
      <c r="A177" s="19"/>
      <c r="B177" s="676" t="s">
        <v>954</v>
      </c>
      <c r="C177" s="677"/>
      <c r="D177" s="677"/>
      <c r="E177" s="678"/>
      <c r="F177" s="563">
        <f>28.1*X2</f>
        <v>30572.800000000003</v>
      </c>
      <c r="G177" s="280">
        <f t="shared" si="407"/>
        <v>30572.800000000003</v>
      </c>
      <c r="H177" s="87">
        <f t="shared" si="362"/>
        <v>31172.800000000003</v>
      </c>
      <c r="I177" s="280">
        <f t="shared" si="401"/>
        <v>31172.800000000003</v>
      </c>
      <c r="J177" s="441">
        <f>F177+220</f>
        <v>30792.800000000003</v>
      </c>
      <c r="K177" s="280">
        <f t="shared" si="402"/>
        <v>30792.800000000003</v>
      </c>
      <c r="L177" s="441">
        <f>F177+170</f>
        <v>30742.800000000003</v>
      </c>
      <c r="M177" s="280">
        <f t="shared" si="403"/>
        <v>30742.800000000003</v>
      </c>
      <c r="N177" s="441">
        <f>F177+120</f>
        <v>30692.800000000003</v>
      </c>
      <c r="O177" s="280">
        <f t="shared" ref="O177" si="408">+N177*$X$1</f>
        <v>30692.800000000003</v>
      </c>
      <c r="P177" s="441">
        <f>F177+110</f>
        <v>30682.800000000003</v>
      </c>
      <c r="Q177" s="280">
        <f t="shared" si="404"/>
        <v>30682.800000000003</v>
      </c>
      <c r="R177" s="441">
        <f>F177+95</f>
        <v>30667.800000000003</v>
      </c>
      <c r="S177" s="280">
        <f t="shared" ref="S177" si="409">+R177*$X$1</f>
        <v>30667.800000000003</v>
      </c>
      <c r="T177" s="441">
        <f>F177+85</f>
        <v>30657.800000000003</v>
      </c>
      <c r="U177" s="280">
        <f t="shared" si="405"/>
        <v>30657.800000000003</v>
      </c>
      <c r="V177" s="441">
        <f>F177+76</f>
        <v>30648.800000000003</v>
      </c>
      <c r="W177" s="280">
        <f t="shared" si="406"/>
        <v>30648.800000000003</v>
      </c>
      <c r="X177" s="592"/>
      <c r="Y177" s="593"/>
      <c r="Z177" s="593"/>
      <c r="AA177" s="594"/>
      <c r="AB177" s="190">
        <v>399</v>
      </c>
      <c r="AC177" s="4"/>
      <c r="AD177" s="4"/>
      <c r="AE177" s="4"/>
      <c r="AF177" s="4"/>
      <c r="AG177" s="4"/>
      <c r="AH177" s="126"/>
      <c r="AI177" s="4"/>
      <c r="AJ177" s="4"/>
      <c r="AK177" s="4"/>
      <c r="AL177" s="4"/>
    </row>
    <row r="178" spans="1:38" ht="12.6" customHeight="1" x14ac:dyDescent="0.2">
      <c r="A178" s="20"/>
      <c r="B178" s="676" t="s">
        <v>953</v>
      </c>
      <c r="C178" s="677"/>
      <c r="D178" s="677"/>
      <c r="E178" s="678"/>
      <c r="F178" s="365">
        <f>28.6*X2</f>
        <v>31116.800000000003</v>
      </c>
      <c r="G178" s="252">
        <f t="shared" si="407"/>
        <v>31116.800000000003</v>
      </c>
      <c r="H178" s="610">
        <f t="shared" si="362"/>
        <v>31716.800000000003</v>
      </c>
      <c r="I178" s="279">
        <f t="shared" ref="I178:I181" si="410">+H178*$X$1</f>
        <v>31716.800000000003</v>
      </c>
      <c r="J178" s="70">
        <f t="shared" ref="J178:J183" si="411">F178+200</f>
        <v>31316.800000000003</v>
      </c>
      <c r="K178" s="279">
        <f t="shared" ref="K178:K181" si="412">+J178*$X$1</f>
        <v>31316.800000000003</v>
      </c>
      <c r="L178" s="610">
        <f t="shared" ref="L178" si="413">F178+150</f>
        <v>31266.800000000003</v>
      </c>
      <c r="M178" s="279">
        <f t="shared" ref="M178:M181" si="414">+L178*$X$1</f>
        <v>31266.800000000003</v>
      </c>
      <c r="N178" s="610">
        <f t="shared" ref="N178" si="415">F178+110</f>
        <v>31226.800000000003</v>
      </c>
      <c r="O178" s="279">
        <f t="shared" ref="O178" si="416">+N178*$X$1</f>
        <v>31226.800000000003</v>
      </c>
      <c r="P178" s="610">
        <f t="shared" ref="P178" si="417">F178+100</f>
        <v>31216.800000000003</v>
      </c>
      <c r="Q178" s="279">
        <f t="shared" ref="Q178:Q181" si="418">+P178*$X$1</f>
        <v>31216.800000000003</v>
      </c>
      <c r="R178" s="610">
        <f t="shared" ref="R178" si="419">F178+80</f>
        <v>31196.800000000003</v>
      </c>
      <c r="S178" s="279">
        <f t="shared" ref="S178" si="420">+R178*$X$1</f>
        <v>31196.800000000003</v>
      </c>
      <c r="T178" s="610">
        <f t="shared" ref="T178" si="421">F178+65</f>
        <v>31181.800000000003</v>
      </c>
      <c r="U178" s="279">
        <f t="shared" si="388"/>
        <v>31181.800000000003</v>
      </c>
      <c r="V178" s="610">
        <f t="shared" ref="V178" si="422">F178+56</f>
        <v>31172.800000000003</v>
      </c>
      <c r="W178" s="279">
        <f t="shared" si="389"/>
        <v>31172.800000000003</v>
      </c>
      <c r="X178" s="736"/>
      <c r="Y178" s="879"/>
      <c r="Z178" s="879"/>
      <c r="AA178" s="880"/>
      <c r="AB178" s="190">
        <v>402</v>
      </c>
    </row>
    <row r="179" spans="1:38" ht="12.6" customHeight="1" x14ac:dyDescent="0.2">
      <c r="A179" s="20"/>
      <c r="B179" s="667" t="s">
        <v>588</v>
      </c>
      <c r="C179" s="668"/>
      <c r="D179" s="668"/>
      <c r="E179" s="668"/>
      <c r="F179" s="366">
        <f>13.317*X2</f>
        <v>14488.896000000001</v>
      </c>
      <c r="G179" s="295">
        <f t="shared" ref="G179" si="423">+F179*$X$1</f>
        <v>14488.896000000001</v>
      </c>
      <c r="H179" s="441">
        <f t="shared" si="362"/>
        <v>15088.896000000001</v>
      </c>
      <c r="I179" s="280">
        <f t="shared" ref="I179" si="424">+H179*$X$1</f>
        <v>15088.896000000001</v>
      </c>
      <c r="J179" s="441">
        <f t="shared" si="411"/>
        <v>14688.896000000001</v>
      </c>
      <c r="K179" s="280">
        <f t="shared" si="412"/>
        <v>14688.896000000001</v>
      </c>
      <c r="L179" s="441">
        <f>F179+150</f>
        <v>14638.896000000001</v>
      </c>
      <c r="M179" s="280">
        <f t="shared" ref="M179" si="425">+L179*$X$1</f>
        <v>14638.896000000001</v>
      </c>
      <c r="N179" s="441">
        <f>F179+100</f>
        <v>14588.896000000001</v>
      </c>
      <c r="O179" s="280">
        <f>+N179*$X$1</f>
        <v>14588.896000000001</v>
      </c>
      <c r="P179" s="441">
        <f>F179+90</f>
        <v>14578.896000000001</v>
      </c>
      <c r="Q179" s="280">
        <f t="shared" ref="Q179" si="426">+P179*$X$1</f>
        <v>14578.896000000001</v>
      </c>
      <c r="R179" s="441">
        <f>F179+70</f>
        <v>14558.896000000001</v>
      </c>
      <c r="S179" s="280">
        <f>+R179*$X$1</f>
        <v>14558.896000000001</v>
      </c>
      <c r="T179" s="441">
        <f>F179+56</f>
        <v>14544.896000000001</v>
      </c>
      <c r="U179" s="280">
        <f t="shared" ref="U179" si="427">+T179*$X$1</f>
        <v>14544.896000000001</v>
      </c>
      <c r="V179" s="441">
        <f>F179+49</f>
        <v>14537.896000000001</v>
      </c>
      <c r="W179" s="280">
        <f t="shared" ref="W179" si="428">+V179*$X$1</f>
        <v>14537.896000000001</v>
      </c>
      <c r="X179" s="688"/>
      <c r="Y179" s="826"/>
      <c r="Z179" s="826"/>
      <c r="AA179" s="689"/>
      <c r="AB179" s="190" t="s">
        <v>589</v>
      </c>
    </row>
    <row r="180" spans="1:38" ht="12.6" customHeight="1" x14ac:dyDescent="0.2">
      <c r="A180" s="20"/>
      <c r="B180" s="705" t="s">
        <v>597</v>
      </c>
      <c r="C180" s="706"/>
      <c r="D180" s="706"/>
      <c r="E180" s="706"/>
      <c r="F180" s="365">
        <f>17.78*X2</f>
        <v>19344.64</v>
      </c>
      <c r="G180" s="252">
        <f t="shared" ref="G180" si="429">+F180*$X$1</f>
        <v>19344.64</v>
      </c>
      <c r="H180" s="610">
        <f t="shared" si="362"/>
        <v>19944.64</v>
      </c>
      <c r="I180" s="279">
        <f t="shared" si="410"/>
        <v>19944.64</v>
      </c>
      <c r="J180" s="610">
        <f t="shared" si="411"/>
        <v>19544.64</v>
      </c>
      <c r="K180" s="279">
        <f t="shared" si="412"/>
        <v>19544.64</v>
      </c>
      <c r="L180" s="610">
        <f>F180+150</f>
        <v>19494.64</v>
      </c>
      <c r="M180" s="279">
        <f t="shared" si="414"/>
        <v>19494.64</v>
      </c>
      <c r="N180" s="610">
        <f>F180+100</f>
        <v>19444.64</v>
      </c>
      <c r="O180" s="279">
        <f>+N180*$X$1</f>
        <v>19444.64</v>
      </c>
      <c r="P180" s="610">
        <f>F180+90</f>
        <v>19434.64</v>
      </c>
      <c r="Q180" s="279">
        <f t="shared" si="418"/>
        <v>19434.64</v>
      </c>
      <c r="R180" s="610">
        <f>F180+70</f>
        <v>19414.64</v>
      </c>
      <c r="S180" s="279">
        <f>+R180*$X$1</f>
        <v>19414.64</v>
      </c>
      <c r="T180" s="610">
        <f>F180+56</f>
        <v>19400.64</v>
      </c>
      <c r="U180" s="279">
        <f t="shared" ref="U180:U181" si="430">+T180*$X$1</f>
        <v>19400.64</v>
      </c>
      <c r="V180" s="610">
        <f>F180+49</f>
        <v>19393.64</v>
      </c>
      <c r="W180" s="279">
        <f t="shared" ref="W180:W181" si="431">+V180*$X$1</f>
        <v>19393.64</v>
      </c>
      <c r="X180" s="176"/>
      <c r="Y180" s="178"/>
      <c r="Z180" s="178"/>
      <c r="AA180" s="176"/>
      <c r="AB180" s="190" t="s">
        <v>596</v>
      </c>
    </row>
    <row r="181" spans="1:38" ht="12.6" customHeight="1" x14ac:dyDescent="0.2">
      <c r="A181" s="20"/>
      <c r="B181" s="667" t="s">
        <v>591</v>
      </c>
      <c r="C181" s="668"/>
      <c r="D181" s="668"/>
      <c r="E181" s="668"/>
      <c r="F181" s="366">
        <f>12.84*X2</f>
        <v>13969.92</v>
      </c>
      <c r="G181" s="295">
        <f t="shared" ref="G181" si="432">+F181*$X$1</f>
        <v>13969.92</v>
      </c>
      <c r="H181" s="441">
        <f t="shared" si="362"/>
        <v>14569.92</v>
      </c>
      <c r="I181" s="280">
        <f t="shared" si="410"/>
        <v>14569.92</v>
      </c>
      <c r="J181" s="87">
        <f t="shared" si="411"/>
        <v>14169.92</v>
      </c>
      <c r="K181" s="280">
        <f t="shared" si="412"/>
        <v>14169.92</v>
      </c>
      <c r="L181" s="441">
        <f t="shared" ref="L181" si="433">F181+150</f>
        <v>14119.92</v>
      </c>
      <c r="M181" s="280">
        <f t="shared" si="414"/>
        <v>14119.92</v>
      </c>
      <c r="N181" s="441">
        <f t="shared" ref="N181" si="434">F181+110</f>
        <v>14079.92</v>
      </c>
      <c r="O181" s="280">
        <f t="shared" ref="O181" si="435">+N181*$X$1</f>
        <v>14079.92</v>
      </c>
      <c r="P181" s="441">
        <f t="shared" ref="P181" si="436">F181+100</f>
        <v>14069.92</v>
      </c>
      <c r="Q181" s="280">
        <f t="shared" si="418"/>
        <v>14069.92</v>
      </c>
      <c r="R181" s="441">
        <f t="shared" ref="R181" si="437">F181+80</f>
        <v>14049.92</v>
      </c>
      <c r="S181" s="280">
        <f t="shared" ref="S181" si="438">+R181*$X$1</f>
        <v>14049.92</v>
      </c>
      <c r="T181" s="441">
        <f t="shared" ref="T181" si="439">F181+65</f>
        <v>14034.92</v>
      </c>
      <c r="U181" s="280">
        <f t="shared" si="430"/>
        <v>14034.92</v>
      </c>
      <c r="V181" s="441">
        <f t="shared" ref="V181" si="440">F181+56</f>
        <v>14025.92</v>
      </c>
      <c r="W181" s="280">
        <f t="shared" si="431"/>
        <v>14025.92</v>
      </c>
      <c r="X181" s="736"/>
      <c r="Y181" s="879"/>
      <c r="Z181" s="879"/>
      <c r="AA181" s="880"/>
      <c r="AB181" s="190" t="s">
        <v>590</v>
      </c>
    </row>
    <row r="182" spans="1:38" ht="12.6" customHeight="1" x14ac:dyDescent="0.2">
      <c r="A182" s="20"/>
      <c r="B182" s="705" t="s">
        <v>338</v>
      </c>
      <c r="C182" s="706"/>
      <c r="D182" s="706"/>
      <c r="E182" s="706"/>
      <c r="F182" s="365">
        <f>15.93*X2</f>
        <v>17331.84</v>
      </c>
      <c r="G182" s="252">
        <f t="shared" ref="G182:G183" si="441">+F182*$X$1</f>
        <v>17331.84</v>
      </c>
      <c r="H182" s="610"/>
      <c r="I182" s="279"/>
      <c r="J182" s="70">
        <f t="shared" si="411"/>
        <v>17531.84</v>
      </c>
      <c r="K182" s="279">
        <f t="shared" ref="K182" si="442">+J182*$X$1</f>
        <v>17531.84</v>
      </c>
      <c r="L182" s="610">
        <f t="shared" ref="L182" si="443">F182+150</f>
        <v>17481.84</v>
      </c>
      <c r="M182" s="279">
        <f t="shared" ref="M182" si="444">+L182*$X$1</f>
        <v>17481.84</v>
      </c>
      <c r="N182" s="610">
        <f t="shared" ref="N182" si="445">F182+110</f>
        <v>17441.84</v>
      </c>
      <c r="O182" s="279">
        <f t="shared" ref="O182" si="446">+N182*$X$1</f>
        <v>17441.84</v>
      </c>
      <c r="P182" s="610">
        <f t="shared" ref="P182" si="447">F182+100</f>
        <v>17431.84</v>
      </c>
      <c r="Q182" s="279">
        <f t="shared" ref="Q182" si="448">+P182*$X$1</f>
        <v>17431.84</v>
      </c>
      <c r="R182" s="610">
        <f t="shared" ref="R182" si="449">F182+80</f>
        <v>17411.84</v>
      </c>
      <c r="S182" s="279">
        <f t="shared" ref="S182" si="450">+R182*$X$1</f>
        <v>17411.84</v>
      </c>
      <c r="T182" s="610">
        <f t="shared" ref="T182" si="451">F182+65</f>
        <v>17396.84</v>
      </c>
      <c r="U182" s="279">
        <f t="shared" ref="U182" si="452">+T182*$X$1</f>
        <v>17396.84</v>
      </c>
      <c r="V182" s="70"/>
      <c r="W182" s="70"/>
      <c r="X182" s="736"/>
      <c r="Y182" s="879"/>
      <c r="Z182" s="879"/>
      <c r="AA182" s="880"/>
      <c r="AB182" s="190">
        <v>405</v>
      </c>
    </row>
    <row r="183" spans="1:38" ht="12.6" customHeight="1" x14ac:dyDescent="0.2">
      <c r="A183" s="20"/>
      <c r="B183" s="667" t="s">
        <v>595</v>
      </c>
      <c r="C183" s="668"/>
      <c r="D183" s="668"/>
      <c r="E183" s="668"/>
      <c r="F183" s="366">
        <f>15.6*X2</f>
        <v>16972.8</v>
      </c>
      <c r="G183" s="295">
        <f t="shared" si="441"/>
        <v>16972.8</v>
      </c>
      <c r="H183" s="441">
        <f>F183+600</f>
        <v>17572.8</v>
      </c>
      <c r="I183" s="280">
        <f t="shared" ref="I183:I184" si="453">+H183*$X$1</f>
        <v>17572.8</v>
      </c>
      <c r="J183" s="441">
        <f t="shared" si="411"/>
        <v>17172.8</v>
      </c>
      <c r="K183" s="280">
        <f t="shared" ref="K183:K184" si="454">+J183*$X$1</f>
        <v>17172.8</v>
      </c>
      <c r="L183" s="441">
        <f>F183+150</f>
        <v>17122.8</v>
      </c>
      <c r="M183" s="280">
        <f t="shared" ref="M183:M184" si="455">+L183*$X$1</f>
        <v>17122.8</v>
      </c>
      <c r="N183" s="441">
        <f>F183+100</f>
        <v>17072.8</v>
      </c>
      <c r="O183" s="280">
        <f>+N183*$X$1</f>
        <v>17072.8</v>
      </c>
      <c r="P183" s="441">
        <f>F183+90</f>
        <v>17062.8</v>
      </c>
      <c r="Q183" s="280">
        <f t="shared" ref="Q183:Q184" si="456">+P183*$X$1</f>
        <v>17062.8</v>
      </c>
      <c r="R183" s="441">
        <f>F183+70</f>
        <v>17042.8</v>
      </c>
      <c r="S183" s="280">
        <f>+R183*$X$1</f>
        <v>17042.8</v>
      </c>
      <c r="T183" s="441">
        <f>F183+56</f>
        <v>17028.8</v>
      </c>
      <c r="U183" s="280">
        <f t="shared" ref="U183:U184" si="457">+T183*$X$1</f>
        <v>17028.8</v>
      </c>
      <c r="V183" s="441">
        <f>F183+49</f>
        <v>17021.8</v>
      </c>
      <c r="W183" s="280">
        <f t="shared" ref="W183:W184" si="458">+V183*$X$1</f>
        <v>17021.8</v>
      </c>
      <c r="X183" s="688"/>
      <c r="Y183" s="826"/>
      <c r="Z183" s="826"/>
      <c r="AA183" s="689"/>
      <c r="AB183" s="190" t="s">
        <v>594</v>
      </c>
    </row>
    <row r="184" spans="1:38" ht="12.6" customHeight="1" x14ac:dyDescent="0.2">
      <c r="A184" s="20"/>
      <c r="B184" s="659" t="s">
        <v>593</v>
      </c>
      <c r="C184" s="660"/>
      <c r="D184" s="660"/>
      <c r="E184" s="660"/>
      <c r="F184" s="365">
        <f>16.54*X2</f>
        <v>17995.52</v>
      </c>
      <c r="G184" s="252">
        <f t="shared" ref="G184" si="459">+F184*$X$1</f>
        <v>17995.52</v>
      </c>
      <c r="H184" s="70">
        <f>F184+600</f>
        <v>18595.52</v>
      </c>
      <c r="I184" s="279">
        <f t="shared" si="453"/>
        <v>18595.52</v>
      </c>
      <c r="J184" s="610">
        <f>F184+220</f>
        <v>18215.52</v>
      </c>
      <c r="K184" s="279">
        <f t="shared" si="454"/>
        <v>18215.52</v>
      </c>
      <c r="L184" s="610">
        <f>F184+170</f>
        <v>18165.52</v>
      </c>
      <c r="M184" s="279">
        <f t="shared" si="455"/>
        <v>18165.52</v>
      </c>
      <c r="N184" s="610">
        <f>F184+120</f>
        <v>18115.52</v>
      </c>
      <c r="O184" s="279">
        <f t="shared" ref="O184" si="460">+N184*$X$1</f>
        <v>18115.52</v>
      </c>
      <c r="P184" s="610">
        <f>F184+110</f>
        <v>18105.52</v>
      </c>
      <c r="Q184" s="279">
        <f t="shared" si="456"/>
        <v>18105.52</v>
      </c>
      <c r="R184" s="610">
        <f>F184+95</f>
        <v>18090.52</v>
      </c>
      <c r="S184" s="279">
        <f t="shared" ref="S184" si="461">+R184*$X$1</f>
        <v>18090.52</v>
      </c>
      <c r="T184" s="610">
        <f>F184+85</f>
        <v>18080.52</v>
      </c>
      <c r="U184" s="279">
        <f t="shared" si="457"/>
        <v>18080.52</v>
      </c>
      <c r="V184" s="610">
        <f>F184+76</f>
        <v>18071.52</v>
      </c>
      <c r="W184" s="279">
        <f t="shared" si="458"/>
        <v>18071.52</v>
      </c>
      <c r="X184" s="736"/>
      <c r="Y184" s="879"/>
      <c r="Z184" s="879"/>
      <c r="AA184" s="880"/>
      <c r="AB184" s="190" t="s">
        <v>592</v>
      </c>
    </row>
    <row r="185" spans="1:38" ht="12.6" customHeight="1" x14ac:dyDescent="0.2">
      <c r="A185" s="25"/>
      <c r="B185" s="645" t="s">
        <v>617</v>
      </c>
      <c r="C185" s="725"/>
      <c r="D185" s="725"/>
      <c r="E185" s="725"/>
      <c r="F185" s="309">
        <v>171</v>
      </c>
      <c r="G185" s="482"/>
      <c r="H185" s="355"/>
      <c r="I185" s="1190" t="s">
        <v>562</v>
      </c>
      <c r="J185" s="1191"/>
      <c r="K185" s="1191"/>
      <c r="L185" s="1191"/>
      <c r="M185" s="1192"/>
      <c r="N185" s="441">
        <f>F185+220</f>
        <v>391</v>
      </c>
      <c r="O185" s="280">
        <f t="shared" ref="O185" si="462">+N185*$X$1</f>
        <v>391</v>
      </c>
      <c r="P185" s="441">
        <f>F185+200</f>
        <v>371</v>
      </c>
      <c r="Q185" s="280">
        <f t="shared" ref="Q185" si="463">+P185*$X$1</f>
        <v>371</v>
      </c>
      <c r="R185" s="441">
        <f>F185+170</f>
        <v>341</v>
      </c>
      <c r="S185" s="280">
        <f t="shared" ref="S185" si="464">+R185*$X$1</f>
        <v>341</v>
      </c>
      <c r="T185" s="441">
        <f>F185+155</f>
        <v>326</v>
      </c>
      <c r="U185" s="280">
        <f t="shared" ref="U185" si="465">+T185*$X$1</f>
        <v>326</v>
      </c>
      <c r="V185" s="441">
        <f>F185+140</f>
        <v>311</v>
      </c>
      <c r="W185" s="280">
        <f t="shared" ref="W185" si="466">+V185*$X$1</f>
        <v>311</v>
      </c>
      <c r="X185" s="155"/>
      <c r="Y185" s="145"/>
      <c r="Z185" s="145"/>
      <c r="AA185" s="145"/>
      <c r="AB185" s="190">
        <v>415</v>
      </c>
    </row>
    <row r="186" spans="1:38" ht="12.6" customHeight="1" x14ac:dyDescent="0.2">
      <c r="A186" s="25"/>
      <c r="B186" s="659" t="s">
        <v>510</v>
      </c>
      <c r="C186" s="660"/>
      <c r="D186" s="660"/>
      <c r="E186" s="660"/>
      <c r="F186" s="296">
        <v>191</v>
      </c>
      <c r="G186" s="252"/>
      <c r="H186" s="356"/>
      <c r="I186" s="1193"/>
      <c r="J186" s="1193"/>
      <c r="K186" s="1193"/>
      <c r="L186" s="1193"/>
      <c r="M186" s="1194"/>
      <c r="N186" s="610">
        <f>F186+220</f>
        <v>411</v>
      </c>
      <c r="O186" s="279">
        <f t="shared" ref="O186:O189" si="467">+N186*$X$1</f>
        <v>411</v>
      </c>
      <c r="P186" s="610">
        <f>F186+200</f>
        <v>391</v>
      </c>
      <c r="Q186" s="279">
        <f t="shared" ref="Q186:Q189" si="468">+P186*$X$1</f>
        <v>391</v>
      </c>
      <c r="R186" s="610">
        <f>F186+170</f>
        <v>361</v>
      </c>
      <c r="S186" s="279">
        <f t="shared" ref="S186:S189" si="469">+R186*$X$1</f>
        <v>361</v>
      </c>
      <c r="T186" s="610">
        <f>F186+155</f>
        <v>346</v>
      </c>
      <c r="U186" s="279">
        <f t="shared" ref="U186:U189" si="470">+T186*$X$1</f>
        <v>346</v>
      </c>
      <c r="V186" s="610">
        <f>F186+140</f>
        <v>331</v>
      </c>
      <c r="W186" s="279">
        <f t="shared" ref="W186:W189" si="471">+V186*$X$1</f>
        <v>331</v>
      </c>
      <c r="X186" s="155"/>
      <c r="Y186" s="145"/>
      <c r="Z186" s="145"/>
      <c r="AA186" s="145"/>
      <c r="AB186" s="190">
        <v>416</v>
      </c>
    </row>
    <row r="187" spans="1:38" ht="12.6" customHeight="1" x14ac:dyDescent="0.2">
      <c r="A187" s="25"/>
      <c r="B187" s="647" t="s">
        <v>511</v>
      </c>
      <c r="C187" s="648"/>
      <c r="D187" s="648"/>
      <c r="E187" s="648"/>
      <c r="F187" s="309">
        <v>183</v>
      </c>
      <c r="G187" s="295"/>
      <c r="H187" s="356"/>
      <c r="I187" s="1193"/>
      <c r="J187" s="1193"/>
      <c r="K187" s="1193"/>
      <c r="L187" s="1193"/>
      <c r="M187" s="1194"/>
      <c r="N187" s="441">
        <f>F187+220</f>
        <v>403</v>
      </c>
      <c r="O187" s="280">
        <f t="shared" si="467"/>
        <v>403</v>
      </c>
      <c r="P187" s="441">
        <f>F187+200</f>
        <v>383</v>
      </c>
      <c r="Q187" s="280">
        <f t="shared" si="468"/>
        <v>383</v>
      </c>
      <c r="R187" s="441">
        <f>F187+170</f>
        <v>353</v>
      </c>
      <c r="S187" s="280">
        <f t="shared" si="469"/>
        <v>353</v>
      </c>
      <c r="T187" s="441">
        <f>F187+155</f>
        <v>338</v>
      </c>
      <c r="U187" s="280">
        <f t="shared" si="470"/>
        <v>338</v>
      </c>
      <c r="V187" s="441">
        <f>F187+140</f>
        <v>323</v>
      </c>
      <c r="W187" s="280">
        <f t="shared" si="471"/>
        <v>323</v>
      </c>
      <c r="X187" s="155"/>
      <c r="Y187" s="145"/>
      <c r="Z187" s="145"/>
      <c r="AA187" s="145"/>
      <c r="AB187" s="190">
        <v>417</v>
      </c>
    </row>
    <row r="188" spans="1:38" ht="12.6" customHeight="1" x14ac:dyDescent="0.2">
      <c r="A188" s="25"/>
      <c r="B188" s="659" t="s">
        <v>512</v>
      </c>
      <c r="C188" s="660"/>
      <c r="D188" s="660"/>
      <c r="E188" s="660"/>
      <c r="F188" s="296">
        <v>183</v>
      </c>
      <c r="G188" s="252"/>
      <c r="H188" s="357"/>
      <c r="I188" s="1195"/>
      <c r="J188" s="1195"/>
      <c r="K188" s="1195"/>
      <c r="L188" s="1195"/>
      <c r="M188" s="1196"/>
      <c r="N188" s="610">
        <f>F188+220</f>
        <v>403</v>
      </c>
      <c r="O188" s="279">
        <f t="shared" si="467"/>
        <v>403</v>
      </c>
      <c r="P188" s="610">
        <f>F188+200</f>
        <v>383</v>
      </c>
      <c r="Q188" s="279">
        <f t="shared" si="468"/>
        <v>383</v>
      </c>
      <c r="R188" s="610">
        <f>F188+170</f>
        <v>353</v>
      </c>
      <c r="S188" s="279">
        <f t="shared" si="469"/>
        <v>353</v>
      </c>
      <c r="T188" s="610">
        <f>F188+155</f>
        <v>338</v>
      </c>
      <c r="U188" s="279">
        <f t="shared" si="470"/>
        <v>338</v>
      </c>
      <c r="V188" s="610">
        <f>F188+140</f>
        <v>323</v>
      </c>
      <c r="W188" s="279">
        <f t="shared" si="471"/>
        <v>323</v>
      </c>
      <c r="X188" s="155"/>
      <c r="Y188" s="145"/>
      <c r="Z188" s="145"/>
      <c r="AA188" s="145"/>
      <c r="AB188" s="190">
        <v>418</v>
      </c>
    </row>
    <row r="189" spans="1:38" ht="12.6" customHeight="1" x14ac:dyDescent="0.2">
      <c r="A189" s="25"/>
      <c r="B189" s="647" t="s">
        <v>181</v>
      </c>
      <c r="C189" s="648"/>
      <c r="D189" s="648"/>
      <c r="E189" s="648"/>
      <c r="F189" s="369">
        <v>896</v>
      </c>
      <c r="G189" s="309">
        <f t="shared" ref="G189:G202" si="472">+F189*$X$1</f>
        <v>896</v>
      </c>
      <c r="H189" s="278"/>
      <c r="I189" s="338"/>
      <c r="J189" s="117"/>
      <c r="K189" s="481"/>
      <c r="L189" s="441">
        <f>F189+170</f>
        <v>1066</v>
      </c>
      <c r="M189" s="280">
        <f t="shared" ref="M189" si="473">+L189*$X$1</f>
        <v>1066</v>
      </c>
      <c r="N189" s="441">
        <f>F189+120</f>
        <v>1016</v>
      </c>
      <c r="O189" s="280">
        <f t="shared" si="467"/>
        <v>1016</v>
      </c>
      <c r="P189" s="441">
        <f>F189+110</f>
        <v>1006</v>
      </c>
      <c r="Q189" s="280">
        <f t="shared" si="468"/>
        <v>1006</v>
      </c>
      <c r="R189" s="441">
        <f>F189+95</f>
        <v>991</v>
      </c>
      <c r="S189" s="280">
        <f t="shared" si="469"/>
        <v>991</v>
      </c>
      <c r="T189" s="441">
        <f>F189+85</f>
        <v>981</v>
      </c>
      <c r="U189" s="280">
        <f t="shared" si="470"/>
        <v>981</v>
      </c>
      <c r="V189" s="441">
        <f>F189+76</f>
        <v>972</v>
      </c>
      <c r="W189" s="280">
        <f t="shared" si="471"/>
        <v>972</v>
      </c>
      <c r="X189" s="884"/>
      <c r="Y189" s="885"/>
      <c r="Z189" s="885"/>
      <c r="AA189" s="886"/>
      <c r="AB189" s="398">
        <v>421</v>
      </c>
    </row>
    <row r="190" spans="1:38" ht="12.6" customHeight="1" x14ac:dyDescent="0.2">
      <c r="A190" s="25"/>
      <c r="B190" s="659" t="s">
        <v>567</v>
      </c>
      <c r="C190" s="660"/>
      <c r="D190" s="660"/>
      <c r="E190" s="660"/>
      <c r="F190" s="370">
        <v>813</v>
      </c>
      <c r="G190" s="296">
        <f t="shared" si="472"/>
        <v>813</v>
      </c>
      <c r="H190" s="991" t="s">
        <v>601</v>
      </c>
      <c r="I190" s="992"/>
      <c r="J190" s="992"/>
      <c r="K190" s="993"/>
      <c r="L190" s="610">
        <f>F190+220</f>
        <v>1033</v>
      </c>
      <c r="M190" s="279">
        <f t="shared" ref="M190" si="474">+L190*$X$1</f>
        <v>1033</v>
      </c>
      <c r="N190" s="610">
        <f>F190+150</f>
        <v>963</v>
      </c>
      <c r="O190" s="279">
        <f t="shared" ref="O190" si="475">+N190*$X$1</f>
        <v>963</v>
      </c>
      <c r="P190" s="610">
        <f>F190+130</f>
        <v>943</v>
      </c>
      <c r="Q190" s="279">
        <f t="shared" ref="Q190" si="476">+P190*$X$1</f>
        <v>943</v>
      </c>
      <c r="R190" s="610">
        <f>F190+115</f>
        <v>928</v>
      </c>
      <c r="S190" s="279">
        <f t="shared" ref="S190" si="477">+R190*$X$1</f>
        <v>928</v>
      </c>
      <c r="T190" s="101">
        <f>F190+108</f>
        <v>921</v>
      </c>
      <c r="U190" s="252">
        <f t="shared" ref="U190" si="478">+T190*$X$1</f>
        <v>921</v>
      </c>
      <c r="V190" s="610">
        <f>F190+101</f>
        <v>914</v>
      </c>
      <c r="W190" s="279">
        <f t="shared" ref="W190" si="479">+V190*$X$1</f>
        <v>914</v>
      </c>
      <c r="X190" s="884"/>
      <c r="Y190" s="885"/>
      <c r="Z190" s="885"/>
      <c r="AA190" s="886"/>
      <c r="AB190" s="398" t="s">
        <v>703</v>
      </c>
    </row>
    <row r="191" spans="1:38" ht="12.6" customHeight="1" x14ac:dyDescent="0.2">
      <c r="A191" s="25"/>
      <c r="B191" s="647" t="s">
        <v>564</v>
      </c>
      <c r="C191" s="648"/>
      <c r="D191" s="648"/>
      <c r="E191" s="648"/>
      <c r="F191" s="369">
        <v>813</v>
      </c>
      <c r="G191" s="309">
        <f t="shared" si="472"/>
        <v>813</v>
      </c>
      <c r="H191" s="994"/>
      <c r="I191" s="995"/>
      <c r="J191" s="995"/>
      <c r="K191" s="996"/>
      <c r="L191" s="441">
        <f t="shared" ref="L191:L194" si="480">F191+220</f>
        <v>1033</v>
      </c>
      <c r="M191" s="280">
        <f t="shared" ref="M191:M193" si="481">+L191*$X$1</f>
        <v>1033</v>
      </c>
      <c r="N191" s="610">
        <f t="shared" ref="N191:N194" si="482">F191+150</f>
        <v>963</v>
      </c>
      <c r="O191" s="280">
        <f t="shared" ref="O191:O193" si="483">+N191*$X$1</f>
        <v>963</v>
      </c>
      <c r="P191" s="441">
        <f t="shared" ref="P191:P194" si="484">F191+130</f>
        <v>943</v>
      </c>
      <c r="Q191" s="280">
        <f t="shared" ref="Q191:Q194" si="485">+P191*$X$1</f>
        <v>943</v>
      </c>
      <c r="R191" s="610">
        <f t="shared" ref="R191:R194" si="486">F191+115</f>
        <v>928</v>
      </c>
      <c r="S191" s="280">
        <f t="shared" ref="S191:S193" si="487">+R191*$X$1</f>
        <v>928</v>
      </c>
      <c r="T191" s="101">
        <f t="shared" ref="T191:T194" si="488">F191+108</f>
        <v>921</v>
      </c>
      <c r="U191" s="295">
        <f t="shared" ref="U191:U193" si="489">+T191*$X$1</f>
        <v>921</v>
      </c>
      <c r="V191" s="610">
        <f t="shared" ref="V191:V194" si="490">F191+101</f>
        <v>914</v>
      </c>
      <c r="W191" s="280">
        <f t="shared" ref="W191:W193" si="491">+V191*$X$1</f>
        <v>914</v>
      </c>
      <c r="X191" s="884"/>
      <c r="Y191" s="885"/>
      <c r="Z191" s="885"/>
      <c r="AA191" s="886"/>
      <c r="AB191" s="398" t="s">
        <v>698</v>
      </c>
    </row>
    <row r="192" spans="1:38" ht="12.6" customHeight="1" x14ac:dyDescent="0.2">
      <c r="A192" s="25"/>
      <c r="B192" s="659" t="s">
        <v>563</v>
      </c>
      <c r="C192" s="660"/>
      <c r="D192" s="660"/>
      <c r="E192" s="660"/>
      <c r="F192" s="370">
        <v>813</v>
      </c>
      <c r="G192" s="296">
        <f t="shared" si="472"/>
        <v>813</v>
      </c>
      <c r="H192" s="994"/>
      <c r="I192" s="995"/>
      <c r="J192" s="995"/>
      <c r="K192" s="996"/>
      <c r="L192" s="610">
        <f t="shared" si="480"/>
        <v>1033</v>
      </c>
      <c r="M192" s="279">
        <f t="shared" si="481"/>
        <v>1033</v>
      </c>
      <c r="N192" s="610">
        <f t="shared" si="482"/>
        <v>963</v>
      </c>
      <c r="O192" s="279">
        <f t="shared" si="483"/>
        <v>963</v>
      </c>
      <c r="P192" s="610">
        <f t="shared" si="484"/>
        <v>943</v>
      </c>
      <c r="Q192" s="279">
        <f t="shared" si="485"/>
        <v>943</v>
      </c>
      <c r="R192" s="610">
        <f t="shared" si="486"/>
        <v>928</v>
      </c>
      <c r="S192" s="279">
        <f t="shared" si="487"/>
        <v>928</v>
      </c>
      <c r="T192" s="101">
        <f t="shared" si="488"/>
        <v>921</v>
      </c>
      <c r="U192" s="252">
        <f t="shared" si="489"/>
        <v>921</v>
      </c>
      <c r="V192" s="610">
        <f t="shared" si="490"/>
        <v>914</v>
      </c>
      <c r="W192" s="279">
        <f t="shared" si="491"/>
        <v>914</v>
      </c>
      <c r="X192" s="884"/>
      <c r="Y192" s="885"/>
      <c r="Z192" s="885"/>
      <c r="AA192" s="886"/>
      <c r="AB192" s="398" t="s">
        <v>700</v>
      </c>
    </row>
    <row r="193" spans="1:38" ht="12.6" customHeight="1" x14ac:dyDescent="0.2">
      <c r="A193" s="25"/>
      <c r="B193" s="647" t="s">
        <v>566</v>
      </c>
      <c r="C193" s="648"/>
      <c r="D193" s="648"/>
      <c r="E193" s="648"/>
      <c r="F193" s="369">
        <v>813</v>
      </c>
      <c r="G193" s="309">
        <f t="shared" si="472"/>
        <v>813</v>
      </c>
      <c r="H193" s="994"/>
      <c r="I193" s="995"/>
      <c r="J193" s="995"/>
      <c r="K193" s="996"/>
      <c r="L193" s="441">
        <f t="shared" si="480"/>
        <v>1033</v>
      </c>
      <c r="M193" s="280">
        <f t="shared" si="481"/>
        <v>1033</v>
      </c>
      <c r="N193" s="610">
        <f t="shared" si="482"/>
        <v>963</v>
      </c>
      <c r="O193" s="280">
        <f t="shared" si="483"/>
        <v>963</v>
      </c>
      <c r="P193" s="441">
        <f t="shared" si="484"/>
        <v>943</v>
      </c>
      <c r="Q193" s="280">
        <f t="shared" si="485"/>
        <v>943</v>
      </c>
      <c r="R193" s="610">
        <f t="shared" si="486"/>
        <v>928</v>
      </c>
      <c r="S193" s="280">
        <f t="shared" si="487"/>
        <v>928</v>
      </c>
      <c r="T193" s="101">
        <f t="shared" si="488"/>
        <v>921</v>
      </c>
      <c r="U193" s="295">
        <f t="shared" si="489"/>
        <v>921</v>
      </c>
      <c r="V193" s="610">
        <f t="shared" si="490"/>
        <v>914</v>
      </c>
      <c r="W193" s="280">
        <f t="shared" si="491"/>
        <v>914</v>
      </c>
      <c r="X193" s="889"/>
      <c r="Y193" s="890"/>
      <c r="Z193" s="890"/>
      <c r="AA193" s="891"/>
      <c r="AB193" s="398" t="s">
        <v>699</v>
      </c>
    </row>
    <row r="194" spans="1:38" ht="12.6" customHeight="1" x14ac:dyDescent="0.2">
      <c r="A194" s="25"/>
      <c r="B194" s="659" t="s">
        <v>702</v>
      </c>
      <c r="C194" s="660"/>
      <c r="D194" s="660"/>
      <c r="E194" s="660"/>
      <c r="F194" s="370">
        <v>890</v>
      </c>
      <c r="G194" s="296">
        <f t="shared" ref="G194" si="492">+F194*$X$1</f>
        <v>890</v>
      </c>
      <c r="H194" s="994"/>
      <c r="I194" s="995"/>
      <c r="J194" s="995"/>
      <c r="K194" s="996"/>
      <c r="L194" s="610">
        <f t="shared" si="480"/>
        <v>1110</v>
      </c>
      <c r="M194" s="279">
        <f t="shared" ref="M194" si="493">+L194*$X$1</f>
        <v>1110</v>
      </c>
      <c r="N194" s="610">
        <f t="shared" si="482"/>
        <v>1040</v>
      </c>
      <c r="O194" s="279">
        <f t="shared" ref="O194" si="494">+N194*$X$1</f>
        <v>1040</v>
      </c>
      <c r="P194" s="610">
        <f t="shared" si="484"/>
        <v>1020</v>
      </c>
      <c r="Q194" s="279">
        <f t="shared" si="485"/>
        <v>1020</v>
      </c>
      <c r="R194" s="610">
        <f t="shared" si="486"/>
        <v>1005</v>
      </c>
      <c r="S194" s="279">
        <f t="shared" ref="S194" si="495">+R194*$X$1</f>
        <v>1005</v>
      </c>
      <c r="T194" s="101">
        <f t="shared" si="488"/>
        <v>998</v>
      </c>
      <c r="U194" s="252">
        <f t="shared" ref="U194" si="496">+T194*$X$1</f>
        <v>998</v>
      </c>
      <c r="V194" s="610">
        <f t="shared" si="490"/>
        <v>991</v>
      </c>
      <c r="W194" s="279">
        <f t="shared" ref="W194" si="497">+V194*$X$1</f>
        <v>991</v>
      </c>
      <c r="X194" s="884"/>
      <c r="Y194" s="885"/>
      <c r="Z194" s="885"/>
      <c r="AA194" s="886"/>
      <c r="AB194" s="398" t="s">
        <v>701</v>
      </c>
    </row>
    <row r="195" spans="1:38" ht="12.6" customHeight="1" x14ac:dyDescent="0.2">
      <c r="A195" s="25"/>
      <c r="B195" s="647" t="s">
        <v>565</v>
      </c>
      <c r="C195" s="648"/>
      <c r="D195" s="648"/>
      <c r="E195" s="648"/>
      <c r="F195" s="369">
        <v>906</v>
      </c>
      <c r="G195" s="309">
        <f t="shared" si="472"/>
        <v>906</v>
      </c>
      <c r="H195" s="997"/>
      <c r="I195" s="998"/>
      <c r="J195" s="998"/>
      <c r="K195" s="999"/>
      <c r="L195" s="441">
        <f>F195+250</f>
        <v>1156</v>
      </c>
      <c r="M195" s="280">
        <f t="shared" ref="M195:M199" si="498">+L195*$X$1</f>
        <v>1156</v>
      </c>
      <c r="N195" s="441">
        <f>F195+180</f>
        <v>1086</v>
      </c>
      <c r="O195" s="280">
        <f t="shared" ref="O195:O199" si="499">+N195*$X$1</f>
        <v>1086</v>
      </c>
      <c r="P195" s="441">
        <f>F195+160</f>
        <v>1066</v>
      </c>
      <c r="Q195" s="280">
        <f t="shared" ref="Q195:Q199" si="500">+P195*$X$1</f>
        <v>1066</v>
      </c>
      <c r="R195" s="441">
        <f>F195+145</f>
        <v>1051</v>
      </c>
      <c r="S195" s="280">
        <f t="shared" ref="S195:S199" si="501">+R195*$X$1</f>
        <v>1051</v>
      </c>
      <c r="T195" s="100">
        <f>F195+135</f>
        <v>1041</v>
      </c>
      <c r="U195" s="295">
        <f t="shared" ref="U195:U199" si="502">+T195*$X$1</f>
        <v>1041</v>
      </c>
      <c r="V195" s="441">
        <f>F195+130</f>
        <v>1036</v>
      </c>
      <c r="W195" s="280">
        <f t="shared" ref="W195:W199" si="503">+V195*$X$1</f>
        <v>1036</v>
      </c>
      <c r="X195" s="884"/>
      <c r="Y195" s="885"/>
      <c r="Z195" s="885"/>
      <c r="AA195" s="886"/>
      <c r="AB195" s="398" t="s">
        <v>697</v>
      </c>
    </row>
    <row r="196" spans="1:38" ht="12.6" customHeight="1" x14ac:dyDescent="0.2">
      <c r="A196" s="102"/>
      <c r="B196" s="869" t="s">
        <v>942</v>
      </c>
      <c r="C196" s="870"/>
      <c r="D196" s="870"/>
      <c r="E196" s="870"/>
      <c r="F196" s="480">
        <f>0.89*X2</f>
        <v>968.32</v>
      </c>
      <c r="G196" s="572">
        <f t="shared" si="472"/>
        <v>968.32</v>
      </c>
      <c r="H196" s="375"/>
      <c r="I196" s="320"/>
      <c r="J196" s="603"/>
      <c r="K196" s="320"/>
      <c r="L196" s="610">
        <f t="shared" ref="L196:L199" si="504">F196+150</f>
        <v>1118.3200000000002</v>
      </c>
      <c r="M196" s="279">
        <f t="shared" si="498"/>
        <v>1118.3200000000002</v>
      </c>
      <c r="N196" s="610">
        <f t="shared" ref="N196:N199" si="505">F196+110</f>
        <v>1078.3200000000002</v>
      </c>
      <c r="O196" s="279">
        <f t="shared" si="499"/>
        <v>1078.3200000000002</v>
      </c>
      <c r="P196" s="610">
        <f t="shared" ref="P196:P199" si="506">F196+100</f>
        <v>1068.3200000000002</v>
      </c>
      <c r="Q196" s="279">
        <f t="shared" si="500"/>
        <v>1068.3200000000002</v>
      </c>
      <c r="R196" s="610">
        <f t="shared" ref="R196:R199" si="507">F196+80</f>
        <v>1048.3200000000002</v>
      </c>
      <c r="S196" s="279">
        <f t="shared" si="501"/>
        <v>1048.3200000000002</v>
      </c>
      <c r="T196" s="610">
        <f t="shared" ref="T196:T199" si="508">F196+65</f>
        <v>1033.3200000000002</v>
      </c>
      <c r="U196" s="279">
        <f t="shared" si="502"/>
        <v>1033.3200000000002</v>
      </c>
      <c r="V196" s="610">
        <f t="shared" ref="V196:V199" si="509">F196+56</f>
        <v>1024.3200000000002</v>
      </c>
      <c r="W196" s="279">
        <f t="shared" si="503"/>
        <v>1024.3200000000002</v>
      </c>
      <c r="X196" s="145"/>
      <c r="Y196" s="154"/>
      <c r="Z196" s="145"/>
      <c r="AA196" s="145"/>
      <c r="AB196" s="190">
        <v>425</v>
      </c>
    </row>
    <row r="197" spans="1:38" ht="12.6" customHeight="1" x14ac:dyDescent="0.2">
      <c r="A197" s="102"/>
      <c r="B197" s="647" t="s">
        <v>834</v>
      </c>
      <c r="C197" s="766"/>
      <c r="D197" s="766"/>
      <c r="E197" s="766"/>
      <c r="F197" s="366">
        <f>0.6*X2</f>
        <v>652.79999999999995</v>
      </c>
      <c r="G197" s="280">
        <f t="shared" ref="G197" si="510">+F197*$X$1</f>
        <v>652.79999999999995</v>
      </c>
      <c r="H197" s="98"/>
      <c r="I197" s="319"/>
      <c r="J197" s="602"/>
      <c r="K197" s="319"/>
      <c r="L197" s="441">
        <f t="shared" si="504"/>
        <v>802.8</v>
      </c>
      <c r="M197" s="280">
        <f t="shared" si="498"/>
        <v>802.8</v>
      </c>
      <c r="N197" s="441">
        <f t="shared" si="505"/>
        <v>762.8</v>
      </c>
      <c r="O197" s="280">
        <f t="shared" si="499"/>
        <v>762.8</v>
      </c>
      <c r="P197" s="441">
        <f t="shared" si="506"/>
        <v>752.8</v>
      </c>
      <c r="Q197" s="280">
        <f t="shared" si="500"/>
        <v>752.8</v>
      </c>
      <c r="R197" s="441">
        <f t="shared" si="507"/>
        <v>732.8</v>
      </c>
      <c r="S197" s="280">
        <f t="shared" si="501"/>
        <v>732.8</v>
      </c>
      <c r="T197" s="441">
        <f t="shared" si="508"/>
        <v>717.8</v>
      </c>
      <c r="U197" s="280">
        <f t="shared" si="502"/>
        <v>717.8</v>
      </c>
      <c r="V197" s="441">
        <f t="shared" si="509"/>
        <v>708.8</v>
      </c>
      <c r="W197" s="280">
        <f t="shared" si="503"/>
        <v>708.8</v>
      </c>
      <c r="X197" s="145"/>
      <c r="Y197" s="154"/>
      <c r="Z197" s="145"/>
      <c r="AA197" s="145"/>
      <c r="AB197" s="190">
        <v>426</v>
      </c>
    </row>
    <row r="198" spans="1:38" ht="12.6" customHeight="1" x14ac:dyDescent="0.2">
      <c r="A198" s="102"/>
      <c r="B198" s="659" t="s">
        <v>479</v>
      </c>
      <c r="C198" s="660"/>
      <c r="D198" s="660"/>
      <c r="E198" s="660"/>
      <c r="F198" s="365">
        <f>1.006*X2</f>
        <v>1094.528</v>
      </c>
      <c r="G198" s="279">
        <f t="shared" si="472"/>
        <v>1094.528</v>
      </c>
      <c r="H198" s="375"/>
      <c r="I198" s="320"/>
      <c r="J198" s="603"/>
      <c r="K198" s="320"/>
      <c r="L198" s="610">
        <f t="shared" si="504"/>
        <v>1244.528</v>
      </c>
      <c r="M198" s="279">
        <f t="shared" si="498"/>
        <v>1244.528</v>
      </c>
      <c r="N198" s="610">
        <f t="shared" si="505"/>
        <v>1204.528</v>
      </c>
      <c r="O198" s="279">
        <f t="shared" si="499"/>
        <v>1204.528</v>
      </c>
      <c r="P198" s="610">
        <f t="shared" si="506"/>
        <v>1194.528</v>
      </c>
      <c r="Q198" s="279">
        <f t="shared" si="500"/>
        <v>1194.528</v>
      </c>
      <c r="R198" s="610">
        <f t="shared" si="507"/>
        <v>1174.528</v>
      </c>
      <c r="S198" s="279">
        <f t="shared" si="501"/>
        <v>1174.528</v>
      </c>
      <c r="T198" s="610">
        <f t="shared" si="508"/>
        <v>1159.528</v>
      </c>
      <c r="U198" s="279">
        <f t="shared" si="502"/>
        <v>1159.528</v>
      </c>
      <c r="V198" s="610">
        <f t="shared" si="509"/>
        <v>1150.528</v>
      </c>
      <c r="W198" s="279">
        <f t="shared" si="503"/>
        <v>1150.528</v>
      </c>
      <c r="X198" s="145"/>
      <c r="Y198" s="154"/>
      <c r="Z198" s="145"/>
      <c r="AA198" s="145"/>
      <c r="AB198" s="190" t="s">
        <v>529</v>
      </c>
    </row>
    <row r="199" spans="1:38" ht="12.6" customHeight="1" x14ac:dyDescent="0.2">
      <c r="A199" s="102"/>
      <c r="B199" s="749" t="s">
        <v>469</v>
      </c>
      <c r="C199" s="750"/>
      <c r="D199" s="750"/>
      <c r="E199" s="750"/>
      <c r="F199" s="517">
        <f>0.51*X2</f>
        <v>554.88</v>
      </c>
      <c r="G199" s="513">
        <f t="shared" ref="G199:G200" si="511">+F199*$X$1</f>
        <v>554.88</v>
      </c>
      <c r="H199" s="636"/>
      <c r="I199" s="637"/>
      <c r="J199" s="638"/>
      <c r="K199" s="637"/>
      <c r="L199" s="619">
        <f t="shared" si="504"/>
        <v>704.88</v>
      </c>
      <c r="M199" s="513">
        <f t="shared" si="498"/>
        <v>704.88</v>
      </c>
      <c r="N199" s="619">
        <f t="shared" si="505"/>
        <v>664.88</v>
      </c>
      <c r="O199" s="513">
        <f t="shared" si="499"/>
        <v>664.88</v>
      </c>
      <c r="P199" s="619">
        <f t="shared" si="506"/>
        <v>654.88</v>
      </c>
      <c r="Q199" s="513">
        <f t="shared" si="500"/>
        <v>654.88</v>
      </c>
      <c r="R199" s="619">
        <f t="shared" si="507"/>
        <v>634.88</v>
      </c>
      <c r="S199" s="513">
        <f t="shared" si="501"/>
        <v>634.88</v>
      </c>
      <c r="T199" s="619">
        <f t="shared" si="508"/>
        <v>619.88</v>
      </c>
      <c r="U199" s="513">
        <f t="shared" si="502"/>
        <v>619.88</v>
      </c>
      <c r="V199" s="619">
        <f t="shared" si="509"/>
        <v>610.88</v>
      </c>
      <c r="W199" s="513">
        <f t="shared" si="503"/>
        <v>610.88</v>
      </c>
      <c r="X199" s="145"/>
      <c r="Y199" s="154"/>
      <c r="Z199" s="145"/>
      <c r="AA199" s="145"/>
      <c r="AB199" s="190">
        <v>428</v>
      </c>
    </row>
    <row r="200" spans="1:38" s="1" customFormat="1" ht="12.6" customHeight="1" x14ac:dyDescent="0.2">
      <c r="A200" s="19"/>
      <c r="B200" s="676" t="s">
        <v>940</v>
      </c>
      <c r="C200" s="677"/>
      <c r="D200" s="677"/>
      <c r="E200" s="678"/>
      <c r="F200" s="506">
        <f>11.62*X2</f>
        <v>12642.56</v>
      </c>
      <c r="G200" s="279">
        <f t="shared" si="511"/>
        <v>12642.56</v>
      </c>
      <c r="H200" s="70">
        <f>F200+600</f>
        <v>13242.56</v>
      </c>
      <c r="I200" s="279">
        <f t="shared" ref="I200:I201" si="512">+H200*$X$1</f>
        <v>13242.56</v>
      </c>
      <c r="J200" s="610">
        <f>F200+220</f>
        <v>12862.56</v>
      </c>
      <c r="K200" s="279">
        <f t="shared" ref="K200:K201" si="513">+J200*$X$1</f>
        <v>12862.56</v>
      </c>
      <c r="L200" s="610">
        <f>F200+170</f>
        <v>12812.56</v>
      </c>
      <c r="M200" s="279">
        <f t="shared" ref="M200:M201" si="514">+L200*$X$1</f>
        <v>12812.56</v>
      </c>
      <c r="N200" s="610">
        <f>F200+120</f>
        <v>12762.56</v>
      </c>
      <c r="O200" s="279">
        <f t="shared" ref="O200" si="515">+N200*$X$1</f>
        <v>12762.56</v>
      </c>
      <c r="P200" s="610">
        <f>F200+110</f>
        <v>12752.56</v>
      </c>
      <c r="Q200" s="279">
        <f t="shared" ref="Q200:Q201" si="516">+P200*$X$1</f>
        <v>12752.56</v>
      </c>
      <c r="R200" s="610">
        <f>F200+95</f>
        <v>12737.56</v>
      </c>
      <c r="S200" s="279">
        <f t="shared" ref="S200" si="517">+R200*$X$1</f>
        <v>12737.56</v>
      </c>
      <c r="T200" s="610">
        <f>F200+85</f>
        <v>12727.56</v>
      </c>
      <c r="U200" s="279">
        <f t="shared" ref="U200:U201" si="518">+T200*$X$1</f>
        <v>12727.56</v>
      </c>
      <c r="V200" s="610">
        <f>F200+76</f>
        <v>12718.56</v>
      </c>
      <c r="W200" s="279">
        <f t="shared" ref="W200:W201" si="519">+V200*$X$1</f>
        <v>12718.56</v>
      </c>
      <c r="X200" s="583"/>
      <c r="Y200" s="584"/>
      <c r="Z200" s="584"/>
      <c r="AA200" s="585"/>
      <c r="AB200" s="190">
        <v>430</v>
      </c>
      <c r="AC200" s="4"/>
      <c r="AD200" s="4"/>
      <c r="AE200" s="4"/>
      <c r="AF200" s="4"/>
      <c r="AG200" s="4"/>
      <c r="AH200" s="126"/>
      <c r="AI200" s="4"/>
      <c r="AJ200" s="4"/>
      <c r="AK200" s="4"/>
      <c r="AL200" s="4"/>
    </row>
    <row r="201" spans="1:38" s="1" customFormat="1" ht="12.6" customHeight="1" x14ac:dyDescent="0.2">
      <c r="A201" s="19"/>
      <c r="B201" s="676" t="s">
        <v>941</v>
      </c>
      <c r="C201" s="677"/>
      <c r="D201" s="677"/>
      <c r="E201" s="678"/>
      <c r="F201" s="563">
        <f>12.7*X2</f>
        <v>13817.599999999999</v>
      </c>
      <c r="G201" s="280">
        <f t="shared" ref="G201" si="520">+F201*$X$1</f>
        <v>13817.599999999999</v>
      </c>
      <c r="H201" s="441">
        <f>F201+600</f>
        <v>14417.599999999999</v>
      </c>
      <c r="I201" s="280">
        <f t="shared" si="512"/>
        <v>14417.599999999999</v>
      </c>
      <c r="J201" s="441">
        <f>F201+200</f>
        <v>14017.599999999999</v>
      </c>
      <c r="K201" s="280">
        <f t="shared" si="513"/>
        <v>14017.599999999999</v>
      </c>
      <c r="L201" s="441">
        <f>F201+150</f>
        <v>13967.599999999999</v>
      </c>
      <c r="M201" s="280">
        <f t="shared" si="514"/>
        <v>13967.599999999999</v>
      </c>
      <c r="N201" s="441">
        <f>F201+100</f>
        <v>13917.599999999999</v>
      </c>
      <c r="O201" s="280">
        <f>+N201*$X$1</f>
        <v>13917.599999999999</v>
      </c>
      <c r="P201" s="441">
        <f>F201+90</f>
        <v>13907.599999999999</v>
      </c>
      <c r="Q201" s="280">
        <f t="shared" si="516"/>
        <v>13907.599999999999</v>
      </c>
      <c r="R201" s="441">
        <f>F201+70</f>
        <v>13887.599999999999</v>
      </c>
      <c r="S201" s="280">
        <f>+R201*$X$1</f>
        <v>13887.599999999999</v>
      </c>
      <c r="T201" s="441">
        <f>F201+56</f>
        <v>13873.599999999999</v>
      </c>
      <c r="U201" s="280">
        <f t="shared" si="518"/>
        <v>13873.599999999999</v>
      </c>
      <c r="V201" s="441">
        <f>F201+49</f>
        <v>13866.599999999999</v>
      </c>
      <c r="W201" s="280">
        <f t="shared" si="519"/>
        <v>13866.599999999999</v>
      </c>
      <c r="X201" s="589"/>
      <c r="Y201" s="591"/>
      <c r="Z201" s="591"/>
      <c r="AA201" s="590"/>
      <c r="AB201" s="190">
        <v>431</v>
      </c>
      <c r="AC201" s="4"/>
      <c r="AD201" s="4"/>
      <c r="AE201" s="4"/>
      <c r="AF201" s="4"/>
      <c r="AG201" s="4"/>
      <c r="AH201" s="126"/>
      <c r="AI201" s="4"/>
      <c r="AJ201" s="4"/>
      <c r="AK201" s="4"/>
      <c r="AL201" s="4"/>
    </row>
    <row r="202" spans="1:38" ht="12.6" customHeight="1" x14ac:dyDescent="0.2">
      <c r="A202" s="18"/>
      <c r="B202" s="659" t="s">
        <v>182</v>
      </c>
      <c r="C202" s="660"/>
      <c r="D202" s="660"/>
      <c r="E202" s="660"/>
      <c r="F202" s="365">
        <f>1.53*X2</f>
        <v>1664.64</v>
      </c>
      <c r="G202" s="279">
        <f t="shared" si="472"/>
        <v>1664.64</v>
      </c>
      <c r="H202" s="610">
        <f>F202+600</f>
        <v>2264.6400000000003</v>
      </c>
      <c r="I202" s="279">
        <f t="shared" ref="I202" si="521">+H202*$X$1</f>
        <v>2264.6400000000003</v>
      </c>
      <c r="J202" s="70">
        <f>F202+200</f>
        <v>1864.64</v>
      </c>
      <c r="K202" s="279">
        <f t="shared" ref="K202" si="522">+J202*$X$1</f>
        <v>1864.64</v>
      </c>
      <c r="L202" s="610">
        <f t="shared" ref="L202" si="523">F202+150</f>
        <v>1814.64</v>
      </c>
      <c r="M202" s="279">
        <f t="shared" ref="M202" si="524">+L202*$X$1</f>
        <v>1814.64</v>
      </c>
      <c r="N202" s="610">
        <f t="shared" ref="N202" si="525">F202+110</f>
        <v>1774.64</v>
      </c>
      <c r="O202" s="279">
        <f t="shared" ref="O202" si="526">+N202*$X$1</f>
        <v>1774.64</v>
      </c>
      <c r="P202" s="610">
        <f t="shared" ref="P202" si="527">F202+100</f>
        <v>1764.64</v>
      </c>
      <c r="Q202" s="279">
        <f t="shared" ref="Q202" si="528">+P202*$X$1</f>
        <v>1764.64</v>
      </c>
      <c r="R202" s="610">
        <f t="shared" ref="R202" si="529">F202+80</f>
        <v>1744.64</v>
      </c>
      <c r="S202" s="279">
        <f t="shared" ref="S202" si="530">+R202*$X$1</f>
        <v>1744.64</v>
      </c>
      <c r="T202" s="610">
        <f t="shared" ref="T202" si="531">F202+65</f>
        <v>1729.64</v>
      </c>
      <c r="U202" s="279">
        <f t="shared" ref="U202" si="532">+T202*$X$1</f>
        <v>1729.64</v>
      </c>
      <c r="V202" s="610">
        <f t="shared" ref="V202" si="533">F202+56</f>
        <v>1720.64</v>
      </c>
      <c r="W202" s="279">
        <f t="shared" ref="W202" si="534">+V202*$X$1</f>
        <v>1720.64</v>
      </c>
      <c r="X202" s="145"/>
      <c r="Y202" s="154"/>
      <c r="Z202" s="145"/>
      <c r="AA202" s="145"/>
      <c r="AB202" s="190">
        <v>442</v>
      </c>
    </row>
    <row r="203" spans="1:38" ht="12.6" customHeight="1" x14ac:dyDescent="0.2">
      <c r="A203" s="18"/>
      <c r="B203" s="645" t="s">
        <v>183</v>
      </c>
      <c r="C203" s="725"/>
      <c r="D203" s="725"/>
      <c r="E203" s="725"/>
      <c r="F203" s="359"/>
      <c r="G203" s="1008" t="s">
        <v>823</v>
      </c>
      <c r="H203" s="1009"/>
      <c r="I203" s="1009"/>
      <c r="J203" s="1009"/>
      <c r="K203" s="1009"/>
      <c r="L203" s="1009"/>
      <c r="M203" s="1009"/>
      <c r="N203" s="1009"/>
      <c r="O203" s="1009"/>
      <c r="P203" s="1182"/>
      <c r="Q203" s="1182"/>
      <c r="R203" s="1182"/>
      <c r="S203" s="1183"/>
      <c r="T203" s="70"/>
      <c r="U203" s="280"/>
      <c r="V203" s="100"/>
      <c r="W203" s="295"/>
      <c r="X203" s="155"/>
      <c r="Y203" s="154"/>
      <c r="Z203" s="145"/>
      <c r="AA203" s="145"/>
      <c r="AB203" s="190">
        <v>450</v>
      </c>
    </row>
    <row r="204" spans="1:38" ht="12.6" customHeight="1" x14ac:dyDescent="0.2">
      <c r="A204" s="18"/>
      <c r="B204" s="659" t="s">
        <v>184</v>
      </c>
      <c r="C204" s="660"/>
      <c r="D204" s="660"/>
      <c r="E204" s="660"/>
      <c r="F204" s="125"/>
      <c r="G204" s="1011"/>
      <c r="H204" s="1012"/>
      <c r="I204" s="1012"/>
      <c r="J204" s="1012"/>
      <c r="K204" s="1012"/>
      <c r="L204" s="1012"/>
      <c r="M204" s="1012"/>
      <c r="N204" s="1012"/>
      <c r="O204" s="1012"/>
      <c r="P204" s="1184"/>
      <c r="Q204" s="1185"/>
      <c r="R204" s="1184"/>
      <c r="S204" s="1186"/>
      <c r="T204" s="70"/>
      <c r="U204" s="279"/>
      <c r="V204" s="101"/>
      <c r="W204" s="252"/>
      <c r="X204" s="155"/>
      <c r="Y204" s="154"/>
      <c r="Z204" s="145"/>
      <c r="AA204" s="145"/>
      <c r="AB204" s="190">
        <v>451</v>
      </c>
    </row>
    <row r="205" spans="1:38" ht="12.6" customHeight="1" x14ac:dyDescent="0.2">
      <c r="A205" s="18"/>
      <c r="B205" s="647" t="s">
        <v>185</v>
      </c>
      <c r="C205" s="648"/>
      <c r="D205" s="648"/>
      <c r="E205" s="648"/>
      <c r="F205" s="89"/>
      <c r="G205" s="1011"/>
      <c r="H205" s="1012"/>
      <c r="I205" s="1012"/>
      <c r="J205" s="1012"/>
      <c r="K205" s="1012"/>
      <c r="L205" s="1012"/>
      <c r="M205" s="1012"/>
      <c r="N205" s="1012"/>
      <c r="O205" s="1012"/>
      <c r="P205" s="1184"/>
      <c r="Q205" s="1185"/>
      <c r="R205" s="1184"/>
      <c r="S205" s="1186"/>
      <c r="T205" s="70"/>
      <c r="U205" s="280"/>
      <c r="V205" s="100"/>
      <c r="W205" s="295"/>
      <c r="X205" s="155"/>
      <c r="Y205" s="154"/>
      <c r="Z205" s="145"/>
      <c r="AA205" s="145"/>
      <c r="AB205" s="190">
        <v>452</v>
      </c>
    </row>
    <row r="206" spans="1:38" ht="12.6" customHeight="1" x14ac:dyDescent="0.2">
      <c r="A206" s="18"/>
      <c r="B206" s="659" t="s">
        <v>186</v>
      </c>
      <c r="C206" s="660"/>
      <c r="D206" s="660"/>
      <c r="E206" s="660"/>
      <c r="F206" s="125"/>
      <c r="G206" s="1011"/>
      <c r="H206" s="1012"/>
      <c r="I206" s="1012"/>
      <c r="J206" s="1012"/>
      <c r="K206" s="1012"/>
      <c r="L206" s="1012"/>
      <c r="M206" s="1012"/>
      <c r="N206" s="1012"/>
      <c r="O206" s="1012"/>
      <c r="P206" s="1184"/>
      <c r="Q206" s="1185"/>
      <c r="R206" s="1184"/>
      <c r="S206" s="1186"/>
      <c r="T206" s="70"/>
      <c r="U206" s="279"/>
      <c r="V206" s="101"/>
      <c r="W206" s="252"/>
      <c r="X206" s="155"/>
      <c r="Y206" s="154"/>
      <c r="Z206" s="145"/>
      <c r="AA206" s="145"/>
      <c r="AB206" s="190">
        <v>453</v>
      </c>
    </row>
    <row r="207" spans="1:38" ht="12.6" customHeight="1" x14ac:dyDescent="0.2">
      <c r="A207" s="18"/>
      <c r="B207" s="647" t="s">
        <v>187</v>
      </c>
      <c r="C207" s="648"/>
      <c r="D207" s="648"/>
      <c r="E207" s="648"/>
      <c r="F207" s="89"/>
      <c r="G207" s="1011"/>
      <c r="H207" s="1012"/>
      <c r="I207" s="1012"/>
      <c r="J207" s="1012"/>
      <c r="K207" s="1012"/>
      <c r="L207" s="1012"/>
      <c r="M207" s="1012"/>
      <c r="N207" s="1012"/>
      <c r="O207" s="1012"/>
      <c r="P207" s="1184"/>
      <c r="Q207" s="1185"/>
      <c r="R207" s="1184"/>
      <c r="S207" s="1186"/>
      <c r="T207" s="70"/>
      <c r="U207" s="280"/>
      <c r="V207" s="100"/>
      <c r="W207" s="295"/>
      <c r="X207" s="155"/>
      <c r="Y207" s="154"/>
      <c r="Z207" s="145"/>
      <c r="AA207" s="145"/>
      <c r="AB207" s="190">
        <v>454</v>
      </c>
    </row>
    <row r="208" spans="1:38" ht="12.6" customHeight="1" x14ac:dyDescent="0.2">
      <c r="A208" s="18"/>
      <c r="B208" s="659" t="s">
        <v>188</v>
      </c>
      <c r="C208" s="660"/>
      <c r="D208" s="660"/>
      <c r="E208" s="660"/>
      <c r="F208" s="358"/>
      <c r="G208" s="1187"/>
      <c r="H208" s="1013"/>
      <c r="I208" s="1013"/>
      <c r="J208" s="1013"/>
      <c r="K208" s="1013"/>
      <c r="L208" s="1013"/>
      <c r="M208" s="1013"/>
      <c r="N208" s="1013"/>
      <c r="O208" s="1013"/>
      <c r="P208" s="1188"/>
      <c r="Q208" s="1188"/>
      <c r="R208" s="1188"/>
      <c r="S208" s="1189"/>
      <c r="T208" s="70"/>
      <c r="U208" s="279"/>
      <c r="V208" s="101"/>
      <c r="W208" s="252"/>
      <c r="X208" s="155"/>
      <c r="Y208" s="154"/>
      <c r="Z208" s="145"/>
      <c r="AA208" s="145"/>
      <c r="AB208" s="190">
        <v>460</v>
      </c>
    </row>
    <row r="209" spans="1:28" ht="12.6" customHeight="1" x14ac:dyDescent="0.2">
      <c r="A209" s="18"/>
      <c r="B209" s="647" t="s">
        <v>356</v>
      </c>
      <c r="C209" s="712"/>
      <c r="D209" s="712"/>
      <c r="E209" s="712"/>
      <c r="F209" s="366">
        <f>1.974*X2</f>
        <v>2147.712</v>
      </c>
      <c r="G209" s="483">
        <f t="shared" ref="G209:G211" si="535">+F209*$X$1</f>
        <v>2147.712</v>
      </c>
      <c r="H209" s="441"/>
      <c r="I209" s="280"/>
      <c r="J209" s="87">
        <f t="shared" ref="J209:J214" si="536">F209+200</f>
        <v>2347.712</v>
      </c>
      <c r="K209" s="280">
        <f t="shared" ref="K209" si="537">+J209*$X$1</f>
        <v>2347.712</v>
      </c>
      <c r="L209" s="441">
        <f t="shared" ref="L209" si="538">F209+150</f>
        <v>2297.712</v>
      </c>
      <c r="M209" s="280">
        <f t="shared" ref="M209" si="539">+L209*$X$1</f>
        <v>2297.712</v>
      </c>
      <c r="N209" s="441">
        <f t="shared" ref="N209" si="540">F209+110</f>
        <v>2257.712</v>
      </c>
      <c r="O209" s="280">
        <f t="shared" ref="O209" si="541">+N209*$X$1</f>
        <v>2257.712</v>
      </c>
      <c r="P209" s="441">
        <f t="shared" ref="P209" si="542">F209+100</f>
        <v>2247.712</v>
      </c>
      <c r="Q209" s="280">
        <f t="shared" ref="Q209" si="543">+P209*$X$1</f>
        <v>2247.712</v>
      </c>
      <c r="R209" s="441">
        <f t="shared" ref="R209" si="544">F209+80</f>
        <v>2227.712</v>
      </c>
      <c r="S209" s="280">
        <f t="shared" ref="S209" si="545">+R209*$X$1</f>
        <v>2227.712</v>
      </c>
      <c r="T209" s="441">
        <f t="shared" ref="T209" si="546">F209+65</f>
        <v>2212.712</v>
      </c>
      <c r="U209" s="280">
        <f t="shared" ref="U209" si="547">+T209*$X$1</f>
        <v>2212.712</v>
      </c>
      <c r="V209" s="441">
        <f t="shared" ref="V209" si="548">F209+56</f>
        <v>2203.712</v>
      </c>
      <c r="W209" s="280">
        <f t="shared" ref="W209" si="549">+V209*$X$1</f>
        <v>2203.712</v>
      </c>
      <c r="X209" s="145"/>
      <c r="Y209" s="154"/>
      <c r="Z209" s="145"/>
      <c r="AA209" s="145"/>
      <c r="AB209" s="190">
        <v>465</v>
      </c>
    </row>
    <row r="210" spans="1:28" ht="12.6" customHeight="1" x14ac:dyDescent="0.2">
      <c r="A210" s="18"/>
      <c r="B210" s="659" t="s">
        <v>793</v>
      </c>
      <c r="C210" s="721"/>
      <c r="D210" s="721"/>
      <c r="E210" s="721"/>
      <c r="F210" s="365">
        <f>1.38*X2</f>
        <v>1501.4399999999998</v>
      </c>
      <c r="G210" s="328">
        <f t="shared" ref="G210" si="550">+F210*$X$1</f>
        <v>1501.4399999999998</v>
      </c>
      <c r="H210" s="610"/>
      <c r="I210" s="279"/>
      <c r="J210" s="70">
        <f t="shared" si="536"/>
        <v>1701.4399999999998</v>
      </c>
      <c r="K210" s="279">
        <f t="shared" ref="K210:K214" si="551">+J210*$X$1</f>
        <v>1701.4399999999998</v>
      </c>
      <c r="L210" s="610">
        <f t="shared" ref="L210:L214" si="552">F210+150</f>
        <v>1651.4399999999998</v>
      </c>
      <c r="M210" s="279">
        <f t="shared" ref="M210:M214" si="553">+L210*$X$1</f>
        <v>1651.4399999999998</v>
      </c>
      <c r="N210" s="610">
        <f t="shared" ref="N210:N214" si="554">F210+110</f>
        <v>1611.4399999999998</v>
      </c>
      <c r="O210" s="279">
        <f t="shared" ref="O210:O214" si="555">+N210*$X$1</f>
        <v>1611.4399999999998</v>
      </c>
      <c r="P210" s="610">
        <f t="shared" ref="P210:P214" si="556">F210+100</f>
        <v>1601.4399999999998</v>
      </c>
      <c r="Q210" s="279">
        <f t="shared" ref="Q210:Q214" si="557">+P210*$X$1</f>
        <v>1601.4399999999998</v>
      </c>
      <c r="R210" s="610">
        <f t="shared" ref="R210:R214" si="558">F210+80</f>
        <v>1581.4399999999998</v>
      </c>
      <c r="S210" s="279">
        <f t="shared" ref="S210:S214" si="559">+R210*$X$1</f>
        <v>1581.4399999999998</v>
      </c>
      <c r="T210" s="610">
        <f t="shared" ref="T210:T214" si="560">F210+65</f>
        <v>1566.4399999999998</v>
      </c>
      <c r="U210" s="279">
        <f t="shared" ref="U210:U214" si="561">+T210*$X$1</f>
        <v>1566.4399999999998</v>
      </c>
      <c r="V210" s="610">
        <f t="shared" ref="V210:V214" si="562">F210+56</f>
        <v>1557.4399999999998</v>
      </c>
      <c r="W210" s="279">
        <f t="shared" ref="W210:W214" si="563">+V210*$X$1</f>
        <v>1557.4399999999998</v>
      </c>
      <c r="X210" s="145"/>
      <c r="Y210" s="154"/>
      <c r="Z210" s="145"/>
      <c r="AA210" s="145"/>
      <c r="AB210" s="190">
        <v>466</v>
      </c>
    </row>
    <row r="211" spans="1:28" ht="12.6" customHeight="1" x14ac:dyDescent="0.2">
      <c r="A211" s="18"/>
      <c r="B211" s="645" t="s">
        <v>608</v>
      </c>
      <c r="C211" s="646"/>
      <c r="D211" s="646"/>
      <c r="E211" s="646"/>
      <c r="F211" s="369">
        <f>1*X2</f>
        <v>1088</v>
      </c>
      <c r="G211" s="329">
        <f t="shared" si="535"/>
        <v>1088</v>
      </c>
      <c r="H211" s="441"/>
      <c r="I211" s="280"/>
      <c r="J211" s="87">
        <f t="shared" si="536"/>
        <v>1288</v>
      </c>
      <c r="K211" s="280">
        <f t="shared" si="551"/>
        <v>1288</v>
      </c>
      <c r="L211" s="441">
        <f t="shared" si="552"/>
        <v>1238</v>
      </c>
      <c r="M211" s="280">
        <f t="shared" si="553"/>
        <v>1238</v>
      </c>
      <c r="N211" s="441">
        <f t="shared" si="554"/>
        <v>1198</v>
      </c>
      <c r="O211" s="280">
        <f t="shared" si="555"/>
        <v>1198</v>
      </c>
      <c r="P211" s="441">
        <f t="shared" si="556"/>
        <v>1188</v>
      </c>
      <c r="Q211" s="280">
        <f t="shared" si="557"/>
        <v>1188</v>
      </c>
      <c r="R211" s="441">
        <f t="shared" si="558"/>
        <v>1168</v>
      </c>
      <c r="S211" s="280">
        <f t="shared" si="559"/>
        <v>1168</v>
      </c>
      <c r="T211" s="441">
        <f t="shared" si="560"/>
        <v>1153</v>
      </c>
      <c r="U211" s="280">
        <f t="shared" si="561"/>
        <v>1153</v>
      </c>
      <c r="V211" s="441">
        <f t="shared" si="562"/>
        <v>1144</v>
      </c>
      <c r="W211" s="280">
        <f t="shared" si="563"/>
        <v>1144</v>
      </c>
      <c r="X211" s="145"/>
      <c r="Y211" s="145"/>
      <c r="Z211" s="145"/>
      <c r="AA211" s="145"/>
      <c r="AB211" s="190">
        <v>528</v>
      </c>
    </row>
    <row r="212" spans="1:28" ht="12.6" customHeight="1" x14ac:dyDescent="0.2">
      <c r="A212" s="18"/>
      <c r="B212" s="664" t="s">
        <v>357</v>
      </c>
      <c r="C212" s="708"/>
      <c r="D212" s="708"/>
      <c r="E212" s="709"/>
      <c r="F212" s="296">
        <v>3998</v>
      </c>
      <c r="G212" s="302">
        <f t="shared" ref="G212:G216" si="564">+F212*$X$1</f>
        <v>3998</v>
      </c>
      <c r="H212" s="610"/>
      <c r="I212" s="279"/>
      <c r="J212" s="70">
        <f t="shared" si="536"/>
        <v>4198</v>
      </c>
      <c r="K212" s="279">
        <f t="shared" si="551"/>
        <v>4198</v>
      </c>
      <c r="L212" s="610">
        <f t="shared" si="552"/>
        <v>4148</v>
      </c>
      <c r="M212" s="279">
        <f t="shared" si="553"/>
        <v>4148</v>
      </c>
      <c r="N212" s="610">
        <f t="shared" si="554"/>
        <v>4108</v>
      </c>
      <c r="O212" s="279">
        <f t="shared" si="555"/>
        <v>4108</v>
      </c>
      <c r="P212" s="610">
        <f t="shared" si="556"/>
        <v>4098</v>
      </c>
      <c r="Q212" s="279">
        <f t="shared" si="557"/>
        <v>4098</v>
      </c>
      <c r="R212" s="610">
        <f t="shared" si="558"/>
        <v>4078</v>
      </c>
      <c r="S212" s="279">
        <f t="shared" si="559"/>
        <v>4078</v>
      </c>
      <c r="T212" s="610">
        <f t="shared" si="560"/>
        <v>4063</v>
      </c>
      <c r="U212" s="279">
        <f t="shared" si="561"/>
        <v>4063</v>
      </c>
      <c r="V212" s="610">
        <f t="shared" si="562"/>
        <v>4054</v>
      </c>
      <c r="W212" s="279">
        <f t="shared" si="563"/>
        <v>4054</v>
      </c>
      <c r="X212" s="145"/>
      <c r="Y212" s="145"/>
      <c r="Z212" s="145"/>
      <c r="AA212" s="145"/>
      <c r="AB212" s="190"/>
    </row>
    <row r="213" spans="1:28" ht="12.6" customHeight="1" x14ac:dyDescent="0.2">
      <c r="A213" s="18"/>
      <c r="B213" s="647" t="s">
        <v>789</v>
      </c>
      <c r="C213" s="712"/>
      <c r="D213" s="712"/>
      <c r="E213" s="712"/>
      <c r="F213" s="366">
        <f>1*X2</f>
        <v>1088</v>
      </c>
      <c r="G213" s="483">
        <f t="shared" si="564"/>
        <v>1088</v>
      </c>
      <c r="H213" s="441">
        <f>F213+600</f>
        <v>1688</v>
      </c>
      <c r="I213" s="280">
        <f t="shared" ref="I213" si="565">+H213*$X$1</f>
        <v>1688</v>
      </c>
      <c r="J213" s="87">
        <f t="shared" si="536"/>
        <v>1288</v>
      </c>
      <c r="K213" s="280">
        <f t="shared" si="551"/>
        <v>1288</v>
      </c>
      <c r="L213" s="441">
        <f t="shared" si="552"/>
        <v>1238</v>
      </c>
      <c r="M213" s="280">
        <f t="shared" si="553"/>
        <v>1238</v>
      </c>
      <c r="N213" s="441">
        <f t="shared" si="554"/>
        <v>1198</v>
      </c>
      <c r="O213" s="280">
        <f t="shared" si="555"/>
        <v>1198</v>
      </c>
      <c r="P213" s="441">
        <f t="shared" si="556"/>
        <v>1188</v>
      </c>
      <c r="Q213" s="280">
        <f t="shared" si="557"/>
        <v>1188</v>
      </c>
      <c r="R213" s="441">
        <f t="shared" si="558"/>
        <v>1168</v>
      </c>
      <c r="S213" s="280">
        <f t="shared" si="559"/>
        <v>1168</v>
      </c>
      <c r="T213" s="441">
        <f t="shared" si="560"/>
        <v>1153</v>
      </c>
      <c r="U213" s="280">
        <f t="shared" si="561"/>
        <v>1153</v>
      </c>
      <c r="V213" s="441">
        <f t="shared" si="562"/>
        <v>1144</v>
      </c>
      <c r="W213" s="280">
        <f t="shared" si="563"/>
        <v>1144</v>
      </c>
      <c r="X213" s="145"/>
      <c r="Y213" s="154"/>
      <c r="Z213" s="145"/>
      <c r="AA213" s="145"/>
      <c r="AB213" s="190">
        <v>534</v>
      </c>
    </row>
    <row r="214" spans="1:28" ht="12.6" customHeight="1" x14ac:dyDescent="0.2">
      <c r="A214" s="18"/>
      <c r="B214" s="664" t="s">
        <v>358</v>
      </c>
      <c r="C214" s="680"/>
      <c r="D214" s="680"/>
      <c r="E214" s="681"/>
      <c r="F214" s="296">
        <v>1235</v>
      </c>
      <c r="G214" s="302">
        <f t="shared" si="564"/>
        <v>1235</v>
      </c>
      <c r="H214" s="610"/>
      <c r="I214" s="279"/>
      <c r="J214" s="70">
        <f t="shared" si="536"/>
        <v>1435</v>
      </c>
      <c r="K214" s="279">
        <f t="shared" si="551"/>
        <v>1435</v>
      </c>
      <c r="L214" s="610">
        <f t="shared" si="552"/>
        <v>1385</v>
      </c>
      <c r="M214" s="279">
        <f t="shared" si="553"/>
        <v>1385</v>
      </c>
      <c r="N214" s="610">
        <f t="shared" si="554"/>
        <v>1345</v>
      </c>
      <c r="O214" s="279">
        <f t="shared" si="555"/>
        <v>1345</v>
      </c>
      <c r="P214" s="610">
        <f t="shared" si="556"/>
        <v>1335</v>
      </c>
      <c r="Q214" s="279">
        <f t="shared" si="557"/>
        <v>1335</v>
      </c>
      <c r="R214" s="610">
        <f t="shared" si="558"/>
        <v>1315</v>
      </c>
      <c r="S214" s="279">
        <f t="shared" si="559"/>
        <v>1315</v>
      </c>
      <c r="T214" s="610">
        <f t="shared" si="560"/>
        <v>1300</v>
      </c>
      <c r="U214" s="279">
        <f t="shared" si="561"/>
        <v>1300</v>
      </c>
      <c r="V214" s="610">
        <f t="shared" si="562"/>
        <v>1291</v>
      </c>
      <c r="W214" s="279">
        <f t="shared" si="563"/>
        <v>1291</v>
      </c>
      <c r="X214" s="145"/>
      <c r="Y214" s="145"/>
      <c r="Z214" s="145"/>
      <c r="AA214" s="145"/>
      <c r="AB214" s="190"/>
    </row>
    <row r="215" spans="1:28" ht="12.6" customHeight="1" x14ac:dyDescent="0.2">
      <c r="A215" s="18"/>
      <c r="B215" s="645" t="s">
        <v>189</v>
      </c>
      <c r="C215" s="725"/>
      <c r="D215" s="725"/>
      <c r="E215" s="725"/>
      <c r="F215" s="309">
        <v>210</v>
      </c>
      <c r="G215" s="340">
        <f>+F215*$X$1</f>
        <v>210</v>
      </c>
      <c r="H215" s="1162" t="s">
        <v>349</v>
      </c>
      <c r="I215" s="1162"/>
      <c r="J215" s="1163"/>
      <c r="K215" s="1163"/>
      <c r="L215" s="1163"/>
      <c r="M215" s="1164"/>
      <c r="N215" s="441">
        <f t="shared" ref="N215" si="566">F215+110</f>
        <v>320</v>
      </c>
      <c r="O215" s="280">
        <f t="shared" ref="O215" si="567">+N215*$X$1</f>
        <v>320</v>
      </c>
      <c r="P215" s="441">
        <f t="shared" ref="P215" si="568">F215+100</f>
        <v>310</v>
      </c>
      <c r="Q215" s="280">
        <f t="shared" ref="Q215" si="569">+P215*$X$1</f>
        <v>310</v>
      </c>
      <c r="R215" s="441">
        <f t="shared" ref="R215" si="570">F215+80</f>
        <v>290</v>
      </c>
      <c r="S215" s="280">
        <f t="shared" ref="S215" si="571">+R215*$X$1</f>
        <v>290</v>
      </c>
      <c r="T215" s="441">
        <f t="shared" ref="T215" si="572">F215+65</f>
        <v>275</v>
      </c>
      <c r="U215" s="280">
        <f t="shared" ref="U215" si="573">+T215*$X$1</f>
        <v>275</v>
      </c>
      <c r="V215" s="441">
        <f t="shared" ref="V215" si="574">F215+56</f>
        <v>266</v>
      </c>
      <c r="W215" s="280">
        <f t="shared" ref="W215" si="575">+V215*$X$1</f>
        <v>266</v>
      </c>
      <c r="X215" s="145"/>
      <c r="Y215" s="145"/>
      <c r="Z215" s="145"/>
      <c r="AA215" s="145"/>
      <c r="AB215" s="190">
        <v>539</v>
      </c>
    </row>
    <row r="216" spans="1:28" ht="12.6" customHeight="1" x14ac:dyDescent="0.2">
      <c r="A216" s="18"/>
      <c r="B216" s="710" t="s">
        <v>462</v>
      </c>
      <c r="C216" s="860"/>
      <c r="D216" s="860"/>
      <c r="E216" s="860"/>
      <c r="F216" s="296">
        <v>490</v>
      </c>
      <c r="G216" s="297">
        <f t="shared" si="564"/>
        <v>490</v>
      </c>
      <c r="H216" s="273"/>
      <c r="I216" s="273"/>
      <c r="J216" s="70"/>
      <c r="K216" s="279"/>
      <c r="L216" s="610"/>
      <c r="M216" s="279"/>
      <c r="N216" s="610"/>
      <c r="O216" s="279"/>
      <c r="P216" s="610"/>
      <c r="Q216" s="279"/>
      <c r="R216" s="610"/>
      <c r="S216" s="279"/>
      <c r="T216" s="610">
        <f t="shared" ref="T216:T218" si="576">F216+65</f>
        <v>555</v>
      </c>
      <c r="U216" s="279">
        <f t="shared" ref="U216:U218" si="577">+T216*$X$1</f>
        <v>555</v>
      </c>
      <c r="V216" s="610">
        <f t="shared" ref="V216:V218" si="578">F216+56</f>
        <v>546</v>
      </c>
      <c r="W216" s="279">
        <f t="shared" ref="W216:W218" si="579">+V216*$X$1</f>
        <v>546</v>
      </c>
      <c r="X216" s="145"/>
      <c r="Y216" s="145"/>
      <c r="Z216" s="145"/>
      <c r="AA216" s="145"/>
      <c r="AB216" s="190">
        <v>540</v>
      </c>
    </row>
    <row r="217" spans="1:28" ht="12.6" customHeight="1" x14ac:dyDescent="0.2">
      <c r="A217" s="18"/>
      <c r="B217" s="645" t="s">
        <v>464</v>
      </c>
      <c r="C217" s="646"/>
      <c r="D217" s="646"/>
      <c r="E217" s="646"/>
      <c r="F217" s="309">
        <v>843</v>
      </c>
      <c r="G217" s="329">
        <f t="shared" ref="G217" si="580">+F217*$X$1</f>
        <v>843</v>
      </c>
      <c r="H217" s="272"/>
      <c r="I217" s="272"/>
      <c r="J217" s="87"/>
      <c r="K217" s="280"/>
      <c r="L217" s="441"/>
      <c r="M217" s="280"/>
      <c r="N217" s="441"/>
      <c r="O217" s="280"/>
      <c r="P217" s="441"/>
      <c r="Q217" s="280"/>
      <c r="R217" s="441"/>
      <c r="S217" s="280"/>
      <c r="T217" s="441">
        <f t="shared" si="576"/>
        <v>908</v>
      </c>
      <c r="U217" s="280">
        <f t="shared" si="577"/>
        <v>908</v>
      </c>
      <c r="V217" s="441">
        <f t="shared" si="578"/>
        <v>899</v>
      </c>
      <c r="W217" s="280">
        <f t="shared" si="579"/>
        <v>899</v>
      </c>
      <c r="X217" s="145"/>
      <c r="Y217" s="145"/>
      <c r="Z217" s="145"/>
      <c r="AA217" s="145"/>
      <c r="AB217" s="190" t="s">
        <v>546</v>
      </c>
    </row>
    <row r="218" spans="1:28" ht="12.6" customHeight="1" x14ac:dyDescent="0.2">
      <c r="A218" s="18"/>
      <c r="B218" s="664" t="s">
        <v>415</v>
      </c>
      <c r="C218" s="680"/>
      <c r="D218" s="680"/>
      <c r="E218" s="681"/>
      <c r="F218" s="370">
        <f>18.74*X2</f>
        <v>20389.12</v>
      </c>
      <c r="G218" s="297">
        <f t="shared" ref="G218" si="581">+F218*$X$1</f>
        <v>20389.12</v>
      </c>
      <c r="H218" s="610">
        <f>F218+600</f>
        <v>20989.119999999999</v>
      </c>
      <c r="I218" s="279">
        <f>+H218*$X$1</f>
        <v>20989.119999999999</v>
      </c>
      <c r="J218" s="70">
        <f>F218+200</f>
        <v>20589.12</v>
      </c>
      <c r="K218" s="279">
        <f t="shared" ref="K218" si="582">+J218*$X$1</f>
        <v>20589.12</v>
      </c>
      <c r="L218" s="610">
        <f t="shared" ref="L218" si="583">F218+150</f>
        <v>20539.12</v>
      </c>
      <c r="M218" s="279">
        <f t="shared" ref="M218" si="584">+L218*$X$1</f>
        <v>20539.12</v>
      </c>
      <c r="N218" s="610">
        <f t="shared" ref="N218" si="585">F218+110</f>
        <v>20499.12</v>
      </c>
      <c r="O218" s="279">
        <f t="shared" ref="O218" si="586">+N218*$X$1</f>
        <v>20499.12</v>
      </c>
      <c r="P218" s="610">
        <f t="shared" ref="P218" si="587">F218+100</f>
        <v>20489.12</v>
      </c>
      <c r="Q218" s="279">
        <f t="shared" ref="Q218" si="588">+P218*$X$1</f>
        <v>20489.12</v>
      </c>
      <c r="R218" s="610">
        <f t="shared" ref="R218" si="589">F218+80</f>
        <v>20469.12</v>
      </c>
      <c r="S218" s="279">
        <f t="shared" ref="S218" si="590">+R218*$X$1</f>
        <v>20469.12</v>
      </c>
      <c r="T218" s="610">
        <f t="shared" si="576"/>
        <v>20454.12</v>
      </c>
      <c r="U218" s="279">
        <f t="shared" si="577"/>
        <v>20454.12</v>
      </c>
      <c r="V218" s="610">
        <f t="shared" si="578"/>
        <v>20445.12</v>
      </c>
      <c r="W218" s="279">
        <f t="shared" si="579"/>
        <v>20445.12</v>
      </c>
      <c r="X218" s="145"/>
      <c r="Y218" s="145"/>
      <c r="Z218" s="145"/>
      <c r="AA218" s="145"/>
      <c r="AB218" s="190">
        <v>542</v>
      </c>
    </row>
    <row r="219" spans="1:28" ht="12.6" customHeight="1" x14ac:dyDescent="0.2">
      <c r="A219" s="18"/>
      <c r="B219" s="647" t="s">
        <v>463</v>
      </c>
      <c r="C219" s="648"/>
      <c r="D219" s="648"/>
      <c r="E219" s="648"/>
      <c r="F219" s="280"/>
      <c r="G219" s="280"/>
      <c r="H219" s="441"/>
      <c r="I219" s="441"/>
      <c r="J219" s="441"/>
      <c r="K219" s="280"/>
      <c r="L219" s="441"/>
      <c r="M219" s="280"/>
      <c r="N219" s="441"/>
      <c r="O219" s="280"/>
      <c r="P219" s="441"/>
      <c r="Q219" s="280"/>
      <c r="R219" s="441"/>
      <c r="S219" s="280"/>
      <c r="T219" s="441"/>
      <c r="U219" s="280"/>
      <c r="V219" s="87"/>
      <c r="W219" s="333"/>
      <c r="X219" s="145"/>
      <c r="Y219" s="145"/>
      <c r="Z219" s="145"/>
      <c r="AA219" s="145"/>
      <c r="AB219" s="190">
        <v>544</v>
      </c>
    </row>
    <row r="220" spans="1:28" ht="12.6" customHeight="1" x14ac:dyDescent="0.2">
      <c r="A220" s="18"/>
      <c r="B220" s="861" t="s">
        <v>190</v>
      </c>
      <c r="C220" s="1167"/>
      <c r="D220" s="1167"/>
      <c r="E220" s="1167"/>
      <c r="F220" s="512">
        <v>411</v>
      </c>
      <c r="G220" s="513">
        <f t="shared" ref="G220:G225" si="591">+F220*$X$1</f>
        <v>411</v>
      </c>
      <c r="H220" s="514"/>
      <c r="I220" s="514"/>
      <c r="J220" s="441">
        <f t="shared" ref="J220:J226" si="592">F220+200</f>
        <v>611</v>
      </c>
      <c r="K220" s="513">
        <f t="shared" ref="K220:K226" si="593">+J220*$X$1</f>
        <v>611</v>
      </c>
      <c r="L220" s="553">
        <f>F220+150</f>
        <v>561</v>
      </c>
      <c r="M220" s="513">
        <f t="shared" ref="M220:M226" si="594">+L220*$X$1</f>
        <v>561</v>
      </c>
      <c r="N220" s="553">
        <f>F220+110</f>
        <v>521</v>
      </c>
      <c r="O220" s="513">
        <f t="shared" ref="O220:O226" si="595">+N220*$X$1</f>
        <v>521</v>
      </c>
      <c r="P220" s="515"/>
      <c r="Q220" s="1157" t="s">
        <v>148</v>
      </c>
      <c r="R220" s="1158"/>
      <c r="S220" s="1158"/>
      <c r="T220" s="1158"/>
      <c r="U220" s="1158"/>
      <c r="V220" s="1158"/>
      <c r="W220" s="1159"/>
      <c r="X220" s="129"/>
      <c r="Y220" s="129"/>
      <c r="Z220" s="129"/>
      <c r="AA220" s="129"/>
      <c r="AB220" s="190">
        <v>547</v>
      </c>
    </row>
    <row r="221" spans="1:28" ht="12.6" customHeight="1" x14ac:dyDescent="0.2">
      <c r="A221" s="18"/>
      <c r="B221" s="661" t="s">
        <v>359</v>
      </c>
      <c r="C221" s="1165"/>
      <c r="D221" s="1165"/>
      <c r="E221" s="1166"/>
      <c r="F221" s="280">
        <v>3920</v>
      </c>
      <c r="G221" s="280">
        <f t="shared" si="591"/>
        <v>3920</v>
      </c>
      <c r="H221" s="272"/>
      <c r="I221" s="272"/>
      <c r="J221" s="87">
        <f t="shared" si="592"/>
        <v>4120</v>
      </c>
      <c r="K221" s="280">
        <f t="shared" si="593"/>
        <v>4120</v>
      </c>
      <c r="L221" s="441">
        <f t="shared" ref="L221:L226" si="596">F221+150</f>
        <v>4070</v>
      </c>
      <c r="M221" s="280">
        <f t="shared" si="594"/>
        <v>4070</v>
      </c>
      <c r="N221" s="441">
        <f t="shared" ref="N221:N226" si="597">F221+110</f>
        <v>4030</v>
      </c>
      <c r="O221" s="280">
        <f t="shared" si="595"/>
        <v>4030</v>
      </c>
      <c r="P221" s="441">
        <f t="shared" ref="P221:P226" si="598">F221+100</f>
        <v>4020</v>
      </c>
      <c r="Q221" s="280">
        <f t="shared" ref="Q221:Q226" si="599">+P221*$X$1</f>
        <v>4020</v>
      </c>
      <c r="R221" s="441">
        <f t="shared" ref="R221:R226" si="600">F221+80</f>
        <v>4000</v>
      </c>
      <c r="S221" s="280">
        <f t="shared" ref="S221:S226" si="601">+R221*$X$1</f>
        <v>4000</v>
      </c>
      <c r="T221" s="441">
        <f t="shared" ref="T221:T226" si="602">F221+65</f>
        <v>3985</v>
      </c>
      <c r="U221" s="280">
        <f t="shared" ref="U221:U226" si="603">+T221*$X$1</f>
        <v>3985</v>
      </c>
      <c r="V221" s="441">
        <f t="shared" ref="V221:V226" si="604">F221+56</f>
        <v>3976</v>
      </c>
      <c r="W221" s="280">
        <f t="shared" ref="W221:W226" si="605">+V221*$X$1</f>
        <v>3976</v>
      </c>
      <c r="X221" s="129"/>
      <c r="Y221" s="129"/>
      <c r="Z221" s="129"/>
      <c r="AA221" s="129"/>
      <c r="AB221" s="402"/>
    </row>
    <row r="222" spans="1:28" ht="12.6" customHeight="1" x14ac:dyDescent="0.2">
      <c r="A222" s="18"/>
      <c r="B222" s="664" t="s">
        <v>477</v>
      </c>
      <c r="C222" s="680"/>
      <c r="D222" s="680"/>
      <c r="E222" s="681"/>
      <c r="F222" s="296">
        <v>1117</v>
      </c>
      <c r="G222" s="279">
        <f t="shared" si="591"/>
        <v>1117</v>
      </c>
      <c r="H222" s="273"/>
      <c r="I222" s="273"/>
      <c r="J222" s="70">
        <f t="shared" si="592"/>
        <v>1317</v>
      </c>
      <c r="K222" s="279">
        <f t="shared" si="593"/>
        <v>1317</v>
      </c>
      <c r="L222" s="610">
        <f t="shared" si="596"/>
        <v>1267</v>
      </c>
      <c r="M222" s="279">
        <f t="shared" si="594"/>
        <v>1267</v>
      </c>
      <c r="N222" s="610">
        <f t="shared" si="597"/>
        <v>1227</v>
      </c>
      <c r="O222" s="279">
        <f t="shared" si="595"/>
        <v>1227</v>
      </c>
      <c r="P222" s="610">
        <f t="shared" si="598"/>
        <v>1217</v>
      </c>
      <c r="Q222" s="279">
        <f t="shared" si="599"/>
        <v>1217</v>
      </c>
      <c r="R222" s="610">
        <f t="shared" si="600"/>
        <v>1197</v>
      </c>
      <c r="S222" s="279">
        <f t="shared" si="601"/>
        <v>1197</v>
      </c>
      <c r="T222" s="610">
        <f t="shared" si="602"/>
        <v>1182</v>
      </c>
      <c r="U222" s="279">
        <f t="shared" si="603"/>
        <v>1182</v>
      </c>
      <c r="V222" s="610">
        <f t="shared" si="604"/>
        <v>1173</v>
      </c>
      <c r="W222" s="279">
        <f t="shared" si="605"/>
        <v>1173</v>
      </c>
      <c r="X222" s="145"/>
      <c r="Y222" s="145"/>
      <c r="Z222" s="145"/>
      <c r="AA222" s="145"/>
      <c r="AB222" s="190"/>
    </row>
    <row r="223" spans="1:28" ht="12.6" customHeight="1" x14ac:dyDescent="0.2">
      <c r="A223" s="18"/>
      <c r="B223" s="661" t="s">
        <v>437</v>
      </c>
      <c r="C223" s="1165"/>
      <c r="D223" s="1165"/>
      <c r="E223" s="1166"/>
      <c r="F223" s="280">
        <v>3773</v>
      </c>
      <c r="G223" s="280">
        <f t="shared" si="591"/>
        <v>3773</v>
      </c>
      <c r="H223" s="272"/>
      <c r="I223" s="272"/>
      <c r="J223" s="87">
        <f t="shared" si="592"/>
        <v>3973</v>
      </c>
      <c r="K223" s="280">
        <f t="shared" si="593"/>
        <v>3973</v>
      </c>
      <c r="L223" s="441">
        <f t="shared" si="596"/>
        <v>3923</v>
      </c>
      <c r="M223" s="280">
        <f t="shared" si="594"/>
        <v>3923</v>
      </c>
      <c r="N223" s="441">
        <f t="shared" si="597"/>
        <v>3883</v>
      </c>
      <c r="O223" s="280">
        <f t="shared" si="595"/>
        <v>3883</v>
      </c>
      <c r="P223" s="441">
        <f t="shared" si="598"/>
        <v>3873</v>
      </c>
      <c r="Q223" s="280">
        <f t="shared" si="599"/>
        <v>3873</v>
      </c>
      <c r="R223" s="441">
        <f t="shared" si="600"/>
        <v>3853</v>
      </c>
      <c r="S223" s="280">
        <f t="shared" si="601"/>
        <v>3853</v>
      </c>
      <c r="T223" s="441">
        <f t="shared" si="602"/>
        <v>3838</v>
      </c>
      <c r="U223" s="280">
        <f t="shared" si="603"/>
        <v>3838</v>
      </c>
      <c r="V223" s="441">
        <f t="shared" si="604"/>
        <v>3829</v>
      </c>
      <c r="W223" s="280">
        <f t="shared" si="605"/>
        <v>3829</v>
      </c>
      <c r="X223" s="129"/>
      <c r="Y223" s="129"/>
      <c r="Z223" s="129"/>
      <c r="AA223" s="129"/>
      <c r="AB223" s="190">
        <v>551</v>
      </c>
    </row>
    <row r="224" spans="1:28" ht="12.6" customHeight="1" x14ac:dyDescent="0.2">
      <c r="A224" s="18"/>
      <c r="B224" s="808" t="s">
        <v>435</v>
      </c>
      <c r="C224" s="809"/>
      <c r="D224" s="809"/>
      <c r="E224" s="810"/>
      <c r="F224" s="296">
        <v>4214</v>
      </c>
      <c r="G224" s="279">
        <f t="shared" si="591"/>
        <v>4214</v>
      </c>
      <c r="H224" s="273"/>
      <c r="I224" s="273"/>
      <c r="J224" s="70">
        <f t="shared" si="592"/>
        <v>4414</v>
      </c>
      <c r="K224" s="279">
        <f t="shared" si="593"/>
        <v>4414</v>
      </c>
      <c r="L224" s="610">
        <f t="shared" si="596"/>
        <v>4364</v>
      </c>
      <c r="M224" s="279">
        <f t="shared" si="594"/>
        <v>4364</v>
      </c>
      <c r="N224" s="610">
        <f t="shared" si="597"/>
        <v>4324</v>
      </c>
      <c r="O224" s="279">
        <f t="shared" si="595"/>
        <v>4324</v>
      </c>
      <c r="P224" s="610">
        <f t="shared" si="598"/>
        <v>4314</v>
      </c>
      <c r="Q224" s="279">
        <f t="shared" si="599"/>
        <v>4314</v>
      </c>
      <c r="R224" s="610">
        <f t="shared" si="600"/>
        <v>4294</v>
      </c>
      <c r="S224" s="279">
        <f t="shared" si="601"/>
        <v>4294</v>
      </c>
      <c r="T224" s="610">
        <f t="shared" si="602"/>
        <v>4279</v>
      </c>
      <c r="U224" s="279">
        <f t="shared" si="603"/>
        <v>4279</v>
      </c>
      <c r="V224" s="610">
        <f t="shared" si="604"/>
        <v>4270</v>
      </c>
      <c r="W224" s="279">
        <f t="shared" si="605"/>
        <v>4270</v>
      </c>
      <c r="X224" s="129"/>
      <c r="Y224" s="129"/>
      <c r="Z224" s="129"/>
      <c r="AA224" s="129"/>
      <c r="AB224" s="190" t="s">
        <v>434</v>
      </c>
    </row>
    <row r="225" spans="1:34" ht="12.6" customHeight="1" x14ac:dyDescent="0.2">
      <c r="A225" s="18"/>
      <c r="B225" s="1137" t="s">
        <v>436</v>
      </c>
      <c r="C225" s="1138"/>
      <c r="D225" s="1138"/>
      <c r="E225" s="1139"/>
      <c r="F225" s="309">
        <v>4567</v>
      </c>
      <c r="G225" s="280">
        <f t="shared" si="591"/>
        <v>4567</v>
      </c>
      <c r="H225" s="272"/>
      <c r="I225" s="272"/>
      <c r="J225" s="87">
        <f t="shared" si="592"/>
        <v>4767</v>
      </c>
      <c r="K225" s="280">
        <f t="shared" si="593"/>
        <v>4767</v>
      </c>
      <c r="L225" s="441">
        <f t="shared" si="596"/>
        <v>4717</v>
      </c>
      <c r="M225" s="280">
        <f t="shared" si="594"/>
        <v>4717</v>
      </c>
      <c r="N225" s="441">
        <f t="shared" si="597"/>
        <v>4677</v>
      </c>
      <c r="O225" s="280">
        <f t="shared" si="595"/>
        <v>4677</v>
      </c>
      <c r="P225" s="441">
        <f t="shared" si="598"/>
        <v>4667</v>
      </c>
      <c r="Q225" s="280">
        <f t="shared" si="599"/>
        <v>4667</v>
      </c>
      <c r="R225" s="441">
        <f t="shared" si="600"/>
        <v>4647</v>
      </c>
      <c r="S225" s="280">
        <f t="shared" si="601"/>
        <v>4647</v>
      </c>
      <c r="T225" s="441">
        <f t="shared" si="602"/>
        <v>4632</v>
      </c>
      <c r="U225" s="280">
        <f t="shared" si="603"/>
        <v>4632</v>
      </c>
      <c r="V225" s="441">
        <f t="shared" si="604"/>
        <v>4623</v>
      </c>
      <c r="W225" s="280">
        <f t="shared" si="605"/>
        <v>4623</v>
      </c>
      <c r="X225" s="129"/>
      <c r="Y225" s="129"/>
      <c r="Z225" s="129"/>
      <c r="AA225" s="129"/>
      <c r="AB225" s="190" t="s">
        <v>438</v>
      </c>
    </row>
    <row r="226" spans="1:34" ht="12.6" customHeight="1" x14ac:dyDescent="0.2">
      <c r="A226" s="18"/>
      <c r="B226" s="659" t="s">
        <v>396</v>
      </c>
      <c r="C226" s="721"/>
      <c r="D226" s="721"/>
      <c r="E226" s="721"/>
      <c r="F226" s="279">
        <v>4028</v>
      </c>
      <c r="G226" s="279">
        <f t="shared" ref="G226" si="606">+F226*$X$1</f>
        <v>4028</v>
      </c>
      <c r="H226" s="273"/>
      <c r="I226" s="273"/>
      <c r="J226" s="70">
        <f t="shared" si="592"/>
        <v>4228</v>
      </c>
      <c r="K226" s="279">
        <f t="shared" si="593"/>
        <v>4228</v>
      </c>
      <c r="L226" s="610">
        <f t="shared" si="596"/>
        <v>4178</v>
      </c>
      <c r="M226" s="279">
        <f t="shared" si="594"/>
        <v>4178</v>
      </c>
      <c r="N226" s="610">
        <f t="shared" si="597"/>
        <v>4138</v>
      </c>
      <c r="O226" s="279">
        <f t="shared" si="595"/>
        <v>4138</v>
      </c>
      <c r="P226" s="610">
        <f t="shared" si="598"/>
        <v>4128</v>
      </c>
      <c r="Q226" s="279">
        <f t="shared" si="599"/>
        <v>4128</v>
      </c>
      <c r="R226" s="610">
        <f t="shared" si="600"/>
        <v>4108</v>
      </c>
      <c r="S226" s="279">
        <f t="shared" si="601"/>
        <v>4108</v>
      </c>
      <c r="T226" s="610">
        <f t="shared" si="602"/>
        <v>4093</v>
      </c>
      <c r="U226" s="279">
        <f t="shared" si="603"/>
        <v>4093</v>
      </c>
      <c r="V226" s="610">
        <f t="shared" si="604"/>
        <v>4084</v>
      </c>
      <c r="W226" s="279">
        <f t="shared" si="605"/>
        <v>4084</v>
      </c>
      <c r="X226" s="129"/>
      <c r="Y226" s="129"/>
      <c r="Z226" s="129"/>
      <c r="AA226" s="129"/>
      <c r="AB226" s="190">
        <v>553</v>
      </c>
    </row>
    <row r="227" spans="1:34" ht="12.6" customHeight="1" x14ac:dyDescent="0.2">
      <c r="A227" s="18"/>
      <c r="B227" s="645" t="s">
        <v>607</v>
      </c>
      <c r="C227" s="646"/>
      <c r="D227" s="646"/>
      <c r="E227" s="646"/>
      <c r="F227" s="369">
        <f>5.65*X2</f>
        <v>6147.2000000000007</v>
      </c>
      <c r="G227" s="329">
        <f t="shared" ref="G227" si="607">+F227*$X$1</f>
        <v>6147.2000000000007</v>
      </c>
      <c r="H227" s="441">
        <f>F227+800</f>
        <v>6947.2000000000007</v>
      </c>
      <c r="I227" s="280">
        <f>+H227*$X$1</f>
        <v>6947.2000000000007</v>
      </c>
      <c r="J227" s="441">
        <f>F227+600</f>
        <v>6747.2000000000007</v>
      </c>
      <c r="K227" s="280">
        <f>+J227*$X$1</f>
        <v>6747.2000000000007</v>
      </c>
      <c r="L227" s="441">
        <f>F227+500</f>
        <v>6647.2000000000007</v>
      </c>
      <c r="M227" s="280">
        <f t="shared" ref="M227" si="608">+L227*$X$1</f>
        <v>6647.2000000000007</v>
      </c>
      <c r="N227" s="441">
        <f>F227+450</f>
        <v>6597.2000000000007</v>
      </c>
      <c r="O227" s="280">
        <f t="shared" ref="O227" si="609">+N227*$X$1</f>
        <v>6597.2000000000007</v>
      </c>
      <c r="P227" s="441">
        <f>F227+360</f>
        <v>6507.2000000000007</v>
      </c>
      <c r="Q227" s="280">
        <f t="shared" ref="Q227" si="610">+P227*$X$1</f>
        <v>6507.2000000000007</v>
      </c>
      <c r="R227" s="441">
        <f>F227+330</f>
        <v>6477.2000000000007</v>
      </c>
      <c r="S227" s="280">
        <f t="shared" ref="S227" si="611">+R227*$X$1</f>
        <v>6477.2000000000007</v>
      </c>
      <c r="T227" s="100">
        <f>F227+300</f>
        <v>6447.2000000000007</v>
      </c>
      <c r="U227" s="295">
        <f t="shared" ref="U227" si="612">+T227*$X$1</f>
        <v>6447.2000000000007</v>
      </c>
      <c r="V227" s="100">
        <f>F227+260</f>
        <v>6407.2000000000007</v>
      </c>
      <c r="W227" s="295">
        <f t="shared" ref="W227" si="613">+V227*$X$1</f>
        <v>6407.2000000000007</v>
      </c>
      <c r="X227" s="145"/>
      <c r="Y227" s="145"/>
      <c r="Z227" s="145"/>
      <c r="AA227" s="145"/>
      <c r="AB227" s="190">
        <v>616</v>
      </c>
    </row>
    <row r="228" spans="1:34" ht="12.6" customHeight="1" x14ac:dyDescent="0.2">
      <c r="A228" s="18"/>
      <c r="B228" s="1160" t="s">
        <v>353</v>
      </c>
      <c r="C228" s="1161"/>
      <c r="D228" s="1161"/>
      <c r="E228" s="1161"/>
      <c r="F228" s="513">
        <v>220</v>
      </c>
      <c r="G228" s="513">
        <f t="shared" ref="G228:G231" si="614">+F228*$X$1</f>
        <v>220</v>
      </c>
      <c r="H228" s="514"/>
      <c r="I228" s="516"/>
      <c r="J228" s="607">
        <f>F228+200</f>
        <v>420</v>
      </c>
      <c r="K228" s="513">
        <f t="shared" ref="K228" si="615">+J228*$X$1</f>
        <v>420</v>
      </c>
      <c r="L228" s="607">
        <f>F228+150</f>
        <v>370</v>
      </c>
      <c r="M228" s="513">
        <f>+L228*$X$1</f>
        <v>370</v>
      </c>
      <c r="N228" s="607">
        <f>F228+110</f>
        <v>330</v>
      </c>
      <c r="O228" s="513">
        <f>+N228*$X$1</f>
        <v>330</v>
      </c>
      <c r="P228" s="607"/>
      <c r="Q228" s="1168" t="s">
        <v>148</v>
      </c>
      <c r="R228" s="1169"/>
      <c r="S228" s="1169"/>
      <c r="T228" s="1169"/>
      <c r="U228" s="1169"/>
      <c r="V228" s="1169"/>
      <c r="W228" s="1169"/>
      <c r="X228" s="145"/>
      <c r="Y228" s="145"/>
      <c r="Z228" s="145"/>
      <c r="AA228" s="145"/>
      <c r="AB228" s="190">
        <v>618</v>
      </c>
    </row>
    <row r="229" spans="1:34" ht="12.6" customHeight="1" x14ac:dyDescent="0.2">
      <c r="A229" s="102"/>
      <c r="B229" s="749" t="s">
        <v>472</v>
      </c>
      <c r="C229" s="750"/>
      <c r="D229" s="750"/>
      <c r="E229" s="750"/>
      <c r="F229" s="513">
        <v>600</v>
      </c>
      <c r="G229" s="513">
        <f t="shared" si="614"/>
        <v>600</v>
      </c>
      <c r="H229" s="607"/>
      <c r="I229" s="513"/>
      <c r="J229" s="514"/>
      <c r="K229" s="516"/>
      <c r="L229" s="607">
        <f>F229+160</f>
        <v>760</v>
      </c>
      <c r="M229" s="513">
        <f t="shared" ref="M229:M235" si="616">+L229*$X$1</f>
        <v>760</v>
      </c>
      <c r="N229" s="607"/>
      <c r="O229" s="513"/>
      <c r="P229" s="607">
        <f>F229+5.1</f>
        <v>605.1</v>
      </c>
      <c r="Q229" s="1168" t="s">
        <v>148</v>
      </c>
      <c r="R229" s="1169"/>
      <c r="S229" s="1169"/>
      <c r="T229" s="1169"/>
      <c r="U229" s="1169"/>
      <c r="V229" s="1169"/>
      <c r="W229" s="1169"/>
      <c r="X229" s="130"/>
      <c r="Y229" s="145"/>
      <c r="Z229" s="145"/>
      <c r="AA229" s="145"/>
      <c r="AB229" s="190">
        <v>621</v>
      </c>
    </row>
    <row r="230" spans="1:34" ht="12.6" customHeight="1" x14ac:dyDescent="0.2">
      <c r="A230" s="21"/>
      <c r="B230" s="659" t="s">
        <v>191</v>
      </c>
      <c r="C230" s="721"/>
      <c r="D230" s="721"/>
      <c r="E230" s="721"/>
      <c r="F230" s="365">
        <f>2.93*X2</f>
        <v>3187.84</v>
      </c>
      <c r="G230" s="279">
        <f>+F230*$X$1</f>
        <v>3187.84</v>
      </c>
      <c r="H230" s="308"/>
      <c r="I230" s="331"/>
      <c r="J230" s="70">
        <f t="shared" ref="J230:J235" si="617">F230+200</f>
        <v>3387.84</v>
      </c>
      <c r="K230" s="279">
        <f t="shared" ref="K230:K235" si="618">+J230*$X$1</f>
        <v>3387.84</v>
      </c>
      <c r="L230" s="610">
        <f t="shared" ref="L230:L235" si="619">F230+150</f>
        <v>3337.84</v>
      </c>
      <c r="M230" s="279">
        <f t="shared" si="616"/>
        <v>3337.84</v>
      </c>
      <c r="N230" s="610">
        <f t="shared" ref="N230:N235" si="620">F230+110</f>
        <v>3297.84</v>
      </c>
      <c r="O230" s="279">
        <f t="shared" ref="O230:O235" si="621">+N230*$X$1</f>
        <v>3297.84</v>
      </c>
      <c r="P230" s="610">
        <f t="shared" ref="P230:P235" si="622">F230+100</f>
        <v>3287.84</v>
      </c>
      <c r="Q230" s="279">
        <f t="shared" ref="Q230:Q235" si="623">+P230*$X$1</f>
        <v>3287.84</v>
      </c>
      <c r="R230" s="610">
        <f t="shared" ref="R230:R235" si="624">F230+80</f>
        <v>3267.84</v>
      </c>
      <c r="S230" s="279">
        <f t="shared" ref="S230:S235" si="625">+R230*$X$1</f>
        <v>3267.84</v>
      </c>
      <c r="T230" s="610">
        <f t="shared" ref="T230:T235" si="626">F230+65</f>
        <v>3252.84</v>
      </c>
      <c r="U230" s="279">
        <f t="shared" ref="U230:U235" si="627">+T230*$X$1</f>
        <v>3252.84</v>
      </c>
      <c r="V230" s="610">
        <f t="shared" ref="V230:V235" si="628">F230+56</f>
        <v>3243.84</v>
      </c>
      <c r="W230" s="279">
        <f t="shared" ref="W230:W235" si="629">+V230*$X$1</f>
        <v>3243.84</v>
      </c>
      <c r="X230" s="145"/>
      <c r="Y230" s="154"/>
      <c r="Z230" s="145"/>
      <c r="AA230" s="145"/>
      <c r="AB230" s="190">
        <v>624</v>
      </c>
    </row>
    <row r="231" spans="1:34" ht="12.6" customHeight="1" x14ac:dyDescent="0.2">
      <c r="A231" s="21"/>
      <c r="B231" s="1003" t="s">
        <v>192</v>
      </c>
      <c r="C231" s="1132"/>
      <c r="D231" s="1132"/>
      <c r="E231" s="1132"/>
      <c r="F231" s="366">
        <f>5.057*X2</f>
        <v>5502.0160000000005</v>
      </c>
      <c r="G231" s="280">
        <f t="shared" si="614"/>
        <v>5502.0160000000005</v>
      </c>
      <c r="H231" s="278"/>
      <c r="I231" s="332"/>
      <c r="J231" s="87">
        <f t="shared" si="617"/>
        <v>5702.0160000000005</v>
      </c>
      <c r="K231" s="280">
        <f t="shared" si="618"/>
        <v>5702.0160000000005</v>
      </c>
      <c r="L231" s="441">
        <f t="shared" si="619"/>
        <v>5652.0160000000005</v>
      </c>
      <c r="M231" s="280">
        <f t="shared" si="616"/>
        <v>5652.0160000000005</v>
      </c>
      <c r="N231" s="441">
        <f t="shared" si="620"/>
        <v>5612.0160000000005</v>
      </c>
      <c r="O231" s="280">
        <f t="shared" si="621"/>
        <v>5612.0160000000005</v>
      </c>
      <c r="P231" s="441">
        <f t="shared" si="622"/>
        <v>5602.0160000000005</v>
      </c>
      <c r="Q231" s="280">
        <f t="shared" si="623"/>
        <v>5602.0160000000005</v>
      </c>
      <c r="R231" s="441">
        <f t="shared" si="624"/>
        <v>5582.0160000000005</v>
      </c>
      <c r="S231" s="280">
        <f t="shared" si="625"/>
        <v>5582.0160000000005</v>
      </c>
      <c r="T231" s="441">
        <f t="shared" si="626"/>
        <v>5567.0160000000005</v>
      </c>
      <c r="U231" s="280">
        <f t="shared" si="627"/>
        <v>5567.0160000000005</v>
      </c>
      <c r="V231" s="441">
        <f t="shared" si="628"/>
        <v>5558.0160000000005</v>
      </c>
      <c r="W231" s="280">
        <f t="shared" si="629"/>
        <v>5558.0160000000005</v>
      </c>
      <c r="X231" s="145"/>
      <c r="Y231" s="154"/>
      <c r="Z231" s="145"/>
      <c r="AA231" s="145"/>
      <c r="AB231" s="190" t="s">
        <v>193</v>
      </c>
    </row>
    <row r="232" spans="1:34" ht="12.6" customHeight="1" x14ac:dyDescent="0.2">
      <c r="A232" s="21"/>
      <c r="B232" s="664" t="s">
        <v>194</v>
      </c>
      <c r="C232" s="680"/>
      <c r="D232" s="680"/>
      <c r="E232" s="681"/>
      <c r="F232" s="365">
        <f>5.6*X2</f>
        <v>6092.7999999999993</v>
      </c>
      <c r="G232" s="279">
        <f t="shared" ref="G232:G233" si="630">+F232*$X$1</f>
        <v>6092.7999999999993</v>
      </c>
      <c r="H232" s="308"/>
      <c r="I232" s="331"/>
      <c r="J232" s="70">
        <f t="shared" si="617"/>
        <v>6292.7999999999993</v>
      </c>
      <c r="K232" s="279">
        <f t="shared" si="618"/>
        <v>6292.7999999999993</v>
      </c>
      <c r="L232" s="610">
        <f t="shared" si="619"/>
        <v>6242.7999999999993</v>
      </c>
      <c r="M232" s="279">
        <f t="shared" si="616"/>
        <v>6242.7999999999993</v>
      </c>
      <c r="N232" s="610">
        <f t="shared" si="620"/>
        <v>6202.7999999999993</v>
      </c>
      <c r="O232" s="279">
        <f t="shared" si="621"/>
        <v>6202.7999999999993</v>
      </c>
      <c r="P232" s="610">
        <f t="shared" si="622"/>
        <v>6192.7999999999993</v>
      </c>
      <c r="Q232" s="279">
        <f t="shared" si="623"/>
        <v>6192.7999999999993</v>
      </c>
      <c r="R232" s="610">
        <f t="shared" si="624"/>
        <v>6172.7999999999993</v>
      </c>
      <c r="S232" s="279">
        <f t="shared" si="625"/>
        <v>6172.7999999999993</v>
      </c>
      <c r="T232" s="610">
        <f t="shared" si="626"/>
        <v>6157.7999999999993</v>
      </c>
      <c r="U232" s="279">
        <f t="shared" si="627"/>
        <v>6157.7999999999993</v>
      </c>
      <c r="V232" s="610">
        <f t="shared" si="628"/>
        <v>6148.7999999999993</v>
      </c>
      <c r="W232" s="279">
        <f t="shared" si="629"/>
        <v>6148.7999999999993</v>
      </c>
      <c r="X232" s="145"/>
      <c r="Y232" s="154"/>
      <c r="Z232" s="145"/>
      <c r="AA232" s="145"/>
      <c r="AB232" s="190">
        <v>629</v>
      </c>
    </row>
    <row r="233" spans="1:34" ht="12.6" customHeight="1" x14ac:dyDescent="0.2">
      <c r="A233" s="21"/>
      <c r="B233" s="661" t="s">
        <v>400</v>
      </c>
      <c r="C233" s="694"/>
      <c r="D233" s="694"/>
      <c r="E233" s="695"/>
      <c r="F233" s="366">
        <f>8.55*X2</f>
        <v>9302.4000000000015</v>
      </c>
      <c r="G233" s="280">
        <f t="shared" si="630"/>
        <v>9302.4000000000015</v>
      </c>
      <c r="H233" s="278"/>
      <c r="I233" s="332"/>
      <c r="J233" s="87">
        <f t="shared" si="617"/>
        <v>9502.4000000000015</v>
      </c>
      <c r="K233" s="280">
        <f t="shared" si="618"/>
        <v>9502.4000000000015</v>
      </c>
      <c r="L233" s="441">
        <f t="shared" si="619"/>
        <v>9452.4000000000015</v>
      </c>
      <c r="M233" s="280">
        <f t="shared" si="616"/>
        <v>9452.4000000000015</v>
      </c>
      <c r="N233" s="441">
        <f t="shared" si="620"/>
        <v>9412.4000000000015</v>
      </c>
      <c r="O233" s="280">
        <f t="shared" si="621"/>
        <v>9412.4000000000015</v>
      </c>
      <c r="P233" s="441">
        <f t="shared" si="622"/>
        <v>9402.4000000000015</v>
      </c>
      <c r="Q233" s="280">
        <f t="shared" si="623"/>
        <v>9402.4000000000015</v>
      </c>
      <c r="R233" s="441">
        <f t="shared" si="624"/>
        <v>9382.4000000000015</v>
      </c>
      <c r="S233" s="280">
        <f t="shared" si="625"/>
        <v>9382.4000000000015</v>
      </c>
      <c r="T233" s="441">
        <f t="shared" si="626"/>
        <v>9367.4000000000015</v>
      </c>
      <c r="U233" s="280">
        <f t="shared" si="627"/>
        <v>9367.4000000000015</v>
      </c>
      <c r="V233" s="441">
        <f t="shared" si="628"/>
        <v>9358.4000000000015</v>
      </c>
      <c r="W233" s="280">
        <f t="shared" si="629"/>
        <v>9358.4000000000015</v>
      </c>
      <c r="X233" s="145"/>
      <c r="Y233" s="154"/>
      <c r="Z233" s="145"/>
      <c r="AA233" s="145"/>
      <c r="AB233" s="190">
        <v>630</v>
      </c>
    </row>
    <row r="234" spans="1:34" ht="12.6" customHeight="1" x14ac:dyDescent="0.2">
      <c r="A234" s="21"/>
      <c r="B234" s="669" t="s">
        <v>525</v>
      </c>
      <c r="C234" s="670"/>
      <c r="D234" s="670"/>
      <c r="E234" s="671"/>
      <c r="F234" s="517">
        <f>0.96*X2</f>
        <v>1044.48</v>
      </c>
      <c r="G234" s="571">
        <f t="shared" ref="G234" si="631">+F234*$X$1</f>
        <v>1044.48</v>
      </c>
      <c r="H234" s="535"/>
      <c r="I234" s="536"/>
      <c r="J234" s="632">
        <f t="shared" si="617"/>
        <v>1244.48</v>
      </c>
      <c r="K234" s="571">
        <f t="shared" si="618"/>
        <v>1244.48</v>
      </c>
      <c r="L234" s="607">
        <f t="shared" si="619"/>
        <v>1194.48</v>
      </c>
      <c r="M234" s="513">
        <f t="shared" si="616"/>
        <v>1194.48</v>
      </c>
      <c r="N234" s="607">
        <f t="shared" si="620"/>
        <v>1154.48</v>
      </c>
      <c r="O234" s="513">
        <f t="shared" si="621"/>
        <v>1154.48</v>
      </c>
      <c r="P234" s="607">
        <f t="shared" si="622"/>
        <v>1144.48</v>
      </c>
      <c r="Q234" s="513">
        <f t="shared" si="623"/>
        <v>1144.48</v>
      </c>
      <c r="R234" s="607">
        <f t="shared" si="624"/>
        <v>1124.48</v>
      </c>
      <c r="S234" s="513">
        <f t="shared" si="625"/>
        <v>1124.48</v>
      </c>
      <c r="T234" s="607">
        <f t="shared" si="626"/>
        <v>1109.48</v>
      </c>
      <c r="U234" s="513">
        <f t="shared" si="627"/>
        <v>1109.48</v>
      </c>
      <c r="V234" s="607">
        <f t="shared" si="628"/>
        <v>1100.48</v>
      </c>
      <c r="W234" s="513">
        <f t="shared" si="629"/>
        <v>1100.48</v>
      </c>
      <c r="X234" s="145"/>
      <c r="Y234" s="154"/>
      <c r="Z234" s="145"/>
      <c r="AA234" s="145"/>
      <c r="AB234" s="190">
        <v>631</v>
      </c>
    </row>
    <row r="235" spans="1:34" ht="12.6" customHeight="1" x14ac:dyDescent="0.2">
      <c r="A235" s="21"/>
      <c r="B235" s="676" t="s">
        <v>901</v>
      </c>
      <c r="C235" s="677"/>
      <c r="D235" s="677"/>
      <c r="E235" s="678"/>
      <c r="F235" s="366">
        <f>2.69*X2</f>
        <v>2926.72</v>
      </c>
      <c r="G235" s="280">
        <f t="shared" ref="G235" si="632">+F235*$X$1</f>
        <v>2926.72</v>
      </c>
      <c r="H235" s="272"/>
      <c r="I235" s="332"/>
      <c r="J235" s="87">
        <f t="shared" si="617"/>
        <v>3126.72</v>
      </c>
      <c r="K235" s="280">
        <f t="shared" si="618"/>
        <v>3126.72</v>
      </c>
      <c r="L235" s="441">
        <f t="shared" si="619"/>
        <v>3076.72</v>
      </c>
      <c r="M235" s="280">
        <f t="shared" si="616"/>
        <v>3076.72</v>
      </c>
      <c r="N235" s="441">
        <f t="shared" si="620"/>
        <v>3036.72</v>
      </c>
      <c r="O235" s="280">
        <f t="shared" si="621"/>
        <v>3036.72</v>
      </c>
      <c r="P235" s="441">
        <f t="shared" si="622"/>
        <v>3026.72</v>
      </c>
      <c r="Q235" s="280">
        <f t="shared" si="623"/>
        <v>3026.72</v>
      </c>
      <c r="R235" s="441">
        <f t="shared" si="624"/>
        <v>3006.72</v>
      </c>
      <c r="S235" s="280">
        <f t="shared" si="625"/>
        <v>3006.72</v>
      </c>
      <c r="T235" s="441">
        <f t="shared" si="626"/>
        <v>2991.72</v>
      </c>
      <c r="U235" s="280">
        <f t="shared" si="627"/>
        <v>2991.72</v>
      </c>
      <c r="V235" s="441">
        <f t="shared" si="628"/>
        <v>2982.72</v>
      </c>
      <c r="W235" s="280">
        <f t="shared" si="629"/>
        <v>2982.72</v>
      </c>
      <c r="X235" s="145"/>
      <c r="Y235" s="154"/>
      <c r="Z235" s="145"/>
      <c r="AA235" s="145"/>
      <c r="AB235" s="190">
        <v>633</v>
      </c>
    </row>
    <row r="236" spans="1:34" ht="12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64"/>
      <c r="L236" s="165"/>
      <c r="M236" s="165"/>
      <c r="N236" s="165"/>
      <c r="O236" s="165"/>
      <c r="P236" s="165"/>
      <c r="Q236" s="165"/>
      <c r="R236" s="165"/>
      <c r="S236" s="165"/>
      <c r="T236" s="165"/>
      <c r="U236" s="165"/>
      <c r="V236" s="165"/>
      <c r="W236" s="165"/>
      <c r="AB236" s="97"/>
    </row>
    <row r="237" spans="1:34" ht="12" customHeight="1" x14ac:dyDescent="0.2">
      <c r="A237" s="18"/>
      <c r="B237" s="3"/>
      <c r="C237" s="3"/>
      <c r="D237" s="3"/>
      <c r="E237" s="3"/>
      <c r="F237" s="4"/>
      <c r="G237" s="4"/>
      <c r="H237" s="3"/>
      <c r="I237" s="3"/>
      <c r="J237" s="3"/>
      <c r="K237" s="164"/>
      <c r="L237" s="165"/>
      <c r="M237" s="165"/>
      <c r="N237" s="165"/>
      <c r="O237" s="165"/>
      <c r="P237" s="165"/>
      <c r="Q237" s="165"/>
      <c r="R237" s="165"/>
      <c r="S237" s="165"/>
      <c r="T237" s="165"/>
      <c r="U237" s="165"/>
      <c r="V237" s="165"/>
      <c r="W237" s="165"/>
      <c r="AB237" s="4"/>
    </row>
    <row r="238" spans="1:34" ht="12.6" customHeight="1" x14ac:dyDescent="0.2">
      <c r="A238" s="18"/>
      <c r="B238" s="3"/>
      <c r="C238" s="3"/>
      <c r="D238" s="3"/>
      <c r="E238" s="74"/>
      <c r="F238" s="1153"/>
      <c r="G238" s="1153"/>
      <c r="H238" s="1153"/>
      <c r="I238" s="1153"/>
      <c r="J238" s="1153"/>
      <c r="K238" s="269"/>
      <c r="L238" s="268"/>
      <c r="M238" s="268"/>
      <c r="N238" s="165"/>
      <c r="O238" s="165"/>
      <c r="P238" s="165"/>
      <c r="Q238" s="165"/>
      <c r="R238" s="165"/>
      <c r="S238" s="165"/>
      <c r="T238" s="165"/>
      <c r="U238" s="165"/>
      <c r="V238" s="165"/>
      <c r="W238" s="165"/>
      <c r="AB238" s="4"/>
    </row>
    <row r="239" spans="1:34" ht="15.75" customHeight="1" x14ac:dyDescent="0.2">
      <c r="A239" s="18"/>
      <c r="B239" s="1152" t="s">
        <v>11</v>
      </c>
      <c r="C239" s="1154" t="s">
        <v>12</v>
      </c>
      <c r="D239" s="1155"/>
      <c r="E239" s="1155"/>
      <c r="F239" s="685" t="s">
        <v>13</v>
      </c>
      <c r="G239" s="685" t="s">
        <v>13</v>
      </c>
      <c r="H239" s="692" t="s">
        <v>794</v>
      </c>
      <c r="I239" s="692"/>
      <c r="J239" s="693"/>
      <c r="K239" s="693"/>
      <c r="L239" s="693"/>
      <c r="M239" s="693"/>
      <c r="N239" s="693"/>
      <c r="O239" s="693"/>
      <c r="P239" s="693"/>
      <c r="Q239" s="693"/>
      <c r="R239" s="693"/>
      <c r="S239" s="693"/>
      <c r="T239" s="693"/>
      <c r="U239" s="693"/>
      <c r="V239" s="693"/>
      <c r="W239" s="693"/>
      <c r="X239" s="651" t="s">
        <v>14</v>
      </c>
      <c r="Y239" s="652"/>
      <c r="Z239" s="652"/>
      <c r="AA239" s="653"/>
      <c r="AB239" s="798" t="s">
        <v>15</v>
      </c>
      <c r="AF239" s="760" t="s">
        <v>3</v>
      </c>
      <c r="AG239" s="761"/>
      <c r="AH239" s="761"/>
    </row>
    <row r="240" spans="1:34" ht="11.25" customHeight="1" x14ac:dyDescent="0.2">
      <c r="A240" s="18"/>
      <c r="B240" s="1152"/>
      <c r="C240" s="1155"/>
      <c r="D240" s="1155"/>
      <c r="E240" s="1155"/>
      <c r="F240" s="686"/>
      <c r="G240" s="686"/>
      <c r="H240" s="460"/>
      <c r="I240" s="452" t="s">
        <v>285</v>
      </c>
      <c r="J240" s="454"/>
      <c r="K240" s="452" t="s">
        <v>17</v>
      </c>
      <c r="L240" s="455"/>
      <c r="M240" s="455" t="s">
        <v>18</v>
      </c>
      <c r="N240" s="455"/>
      <c r="O240" s="452" t="s">
        <v>19</v>
      </c>
      <c r="P240" s="455"/>
      <c r="Q240" s="455" t="s">
        <v>286</v>
      </c>
      <c r="R240" s="455"/>
      <c r="S240" s="455" t="s">
        <v>20</v>
      </c>
      <c r="T240" s="455"/>
      <c r="U240" s="455" t="s">
        <v>21</v>
      </c>
      <c r="V240" s="455"/>
      <c r="W240" s="455" t="s">
        <v>22</v>
      </c>
      <c r="X240" s="654"/>
      <c r="Y240" s="655"/>
      <c r="Z240" s="655"/>
      <c r="AA240" s="656"/>
      <c r="AB240" s="799"/>
    </row>
    <row r="241" spans="1:28" ht="12.6" customHeight="1" x14ac:dyDescent="0.2">
      <c r="A241" s="21"/>
      <c r="B241" s="664" t="s">
        <v>490</v>
      </c>
      <c r="C241" s="680"/>
      <c r="D241" s="680"/>
      <c r="E241" s="681"/>
      <c r="F241" s="365">
        <f>1.352*X2</f>
        <v>1470.9760000000001</v>
      </c>
      <c r="G241" s="281">
        <f>+F241*$X$1</f>
        <v>1470.9760000000001</v>
      </c>
      <c r="H241" s="308"/>
      <c r="I241" s="337"/>
      <c r="J241" s="70">
        <f>F241+200</f>
        <v>1670.9760000000001</v>
      </c>
      <c r="K241" s="279">
        <f>+J241*$X$1</f>
        <v>1670.9760000000001</v>
      </c>
      <c r="L241" s="610">
        <f>F241+150</f>
        <v>1620.9760000000001</v>
      </c>
      <c r="M241" s="279">
        <f>+L241*$X$1</f>
        <v>1620.9760000000001</v>
      </c>
      <c r="N241" s="610">
        <f>F241+110</f>
        <v>1580.9760000000001</v>
      </c>
      <c r="O241" s="279">
        <f>+N241*$X$1</f>
        <v>1580.9760000000001</v>
      </c>
      <c r="P241" s="610">
        <f>F241+100</f>
        <v>1570.9760000000001</v>
      </c>
      <c r="Q241" s="279">
        <f>+P241*$X$1</f>
        <v>1570.9760000000001</v>
      </c>
      <c r="R241" s="610">
        <f>F241+80</f>
        <v>1550.9760000000001</v>
      </c>
      <c r="S241" s="279">
        <f>+R241*$X$1</f>
        <v>1550.9760000000001</v>
      </c>
      <c r="T241" s="610">
        <f>F241+65</f>
        <v>1535.9760000000001</v>
      </c>
      <c r="U241" s="279">
        <f>+T241*$X$1</f>
        <v>1535.9760000000001</v>
      </c>
      <c r="V241" s="610">
        <f>F241+56</f>
        <v>1526.9760000000001</v>
      </c>
      <c r="W241" s="279">
        <f>+V241*$X$1</f>
        <v>1526.9760000000001</v>
      </c>
      <c r="X241" s="145"/>
      <c r="Y241" s="154"/>
      <c r="Z241" s="145"/>
      <c r="AA241" s="145"/>
      <c r="AB241" s="190">
        <v>640</v>
      </c>
    </row>
    <row r="242" spans="1:28" ht="12.6" customHeight="1" x14ac:dyDescent="0.2">
      <c r="A242" s="18"/>
      <c r="B242" s="647" t="s">
        <v>195</v>
      </c>
      <c r="C242" s="648"/>
      <c r="D242" s="648"/>
      <c r="E242" s="648"/>
      <c r="F242" s="366">
        <f>2.7*X2</f>
        <v>2937.6000000000004</v>
      </c>
      <c r="G242" s="280">
        <f>+F242*$X$1</f>
        <v>2937.6000000000004</v>
      </c>
      <c r="H242" s="441">
        <f>F242+600</f>
        <v>3537.6000000000004</v>
      </c>
      <c r="I242" s="280">
        <f t="shared" ref="I242" si="633">+H242*$X$1</f>
        <v>3537.6000000000004</v>
      </c>
      <c r="J242" s="441">
        <f>F242+200</f>
        <v>3137.6000000000004</v>
      </c>
      <c r="K242" s="280">
        <f t="shared" ref="K242" si="634">+J242*$X$1</f>
        <v>3137.6000000000004</v>
      </c>
      <c r="L242" s="441">
        <f>F242+150</f>
        <v>3087.6000000000004</v>
      </c>
      <c r="M242" s="280">
        <f t="shared" ref="M242" si="635">+L242*$X$1</f>
        <v>3087.6000000000004</v>
      </c>
      <c r="N242" s="441">
        <f>F242+100</f>
        <v>3037.6000000000004</v>
      </c>
      <c r="O242" s="280">
        <f>+N242*$X$1</f>
        <v>3037.6000000000004</v>
      </c>
      <c r="P242" s="441">
        <f>F242+90</f>
        <v>3027.6000000000004</v>
      </c>
      <c r="Q242" s="280">
        <f t="shared" ref="Q242" si="636">+P242*$X$1</f>
        <v>3027.6000000000004</v>
      </c>
      <c r="R242" s="441">
        <f>F242+70</f>
        <v>3007.6000000000004</v>
      </c>
      <c r="S242" s="280">
        <f>+R242*$X$1</f>
        <v>3007.6000000000004</v>
      </c>
      <c r="T242" s="441">
        <f>F242+56</f>
        <v>2993.6000000000004</v>
      </c>
      <c r="U242" s="280">
        <f t="shared" ref="U242" si="637">+T242*$X$1</f>
        <v>2993.6000000000004</v>
      </c>
      <c r="V242" s="441">
        <f>F242+49</f>
        <v>2986.6000000000004</v>
      </c>
      <c r="W242" s="280">
        <f t="shared" ref="W242" si="638">+V242*$X$1</f>
        <v>2986.6000000000004</v>
      </c>
      <c r="X242" s="688"/>
      <c r="Y242" s="826"/>
      <c r="Z242" s="826"/>
      <c r="AA242" s="689"/>
      <c r="AB242" s="190">
        <v>705</v>
      </c>
    </row>
    <row r="243" spans="1:28" ht="12.6" customHeight="1" x14ac:dyDescent="0.2">
      <c r="A243" s="18"/>
      <c r="B243" s="659" t="s">
        <v>502</v>
      </c>
      <c r="C243" s="660"/>
      <c r="D243" s="660"/>
      <c r="E243" s="660"/>
      <c r="F243" s="279">
        <v>9800</v>
      </c>
      <c r="G243" s="279">
        <f t="shared" ref="G243" si="639">+F243*$X$1</f>
        <v>9800</v>
      </c>
      <c r="H243" s="610">
        <f>F243+600</f>
        <v>10400</v>
      </c>
      <c r="I243" s="279">
        <f t="shared" ref="I243" si="640">+H243*$X$1</f>
        <v>10400</v>
      </c>
      <c r="J243" s="610">
        <f>F243+260</f>
        <v>10060</v>
      </c>
      <c r="K243" s="279">
        <f t="shared" ref="K243" si="641">+J243*$X$1</f>
        <v>10060</v>
      </c>
      <c r="L243" s="610">
        <f>F243+230</f>
        <v>10030</v>
      </c>
      <c r="M243" s="279">
        <f t="shared" ref="M243" si="642">+L243*$X$1</f>
        <v>10030</v>
      </c>
      <c r="N243" s="610">
        <f>F243+200</f>
        <v>10000</v>
      </c>
      <c r="O243" s="279">
        <f t="shared" ref="O243" si="643">+N243*$X$1</f>
        <v>10000</v>
      </c>
      <c r="P243" s="610">
        <f>F243+170</f>
        <v>9970</v>
      </c>
      <c r="Q243" s="279">
        <f t="shared" ref="Q243" si="644">+P243*$X$1</f>
        <v>9970</v>
      </c>
      <c r="R243" s="610">
        <f>F243+150</f>
        <v>9950</v>
      </c>
      <c r="S243" s="279">
        <f t="shared" ref="S243" si="645">+R243*$X$1</f>
        <v>9950</v>
      </c>
      <c r="T243" s="101">
        <f>F243+130</f>
        <v>9930</v>
      </c>
      <c r="U243" s="252">
        <f t="shared" ref="U243" si="646">+T243*$X$1</f>
        <v>9930</v>
      </c>
      <c r="V243" s="101">
        <f>F243+110</f>
        <v>9910</v>
      </c>
      <c r="W243" s="252">
        <f t="shared" ref="W243" si="647">+V243*$X$1</f>
        <v>9910</v>
      </c>
      <c r="X243" s="657"/>
      <c r="Y243" s="644"/>
      <c r="Z243" s="644"/>
      <c r="AA243" s="658"/>
      <c r="AB243" s="190">
        <v>815</v>
      </c>
    </row>
    <row r="244" spans="1:28" ht="12.6" customHeight="1" x14ac:dyDescent="0.2">
      <c r="A244" s="18"/>
      <c r="B244" s="649" t="s">
        <v>933</v>
      </c>
      <c r="C244" s="1015"/>
      <c r="D244" s="1015"/>
      <c r="E244" s="1015"/>
      <c r="F244" s="366">
        <f>32.25*X2</f>
        <v>35088</v>
      </c>
      <c r="G244" s="280">
        <f>+F244*$X$1</f>
        <v>35088</v>
      </c>
      <c r="H244" s="441">
        <f>F244+600</f>
        <v>35688</v>
      </c>
      <c r="I244" s="280">
        <f t="shared" ref="I244" si="648">+H244*$X$1</f>
        <v>35688</v>
      </c>
      <c r="J244" s="441">
        <f>F244+260</f>
        <v>35348</v>
      </c>
      <c r="K244" s="280">
        <f t="shared" ref="K244" si="649">+J244*$X$1</f>
        <v>35348</v>
      </c>
      <c r="L244" s="441">
        <f>F244+230</f>
        <v>35318</v>
      </c>
      <c r="M244" s="280">
        <f t="shared" ref="M244" si="650">+L244*$X$1</f>
        <v>35318</v>
      </c>
      <c r="N244" s="441">
        <f>F244+200</f>
        <v>35288</v>
      </c>
      <c r="O244" s="280">
        <f t="shared" ref="O244" si="651">+N244*$X$1</f>
        <v>35288</v>
      </c>
      <c r="P244" s="441">
        <f>F244+170</f>
        <v>35258</v>
      </c>
      <c r="Q244" s="280">
        <f t="shared" ref="Q244" si="652">+P244*$X$1</f>
        <v>35258</v>
      </c>
      <c r="R244" s="441">
        <f>F244+150</f>
        <v>35238</v>
      </c>
      <c r="S244" s="280">
        <f t="shared" ref="S244" si="653">+R244*$X$1</f>
        <v>35238</v>
      </c>
      <c r="T244" s="100">
        <f>F244+130</f>
        <v>35218</v>
      </c>
      <c r="U244" s="295">
        <f t="shared" ref="U244" si="654">+T244*$X$1</f>
        <v>35218</v>
      </c>
      <c r="V244" s="100">
        <f>F244+110</f>
        <v>35198</v>
      </c>
      <c r="W244" s="295">
        <f t="shared" ref="W244" si="655">+V244*$X$1</f>
        <v>35198</v>
      </c>
      <c r="X244" s="657"/>
      <c r="Y244" s="644"/>
      <c r="Z244" s="644"/>
      <c r="AA244" s="658"/>
      <c r="AB244" s="190">
        <v>817</v>
      </c>
    </row>
    <row r="245" spans="1:28" ht="12.6" customHeight="1" x14ac:dyDescent="0.2">
      <c r="A245" s="18"/>
      <c r="B245" s="649" t="s">
        <v>934</v>
      </c>
      <c r="C245" s="1015"/>
      <c r="D245" s="1015"/>
      <c r="E245" s="1015"/>
      <c r="F245" s="365">
        <f>16.04*X2</f>
        <v>17451.52</v>
      </c>
      <c r="G245" s="279">
        <f>+F245*$X$1</f>
        <v>17451.52</v>
      </c>
      <c r="H245" s="610">
        <f>F245+600</f>
        <v>18051.52</v>
      </c>
      <c r="I245" s="279">
        <f t="shared" ref="I245" si="656">+H245*$X$1</f>
        <v>18051.52</v>
      </c>
      <c r="J245" s="610">
        <f>F245+260</f>
        <v>17711.52</v>
      </c>
      <c r="K245" s="279">
        <f t="shared" ref="K245" si="657">+J245*$X$1</f>
        <v>17711.52</v>
      </c>
      <c r="L245" s="610">
        <f>F245+230</f>
        <v>17681.52</v>
      </c>
      <c r="M245" s="279">
        <f t="shared" ref="M245" si="658">+L245*$X$1</f>
        <v>17681.52</v>
      </c>
      <c r="N245" s="610">
        <f>F245+200</f>
        <v>17651.52</v>
      </c>
      <c r="O245" s="279">
        <f t="shared" ref="O245" si="659">+N245*$X$1</f>
        <v>17651.52</v>
      </c>
      <c r="P245" s="610">
        <f>F245+170</f>
        <v>17621.52</v>
      </c>
      <c r="Q245" s="279">
        <f t="shared" ref="Q245" si="660">+P245*$X$1</f>
        <v>17621.52</v>
      </c>
      <c r="R245" s="610">
        <f>F245+150</f>
        <v>17601.52</v>
      </c>
      <c r="S245" s="279">
        <f t="shared" ref="S245" si="661">+R245*$X$1</f>
        <v>17601.52</v>
      </c>
      <c r="T245" s="101">
        <f>F245+130</f>
        <v>17581.52</v>
      </c>
      <c r="U245" s="252">
        <f t="shared" ref="U245" si="662">+T245*$X$1</f>
        <v>17581.52</v>
      </c>
      <c r="V245" s="101">
        <f>F245+110</f>
        <v>17561.52</v>
      </c>
      <c r="W245" s="252">
        <f t="shared" ref="W245" si="663">+V245*$X$1</f>
        <v>17561.52</v>
      </c>
      <c r="X245" s="657"/>
      <c r="Y245" s="644"/>
      <c r="Z245" s="644"/>
      <c r="AA245" s="658"/>
      <c r="AB245" s="190">
        <v>818</v>
      </c>
    </row>
    <row r="246" spans="1:28" ht="12.6" customHeight="1" x14ac:dyDescent="0.2">
      <c r="A246" s="18"/>
      <c r="B246" s="647" t="s">
        <v>501</v>
      </c>
      <c r="C246" s="648"/>
      <c r="D246" s="648"/>
      <c r="E246" s="648"/>
      <c r="F246" s="280">
        <v>13990</v>
      </c>
      <c r="G246" s="280">
        <f t="shared" ref="G246" si="664">+F246*$X$1</f>
        <v>13990</v>
      </c>
      <c r="H246" s="441">
        <f t="shared" ref="H246:H274" si="665">F246+600</f>
        <v>14590</v>
      </c>
      <c r="I246" s="280">
        <f t="shared" ref="I246:I274" si="666">+H246*$X$1</f>
        <v>14590</v>
      </c>
      <c r="J246" s="441">
        <f t="shared" ref="J246:J274" si="667">F246+260</f>
        <v>14250</v>
      </c>
      <c r="K246" s="280">
        <f t="shared" ref="K246:K274" si="668">+J246*$X$1</f>
        <v>14250</v>
      </c>
      <c r="L246" s="441">
        <f t="shared" ref="L246:L274" si="669">F246+230</f>
        <v>14220</v>
      </c>
      <c r="M246" s="280">
        <f t="shared" ref="M246:M274" si="670">+L246*$X$1</f>
        <v>14220</v>
      </c>
      <c r="N246" s="441">
        <f t="shared" ref="N246:N274" si="671">F246+200</f>
        <v>14190</v>
      </c>
      <c r="O246" s="280">
        <f t="shared" ref="O246:O274" si="672">+N246*$X$1</f>
        <v>14190</v>
      </c>
      <c r="P246" s="441">
        <f t="shared" ref="P246:P274" si="673">F246+170</f>
        <v>14160</v>
      </c>
      <c r="Q246" s="280">
        <f t="shared" ref="Q246:Q274" si="674">+P246*$X$1</f>
        <v>14160</v>
      </c>
      <c r="R246" s="441">
        <f t="shared" ref="R246:R274" si="675">F246+150</f>
        <v>14140</v>
      </c>
      <c r="S246" s="280">
        <f t="shared" ref="S246:S274" si="676">+R246*$X$1</f>
        <v>14140</v>
      </c>
      <c r="T246" s="100">
        <f t="shared" ref="T246:T274" si="677">F246+130</f>
        <v>14120</v>
      </c>
      <c r="U246" s="295">
        <f t="shared" ref="U246:U274" si="678">+T246*$X$1</f>
        <v>14120</v>
      </c>
      <c r="V246" s="100">
        <f t="shared" ref="V246:V274" si="679">F246+110</f>
        <v>14100</v>
      </c>
      <c r="W246" s="295">
        <f t="shared" ref="W246:W274" si="680">+V246*$X$1</f>
        <v>14100</v>
      </c>
      <c r="X246" s="657"/>
      <c r="Y246" s="644"/>
      <c r="Z246" s="644"/>
      <c r="AA246" s="658"/>
      <c r="AB246" s="190">
        <v>819</v>
      </c>
    </row>
    <row r="247" spans="1:28" ht="12.6" customHeight="1" x14ac:dyDescent="0.2">
      <c r="A247" s="18"/>
      <c r="B247" s="659" t="s">
        <v>683</v>
      </c>
      <c r="C247" s="660"/>
      <c r="D247" s="660"/>
      <c r="E247" s="660"/>
      <c r="F247" s="365">
        <f>4.7*X2</f>
        <v>5113.6000000000004</v>
      </c>
      <c r="G247" s="279">
        <f>+F247*$X$1</f>
        <v>5113.6000000000004</v>
      </c>
      <c r="H247" s="610">
        <f t="shared" si="665"/>
        <v>5713.6</v>
      </c>
      <c r="I247" s="279">
        <f t="shared" si="666"/>
        <v>5713.6</v>
      </c>
      <c r="J247" s="610">
        <f t="shared" si="667"/>
        <v>5373.6</v>
      </c>
      <c r="K247" s="279">
        <f t="shared" si="668"/>
        <v>5373.6</v>
      </c>
      <c r="L247" s="610">
        <f t="shared" si="669"/>
        <v>5343.6</v>
      </c>
      <c r="M247" s="279">
        <f t="shared" si="670"/>
        <v>5343.6</v>
      </c>
      <c r="N247" s="610">
        <f t="shared" si="671"/>
        <v>5313.6</v>
      </c>
      <c r="O247" s="279">
        <f t="shared" si="672"/>
        <v>5313.6</v>
      </c>
      <c r="P247" s="610">
        <f t="shared" si="673"/>
        <v>5283.6</v>
      </c>
      <c r="Q247" s="279">
        <f t="shared" si="674"/>
        <v>5283.6</v>
      </c>
      <c r="R247" s="610">
        <f t="shared" si="675"/>
        <v>5263.6</v>
      </c>
      <c r="S247" s="279">
        <f t="shared" si="676"/>
        <v>5263.6</v>
      </c>
      <c r="T247" s="101">
        <f t="shared" si="677"/>
        <v>5243.6</v>
      </c>
      <c r="U247" s="252">
        <f t="shared" si="678"/>
        <v>5243.6</v>
      </c>
      <c r="V247" s="101">
        <f t="shared" si="679"/>
        <v>5223.6000000000004</v>
      </c>
      <c r="W247" s="252">
        <f t="shared" si="680"/>
        <v>5223.6000000000004</v>
      </c>
      <c r="X247" s="657"/>
      <c r="Y247" s="644"/>
      <c r="Z247" s="644"/>
      <c r="AA247" s="658"/>
      <c r="AB247" s="190">
        <v>821</v>
      </c>
    </row>
    <row r="248" spans="1:28" ht="12.6" customHeight="1" x14ac:dyDescent="0.2">
      <c r="A248" s="18"/>
      <c r="B248" s="649" t="s">
        <v>882</v>
      </c>
      <c r="C248" s="650"/>
      <c r="D248" s="650"/>
      <c r="E248" s="650"/>
      <c r="F248" s="366">
        <f>12*X2</f>
        <v>13056</v>
      </c>
      <c r="G248" s="280">
        <f t="shared" ref="G248" si="681">+F248*$X$1</f>
        <v>13056</v>
      </c>
      <c r="H248" s="441">
        <f t="shared" si="665"/>
        <v>13656</v>
      </c>
      <c r="I248" s="280">
        <f t="shared" si="666"/>
        <v>13656</v>
      </c>
      <c r="J248" s="441">
        <f t="shared" si="667"/>
        <v>13316</v>
      </c>
      <c r="K248" s="280">
        <f t="shared" si="668"/>
        <v>13316</v>
      </c>
      <c r="L248" s="441">
        <f t="shared" si="669"/>
        <v>13286</v>
      </c>
      <c r="M248" s="280">
        <f t="shared" si="670"/>
        <v>13286</v>
      </c>
      <c r="N248" s="441">
        <f t="shared" si="671"/>
        <v>13256</v>
      </c>
      <c r="O248" s="280">
        <f t="shared" si="672"/>
        <v>13256</v>
      </c>
      <c r="P248" s="441">
        <f t="shared" si="673"/>
        <v>13226</v>
      </c>
      <c r="Q248" s="280">
        <f t="shared" si="674"/>
        <v>13226</v>
      </c>
      <c r="R248" s="441">
        <f t="shared" si="675"/>
        <v>13206</v>
      </c>
      <c r="S248" s="280">
        <f t="shared" si="676"/>
        <v>13206</v>
      </c>
      <c r="T248" s="100">
        <f t="shared" si="677"/>
        <v>13186</v>
      </c>
      <c r="U248" s="295">
        <f t="shared" si="678"/>
        <v>13186</v>
      </c>
      <c r="V248" s="100">
        <f t="shared" si="679"/>
        <v>13166</v>
      </c>
      <c r="W248" s="295">
        <f t="shared" si="680"/>
        <v>13166</v>
      </c>
      <c r="X248" s="657"/>
      <c r="Y248" s="644"/>
      <c r="Z248" s="644"/>
      <c r="AA248" s="658"/>
      <c r="AB248" s="190">
        <v>822</v>
      </c>
    </row>
    <row r="249" spans="1:28" ht="12.6" customHeight="1" x14ac:dyDescent="0.2">
      <c r="A249" s="18"/>
      <c r="B249" s="659" t="s">
        <v>497</v>
      </c>
      <c r="C249" s="660"/>
      <c r="D249" s="660"/>
      <c r="E249" s="660"/>
      <c r="F249" s="279">
        <v>12995</v>
      </c>
      <c r="G249" s="279">
        <f>+F249*$X$1</f>
        <v>12995</v>
      </c>
      <c r="H249" s="610">
        <f t="shared" si="665"/>
        <v>13595</v>
      </c>
      <c r="I249" s="279">
        <f t="shared" si="666"/>
        <v>13595</v>
      </c>
      <c r="J249" s="610">
        <f t="shared" si="667"/>
        <v>13255</v>
      </c>
      <c r="K249" s="279">
        <f t="shared" si="668"/>
        <v>13255</v>
      </c>
      <c r="L249" s="610">
        <f t="shared" si="669"/>
        <v>13225</v>
      </c>
      <c r="M249" s="279">
        <f t="shared" si="670"/>
        <v>13225</v>
      </c>
      <c r="N249" s="610">
        <f t="shared" si="671"/>
        <v>13195</v>
      </c>
      <c r="O249" s="279">
        <f t="shared" si="672"/>
        <v>13195</v>
      </c>
      <c r="P249" s="610">
        <f t="shared" si="673"/>
        <v>13165</v>
      </c>
      <c r="Q249" s="279">
        <f t="shared" si="674"/>
        <v>13165</v>
      </c>
      <c r="R249" s="610">
        <f t="shared" si="675"/>
        <v>13145</v>
      </c>
      <c r="S249" s="279">
        <f t="shared" si="676"/>
        <v>13145</v>
      </c>
      <c r="T249" s="101">
        <f t="shared" si="677"/>
        <v>13125</v>
      </c>
      <c r="U249" s="252">
        <f t="shared" si="678"/>
        <v>13125</v>
      </c>
      <c r="V249" s="101">
        <f t="shared" si="679"/>
        <v>13105</v>
      </c>
      <c r="W249" s="252">
        <f t="shared" si="680"/>
        <v>13105</v>
      </c>
      <c r="X249" s="657"/>
      <c r="Y249" s="644"/>
      <c r="Z249" s="644"/>
      <c r="AA249" s="658"/>
      <c r="AB249" s="190">
        <v>823</v>
      </c>
    </row>
    <row r="250" spans="1:28" ht="12.6" customHeight="1" x14ac:dyDescent="0.2">
      <c r="A250" s="18"/>
      <c r="B250" s="649" t="s">
        <v>893</v>
      </c>
      <c r="C250" s="650"/>
      <c r="D250" s="650"/>
      <c r="E250" s="650"/>
      <c r="F250" s="366">
        <f>3.45*X2</f>
        <v>3753.6000000000004</v>
      </c>
      <c r="G250" s="280">
        <f t="shared" ref="G250" si="682">+F250*$X$1</f>
        <v>3753.6000000000004</v>
      </c>
      <c r="H250" s="441">
        <f t="shared" si="665"/>
        <v>4353.6000000000004</v>
      </c>
      <c r="I250" s="280">
        <f t="shared" si="666"/>
        <v>4353.6000000000004</v>
      </c>
      <c r="J250" s="441">
        <f t="shared" si="667"/>
        <v>4013.6000000000004</v>
      </c>
      <c r="K250" s="280">
        <f t="shared" si="668"/>
        <v>4013.6000000000004</v>
      </c>
      <c r="L250" s="441">
        <f t="shared" si="669"/>
        <v>3983.6000000000004</v>
      </c>
      <c r="M250" s="280">
        <f t="shared" si="670"/>
        <v>3983.6000000000004</v>
      </c>
      <c r="N250" s="441">
        <f t="shared" si="671"/>
        <v>3953.6000000000004</v>
      </c>
      <c r="O250" s="280">
        <f t="shared" si="672"/>
        <v>3953.6000000000004</v>
      </c>
      <c r="P250" s="441">
        <f t="shared" si="673"/>
        <v>3923.6000000000004</v>
      </c>
      <c r="Q250" s="280">
        <f t="shared" si="674"/>
        <v>3923.6000000000004</v>
      </c>
      <c r="R250" s="441">
        <f t="shared" si="675"/>
        <v>3903.6000000000004</v>
      </c>
      <c r="S250" s="280">
        <f t="shared" si="676"/>
        <v>3903.6000000000004</v>
      </c>
      <c r="T250" s="100">
        <f t="shared" si="677"/>
        <v>3883.6000000000004</v>
      </c>
      <c r="U250" s="295">
        <f t="shared" si="678"/>
        <v>3883.6000000000004</v>
      </c>
      <c r="V250" s="100">
        <f t="shared" si="679"/>
        <v>3863.6000000000004</v>
      </c>
      <c r="W250" s="295">
        <f t="shared" si="680"/>
        <v>3863.6000000000004</v>
      </c>
      <c r="X250" s="657"/>
      <c r="Y250" s="644"/>
      <c r="Z250" s="644"/>
      <c r="AA250" s="658"/>
      <c r="AB250" s="190">
        <v>824</v>
      </c>
    </row>
    <row r="251" spans="1:28" ht="12.6" customHeight="1" x14ac:dyDescent="0.2">
      <c r="A251" s="18"/>
      <c r="B251" s="659" t="s">
        <v>825</v>
      </c>
      <c r="C251" s="660"/>
      <c r="D251" s="660"/>
      <c r="E251" s="660"/>
      <c r="F251" s="365">
        <f>3.4*X2</f>
        <v>3699.2</v>
      </c>
      <c r="G251" s="279">
        <f>+F251*$X$1</f>
        <v>3699.2</v>
      </c>
      <c r="H251" s="610">
        <f t="shared" si="665"/>
        <v>4299.2</v>
      </c>
      <c r="I251" s="279">
        <f t="shared" si="666"/>
        <v>4299.2</v>
      </c>
      <c r="J251" s="610">
        <f t="shared" si="667"/>
        <v>3959.2</v>
      </c>
      <c r="K251" s="279">
        <f t="shared" si="668"/>
        <v>3959.2</v>
      </c>
      <c r="L251" s="610">
        <f t="shared" si="669"/>
        <v>3929.2</v>
      </c>
      <c r="M251" s="279">
        <f t="shared" si="670"/>
        <v>3929.2</v>
      </c>
      <c r="N251" s="610">
        <f t="shared" si="671"/>
        <v>3899.2</v>
      </c>
      <c r="O251" s="279">
        <f t="shared" si="672"/>
        <v>3899.2</v>
      </c>
      <c r="P251" s="610">
        <f t="shared" si="673"/>
        <v>3869.2</v>
      </c>
      <c r="Q251" s="279">
        <f t="shared" si="674"/>
        <v>3869.2</v>
      </c>
      <c r="R251" s="610">
        <f t="shared" si="675"/>
        <v>3849.2</v>
      </c>
      <c r="S251" s="279">
        <f t="shared" si="676"/>
        <v>3849.2</v>
      </c>
      <c r="T251" s="101">
        <f t="shared" si="677"/>
        <v>3829.2</v>
      </c>
      <c r="U251" s="252">
        <f t="shared" si="678"/>
        <v>3829.2</v>
      </c>
      <c r="V251" s="101">
        <f t="shared" si="679"/>
        <v>3809.2</v>
      </c>
      <c r="W251" s="252">
        <f t="shared" si="680"/>
        <v>3809.2</v>
      </c>
      <c r="X251" s="657"/>
      <c r="Y251" s="644"/>
      <c r="Z251" s="644"/>
      <c r="AA251" s="658"/>
      <c r="AB251" s="190">
        <v>825</v>
      </c>
    </row>
    <row r="252" spans="1:28" ht="12.6" customHeight="1" x14ac:dyDescent="0.2">
      <c r="A252" s="18"/>
      <c r="B252" s="647" t="s">
        <v>678</v>
      </c>
      <c r="C252" s="648"/>
      <c r="D252" s="648"/>
      <c r="E252" s="648"/>
      <c r="F252" s="366">
        <f>7.5*X2</f>
        <v>8160</v>
      </c>
      <c r="G252" s="280">
        <f>+F252*$X$1</f>
        <v>8160</v>
      </c>
      <c r="H252" s="441">
        <f t="shared" si="665"/>
        <v>8760</v>
      </c>
      <c r="I252" s="280">
        <f t="shared" si="666"/>
        <v>8760</v>
      </c>
      <c r="J252" s="441">
        <f t="shared" si="667"/>
        <v>8420</v>
      </c>
      <c r="K252" s="280">
        <f t="shared" si="668"/>
        <v>8420</v>
      </c>
      <c r="L252" s="441">
        <f t="shared" si="669"/>
        <v>8390</v>
      </c>
      <c r="M252" s="280">
        <f t="shared" si="670"/>
        <v>8390</v>
      </c>
      <c r="N252" s="441">
        <f t="shared" si="671"/>
        <v>8360</v>
      </c>
      <c r="O252" s="280">
        <f t="shared" si="672"/>
        <v>8360</v>
      </c>
      <c r="P252" s="441">
        <f t="shared" si="673"/>
        <v>8330</v>
      </c>
      <c r="Q252" s="280">
        <f t="shared" si="674"/>
        <v>8330</v>
      </c>
      <c r="R252" s="441">
        <f t="shared" si="675"/>
        <v>8310</v>
      </c>
      <c r="S252" s="280">
        <f t="shared" si="676"/>
        <v>8310</v>
      </c>
      <c r="T252" s="100">
        <f t="shared" si="677"/>
        <v>8290</v>
      </c>
      <c r="U252" s="295">
        <f t="shared" si="678"/>
        <v>8290</v>
      </c>
      <c r="V252" s="100">
        <f t="shared" si="679"/>
        <v>8270</v>
      </c>
      <c r="W252" s="295">
        <f t="shared" si="680"/>
        <v>8270</v>
      </c>
      <c r="X252" s="657"/>
      <c r="Y252" s="644"/>
      <c r="Z252" s="644"/>
      <c r="AA252" s="658"/>
      <c r="AB252" s="190">
        <v>826</v>
      </c>
    </row>
    <row r="253" spans="1:28" ht="12.6" customHeight="1" x14ac:dyDescent="0.2">
      <c r="A253" s="18"/>
      <c r="B253" s="705" t="s">
        <v>860</v>
      </c>
      <c r="C253" s="660"/>
      <c r="D253" s="660"/>
      <c r="E253" s="660"/>
      <c r="F253" s="365">
        <f>2.9*X2</f>
        <v>3155.2</v>
      </c>
      <c r="G253" s="279">
        <f t="shared" ref="G253" si="683">+F253*$X$1</f>
        <v>3155.2</v>
      </c>
      <c r="H253" s="610">
        <f t="shared" si="665"/>
        <v>3755.2</v>
      </c>
      <c r="I253" s="279">
        <f t="shared" si="666"/>
        <v>3755.2</v>
      </c>
      <c r="J253" s="610">
        <f t="shared" si="667"/>
        <v>3415.2</v>
      </c>
      <c r="K253" s="279">
        <f t="shared" si="668"/>
        <v>3415.2</v>
      </c>
      <c r="L253" s="610">
        <f t="shared" si="669"/>
        <v>3385.2</v>
      </c>
      <c r="M253" s="279">
        <f t="shared" si="670"/>
        <v>3385.2</v>
      </c>
      <c r="N253" s="610">
        <f t="shared" si="671"/>
        <v>3355.2</v>
      </c>
      <c r="O253" s="279">
        <f t="shared" si="672"/>
        <v>3355.2</v>
      </c>
      <c r="P253" s="610">
        <f t="shared" si="673"/>
        <v>3325.2</v>
      </c>
      <c r="Q253" s="279">
        <f t="shared" si="674"/>
        <v>3325.2</v>
      </c>
      <c r="R253" s="610">
        <f t="shared" si="675"/>
        <v>3305.2</v>
      </c>
      <c r="S253" s="279">
        <f t="shared" si="676"/>
        <v>3305.2</v>
      </c>
      <c r="T253" s="101">
        <f t="shared" si="677"/>
        <v>3285.2</v>
      </c>
      <c r="U253" s="252">
        <f t="shared" si="678"/>
        <v>3285.2</v>
      </c>
      <c r="V253" s="101">
        <f t="shared" si="679"/>
        <v>3265.2</v>
      </c>
      <c r="W253" s="252">
        <f t="shared" si="680"/>
        <v>3265.2</v>
      </c>
      <c r="X253" s="657"/>
      <c r="Y253" s="644"/>
      <c r="Z253" s="644"/>
      <c r="AA253" s="658"/>
      <c r="AB253" s="190">
        <v>827</v>
      </c>
    </row>
    <row r="254" spans="1:28" ht="12.6" customHeight="1" x14ac:dyDescent="0.2">
      <c r="A254" s="18"/>
      <c r="B254" s="647" t="s">
        <v>679</v>
      </c>
      <c r="C254" s="648"/>
      <c r="D254" s="648"/>
      <c r="E254" s="648"/>
      <c r="F254" s="366">
        <f>8.75*X2</f>
        <v>9520</v>
      </c>
      <c r="G254" s="280">
        <f>+F254*$X$1</f>
        <v>9520</v>
      </c>
      <c r="H254" s="441">
        <f t="shared" si="665"/>
        <v>10120</v>
      </c>
      <c r="I254" s="280">
        <f t="shared" si="666"/>
        <v>10120</v>
      </c>
      <c r="J254" s="441">
        <f t="shared" si="667"/>
        <v>9780</v>
      </c>
      <c r="K254" s="280">
        <f t="shared" si="668"/>
        <v>9780</v>
      </c>
      <c r="L254" s="441">
        <f t="shared" si="669"/>
        <v>9750</v>
      </c>
      <c r="M254" s="280">
        <f t="shared" si="670"/>
        <v>9750</v>
      </c>
      <c r="N254" s="441">
        <f t="shared" si="671"/>
        <v>9720</v>
      </c>
      <c r="O254" s="280">
        <f t="shared" si="672"/>
        <v>9720</v>
      </c>
      <c r="P254" s="441">
        <f t="shared" si="673"/>
        <v>9690</v>
      </c>
      <c r="Q254" s="280">
        <f t="shared" si="674"/>
        <v>9690</v>
      </c>
      <c r="R254" s="441">
        <f t="shared" si="675"/>
        <v>9670</v>
      </c>
      <c r="S254" s="280">
        <f t="shared" si="676"/>
        <v>9670</v>
      </c>
      <c r="T254" s="100">
        <f t="shared" si="677"/>
        <v>9650</v>
      </c>
      <c r="U254" s="295">
        <f t="shared" si="678"/>
        <v>9650</v>
      </c>
      <c r="V254" s="100">
        <f t="shared" si="679"/>
        <v>9630</v>
      </c>
      <c r="W254" s="295">
        <f t="shared" si="680"/>
        <v>9630</v>
      </c>
      <c r="X254" s="657"/>
      <c r="Y254" s="644"/>
      <c r="Z254" s="644"/>
      <c r="AA254" s="658"/>
      <c r="AB254" s="190">
        <v>828</v>
      </c>
    </row>
    <row r="255" spans="1:28" ht="12.6" customHeight="1" x14ac:dyDescent="0.2">
      <c r="A255" s="18"/>
      <c r="B255" s="659" t="s">
        <v>604</v>
      </c>
      <c r="C255" s="660"/>
      <c r="D255" s="660"/>
      <c r="E255" s="660"/>
      <c r="F255" s="365">
        <f>3.612*X2</f>
        <v>3929.8560000000002</v>
      </c>
      <c r="G255" s="279">
        <f>+F255*$X$1</f>
        <v>3929.8560000000002</v>
      </c>
      <c r="H255" s="610">
        <f t="shared" si="665"/>
        <v>4529.8559999999998</v>
      </c>
      <c r="I255" s="279">
        <f t="shared" si="666"/>
        <v>4529.8559999999998</v>
      </c>
      <c r="J255" s="610">
        <f t="shared" si="667"/>
        <v>4189.8559999999998</v>
      </c>
      <c r="K255" s="279">
        <f t="shared" si="668"/>
        <v>4189.8559999999998</v>
      </c>
      <c r="L255" s="610">
        <f t="shared" si="669"/>
        <v>4159.8559999999998</v>
      </c>
      <c r="M255" s="279">
        <f t="shared" si="670"/>
        <v>4159.8559999999998</v>
      </c>
      <c r="N255" s="610">
        <f t="shared" si="671"/>
        <v>4129.8559999999998</v>
      </c>
      <c r="O255" s="279">
        <f t="shared" si="672"/>
        <v>4129.8559999999998</v>
      </c>
      <c r="P255" s="610">
        <f t="shared" si="673"/>
        <v>4099.8559999999998</v>
      </c>
      <c r="Q255" s="279">
        <f t="shared" si="674"/>
        <v>4099.8559999999998</v>
      </c>
      <c r="R255" s="610">
        <f t="shared" si="675"/>
        <v>4079.8560000000002</v>
      </c>
      <c r="S255" s="279">
        <f t="shared" si="676"/>
        <v>4079.8560000000002</v>
      </c>
      <c r="T255" s="101">
        <f t="shared" si="677"/>
        <v>4059.8560000000002</v>
      </c>
      <c r="U255" s="252">
        <f t="shared" si="678"/>
        <v>4059.8560000000002</v>
      </c>
      <c r="V255" s="101">
        <f t="shared" si="679"/>
        <v>4039.8560000000002</v>
      </c>
      <c r="W255" s="252">
        <f t="shared" si="680"/>
        <v>4039.8560000000002</v>
      </c>
      <c r="X255" s="657"/>
      <c r="Y255" s="644"/>
      <c r="Z255" s="644"/>
      <c r="AA255" s="658"/>
      <c r="AB255" s="190">
        <v>829</v>
      </c>
    </row>
    <row r="256" spans="1:28" ht="12.6" customHeight="1" x14ac:dyDescent="0.2">
      <c r="A256" s="18"/>
      <c r="B256" s="647" t="s">
        <v>826</v>
      </c>
      <c r="C256" s="648"/>
      <c r="D256" s="648"/>
      <c r="E256" s="648"/>
      <c r="F256" s="366">
        <f>7.75*X2</f>
        <v>8432</v>
      </c>
      <c r="G256" s="280">
        <f>+F256*$X$1</f>
        <v>8432</v>
      </c>
      <c r="H256" s="441">
        <f t="shared" si="665"/>
        <v>9032</v>
      </c>
      <c r="I256" s="280">
        <f t="shared" si="666"/>
        <v>9032</v>
      </c>
      <c r="J256" s="441">
        <f t="shared" si="667"/>
        <v>8692</v>
      </c>
      <c r="K256" s="280">
        <f t="shared" si="668"/>
        <v>8692</v>
      </c>
      <c r="L256" s="441">
        <f t="shared" si="669"/>
        <v>8662</v>
      </c>
      <c r="M256" s="280">
        <f t="shared" si="670"/>
        <v>8662</v>
      </c>
      <c r="N256" s="441">
        <f t="shared" si="671"/>
        <v>8632</v>
      </c>
      <c r="O256" s="280">
        <f t="shared" si="672"/>
        <v>8632</v>
      </c>
      <c r="P256" s="441">
        <f t="shared" si="673"/>
        <v>8602</v>
      </c>
      <c r="Q256" s="280">
        <f t="shared" si="674"/>
        <v>8602</v>
      </c>
      <c r="R256" s="441">
        <f t="shared" si="675"/>
        <v>8582</v>
      </c>
      <c r="S256" s="280">
        <f t="shared" si="676"/>
        <v>8582</v>
      </c>
      <c r="T256" s="100">
        <f t="shared" si="677"/>
        <v>8562</v>
      </c>
      <c r="U256" s="295">
        <f t="shared" si="678"/>
        <v>8562</v>
      </c>
      <c r="V256" s="100">
        <f t="shared" si="679"/>
        <v>8542</v>
      </c>
      <c r="W256" s="295">
        <f t="shared" si="680"/>
        <v>8542</v>
      </c>
      <c r="X256" s="657"/>
      <c r="Y256" s="644"/>
      <c r="Z256" s="644"/>
      <c r="AA256" s="658"/>
      <c r="AB256" s="190">
        <v>831</v>
      </c>
    </row>
    <row r="257" spans="1:28" ht="12.6" customHeight="1" x14ac:dyDescent="0.2">
      <c r="A257" s="18"/>
      <c r="B257" s="649" t="s">
        <v>883</v>
      </c>
      <c r="C257" s="650"/>
      <c r="D257" s="650"/>
      <c r="E257" s="650"/>
      <c r="F257" s="365">
        <f>2.81*X2</f>
        <v>3057.28</v>
      </c>
      <c r="G257" s="279">
        <f t="shared" ref="G257" si="684">+F257*$X$1</f>
        <v>3057.28</v>
      </c>
      <c r="H257" s="610">
        <f t="shared" si="665"/>
        <v>3657.28</v>
      </c>
      <c r="I257" s="279">
        <f t="shared" si="666"/>
        <v>3657.28</v>
      </c>
      <c r="J257" s="610">
        <f t="shared" si="667"/>
        <v>3317.28</v>
      </c>
      <c r="K257" s="279">
        <f t="shared" si="668"/>
        <v>3317.28</v>
      </c>
      <c r="L257" s="610">
        <f t="shared" si="669"/>
        <v>3287.28</v>
      </c>
      <c r="M257" s="279">
        <f t="shared" si="670"/>
        <v>3287.28</v>
      </c>
      <c r="N257" s="610">
        <f t="shared" si="671"/>
        <v>3257.28</v>
      </c>
      <c r="O257" s="279">
        <f t="shared" si="672"/>
        <v>3257.28</v>
      </c>
      <c r="P257" s="610">
        <f t="shared" si="673"/>
        <v>3227.28</v>
      </c>
      <c r="Q257" s="279">
        <f t="shared" si="674"/>
        <v>3227.28</v>
      </c>
      <c r="R257" s="610">
        <f t="shared" si="675"/>
        <v>3207.28</v>
      </c>
      <c r="S257" s="279">
        <f t="shared" si="676"/>
        <v>3207.28</v>
      </c>
      <c r="T257" s="101">
        <f t="shared" si="677"/>
        <v>3187.28</v>
      </c>
      <c r="U257" s="252">
        <f t="shared" si="678"/>
        <v>3187.28</v>
      </c>
      <c r="V257" s="101">
        <f t="shared" si="679"/>
        <v>3167.28</v>
      </c>
      <c r="W257" s="252">
        <f t="shared" si="680"/>
        <v>3167.28</v>
      </c>
      <c r="X257" s="657"/>
      <c r="Y257" s="644"/>
      <c r="Z257" s="644"/>
      <c r="AA257" s="658"/>
      <c r="AB257" s="190">
        <v>832</v>
      </c>
    </row>
    <row r="258" spans="1:28" ht="12.6" customHeight="1" x14ac:dyDescent="0.2">
      <c r="A258" s="18"/>
      <c r="B258" s="647" t="s">
        <v>551</v>
      </c>
      <c r="C258" s="648"/>
      <c r="D258" s="648"/>
      <c r="E258" s="648"/>
      <c r="F258" s="366">
        <f>11.8*X2</f>
        <v>12838.400000000001</v>
      </c>
      <c r="G258" s="280">
        <f t="shared" ref="G258" si="685">+F258*$X$1</f>
        <v>12838.400000000001</v>
      </c>
      <c r="H258" s="441">
        <f t="shared" si="665"/>
        <v>13438.400000000001</v>
      </c>
      <c r="I258" s="280">
        <f t="shared" si="666"/>
        <v>13438.400000000001</v>
      </c>
      <c r="J258" s="441">
        <f t="shared" si="667"/>
        <v>13098.400000000001</v>
      </c>
      <c r="K258" s="280">
        <f t="shared" si="668"/>
        <v>13098.400000000001</v>
      </c>
      <c r="L258" s="441">
        <f t="shared" si="669"/>
        <v>13068.400000000001</v>
      </c>
      <c r="M258" s="280">
        <f t="shared" si="670"/>
        <v>13068.400000000001</v>
      </c>
      <c r="N258" s="441">
        <f t="shared" si="671"/>
        <v>13038.400000000001</v>
      </c>
      <c r="O258" s="280">
        <f t="shared" si="672"/>
        <v>13038.400000000001</v>
      </c>
      <c r="P258" s="441">
        <f t="shared" si="673"/>
        <v>13008.400000000001</v>
      </c>
      <c r="Q258" s="280">
        <f t="shared" si="674"/>
        <v>13008.400000000001</v>
      </c>
      <c r="R258" s="441">
        <f t="shared" si="675"/>
        <v>12988.400000000001</v>
      </c>
      <c r="S258" s="280">
        <f t="shared" si="676"/>
        <v>12988.400000000001</v>
      </c>
      <c r="T258" s="100">
        <f t="shared" si="677"/>
        <v>12968.400000000001</v>
      </c>
      <c r="U258" s="295">
        <f t="shared" si="678"/>
        <v>12968.400000000001</v>
      </c>
      <c r="V258" s="100">
        <f t="shared" si="679"/>
        <v>12948.400000000001</v>
      </c>
      <c r="W258" s="295">
        <f t="shared" si="680"/>
        <v>12948.400000000001</v>
      </c>
      <c r="X258" s="657"/>
      <c r="Y258" s="644"/>
      <c r="Z258" s="644"/>
      <c r="AA258" s="658"/>
      <c r="AB258" s="190">
        <v>833</v>
      </c>
    </row>
    <row r="259" spans="1:28" ht="12.6" customHeight="1" x14ac:dyDescent="0.2">
      <c r="A259" s="18"/>
      <c r="B259" s="659" t="s">
        <v>600</v>
      </c>
      <c r="C259" s="660"/>
      <c r="D259" s="660"/>
      <c r="E259" s="660"/>
      <c r="F259" s="365">
        <f>7.35*X2</f>
        <v>7996.7999999999993</v>
      </c>
      <c r="G259" s="279">
        <f t="shared" ref="G259" si="686">+F259*$X$1</f>
        <v>7996.7999999999993</v>
      </c>
      <c r="H259" s="610">
        <f t="shared" si="665"/>
        <v>8596.7999999999993</v>
      </c>
      <c r="I259" s="279">
        <f t="shared" si="666"/>
        <v>8596.7999999999993</v>
      </c>
      <c r="J259" s="610">
        <f t="shared" si="667"/>
        <v>8256.7999999999993</v>
      </c>
      <c r="K259" s="279">
        <f t="shared" si="668"/>
        <v>8256.7999999999993</v>
      </c>
      <c r="L259" s="610">
        <f t="shared" si="669"/>
        <v>8226.7999999999993</v>
      </c>
      <c r="M259" s="279">
        <f t="shared" si="670"/>
        <v>8226.7999999999993</v>
      </c>
      <c r="N259" s="610">
        <f t="shared" si="671"/>
        <v>8196.7999999999993</v>
      </c>
      <c r="O259" s="279">
        <f t="shared" si="672"/>
        <v>8196.7999999999993</v>
      </c>
      <c r="P259" s="610">
        <f t="shared" si="673"/>
        <v>8166.7999999999993</v>
      </c>
      <c r="Q259" s="279">
        <f t="shared" si="674"/>
        <v>8166.7999999999993</v>
      </c>
      <c r="R259" s="610">
        <f t="shared" si="675"/>
        <v>8146.7999999999993</v>
      </c>
      <c r="S259" s="279">
        <f t="shared" si="676"/>
        <v>8146.7999999999993</v>
      </c>
      <c r="T259" s="101">
        <f t="shared" si="677"/>
        <v>8126.7999999999993</v>
      </c>
      <c r="U259" s="252">
        <f t="shared" si="678"/>
        <v>8126.7999999999993</v>
      </c>
      <c r="V259" s="101">
        <f t="shared" si="679"/>
        <v>8106.7999999999993</v>
      </c>
      <c r="W259" s="252">
        <f t="shared" si="680"/>
        <v>8106.7999999999993</v>
      </c>
      <c r="X259" s="657"/>
      <c r="Y259" s="644"/>
      <c r="Z259" s="644"/>
      <c r="AA259" s="658"/>
      <c r="AB259" s="190">
        <v>834</v>
      </c>
    </row>
    <row r="260" spans="1:28" ht="12.6" customHeight="1" x14ac:dyDescent="0.2">
      <c r="A260" s="18"/>
      <c r="B260" s="647" t="s">
        <v>602</v>
      </c>
      <c r="C260" s="648"/>
      <c r="D260" s="648"/>
      <c r="E260" s="648"/>
      <c r="F260" s="366">
        <f>7.2*X2</f>
        <v>7833.6</v>
      </c>
      <c r="G260" s="280">
        <f>+F260*$X$1</f>
        <v>7833.6</v>
      </c>
      <c r="H260" s="441">
        <f t="shared" si="665"/>
        <v>8433.6</v>
      </c>
      <c r="I260" s="280">
        <f t="shared" si="666"/>
        <v>8433.6</v>
      </c>
      <c r="J260" s="441">
        <f t="shared" si="667"/>
        <v>8093.6</v>
      </c>
      <c r="K260" s="280">
        <f t="shared" si="668"/>
        <v>8093.6</v>
      </c>
      <c r="L260" s="441">
        <f t="shared" si="669"/>
        <v>8063.6</v>
      </c>
      <c r="M260" s="280">
        <f t="shared" si="670"/>
        <v>8063.6</v>
      </c>
      <c r="N260" s="441">
        <f t="shared" si="671"/>
        <v>8033.6</v>
      </c>
      <c r="O260" s="280">
        <f t="shared" si="672"/>
        <v>8033.6</v>
      </c>
      <c r="P260" s="441">
        <f t="shared" si="673"/>
        <v>8003.6</v>
      </c>
      <c r="Q260" s="280">
        <f t="shared" si="674"/>
        <v>8003.6</v>
      </c>
      <c r="R260" s="441">
        <f t="shared" si="675"/>
        <v>7983.6</v>
      </c>
      <c r="S260" s="280">
        <f t="shared" si="676"/>
        <v>7983.6</v>
      </c>
      <c r="T260" s="100">
        <f t="shared" si="677"/>
        <v>7963.6</v>
      </c>
      <c r="U260" s="295">
        <f t="shared" si="678"/>
        <v>7963.6</v>
      </c>
      <c r="V260" s="100">
        <f t="shared" si="679"/>
        <v>7943.6</v>
      </c>
      <c r="W260" s="295">
        <f t="shared" si="680"/>
        <v>7943.6</v>
      </c>
      <c r="X260" s="657"/>
      <c r="Y260" s="644"/>
      <c r="Z260" s="644"/>
      <c r="AA260" s="658"/>
      <c r="AB260" s="190">
        <v>836</v>
      </c>
    </row>
    <row r="261" spans="1:28" ht="12.6" customHeight="1" x14ac:dyDescent="0.2">
      <c r="A261" s="18"/>
      <c r="B261" s="705" t="s">
        <v>850</v>
      </c>
      <c r="C261" s="660"/>
      <c r="D261" s="660"/>
      <c r="E261" s="660"/>
      <c r="F261" s="365">
        <f>4.8*X2</f>
        <v>5222.3999999999996</v>
      </c>
      <c r="G261" s="279">
        <f t="shared" ref="G261" si="687">+F261*$X$1</f>
        <v>5222.3999999999996</v>
      </c>
      <c r="H261" s="610">
        <f t="shared" si="665"/>
        <v>5822.4</v>
      </c>
      <c r="I261" s="279">
        <f t="shared" si="666"/>
        <v>5822.4</v>
      </c>
      <c r="J261" s="610">
        <f t="shared" si="667"/>
        <v>5482.4</v>
      </c>
      <c r="K261" s="279">
        <f t="shared" si="668"/>
        <v>5482.4</v>
      </c>
      <c r="L261" s="610">
        <f t="shared" si="669"/>
        <v>5452.4</v>
      </c>
      <c r="M261" s="279">
        <f t="shared" si="670"/>
        <v>5452.4</v>
      </c>
      <c r="N261" s="610">
        <f t="shared" si="671"/>
        <v>5422.4</v>
      </c>
      <c r="O261" s="279">
        <f t="shared" si="672"/>
        <v>5422.4</v>
      </c>
      <c r="P261" s="610">
        <f t="shared" si="673"/>
        <v>5392.4</v>
      </c>
      <c r="Q261" s="279">
        <f t="shared" si="674"/>
        <v>5392.4</v>
      </c>
      <c r="R261" s="610">
        <f t="shared" si="675"/>
        <v>5372.4</v>
      </c>
      <c r="S261" s="279">
        <f t="shared" si="676"/>
        <v>5372.4</v>
      </c>
      <c r="T261" s="101">
        <f t="shared" si="677"/>
        <v>5352.4</v>
      </c>
      <c r="U261" s="252">
        <f t="shared" si="678"/>
        <v>5352.4</v>
      </c>
      <c r="V261" s="101">
        <f t="shared" si="679"/>
        <v>5332.4</v>
      </c>
      <c r="W261" s="252">
        <f t="shared" si="680"/>
        <v>5332.4</v>
      </c>
      <c r="X261" s="657"/>
      <c r="Y261" s="644"/>
      <c r="Z261" s="644"/>
      <c r="AA261" s="658"/>
      <c r="AB261" s="190">
        <v>837</v>
      </c>
    </row>
    <row r="262" spans="1:28" ht="12.6" customHeight="1" x14ac:dyDescent="0.2">
      <c r="A262" s="18"/>
      <c r="B262" s="642" t="s">
        <v>970</v>
      </c>
      <c r="C262" s="650"/>
      <c r="D262" s="650"/>
      <c r="E262" s="650"/>
      <c r="F262" s="366">
        <f>7.98*X2</f>
        <v>8682.24</v>
      </c>
      <c r="G262" s="280">
        <f t="shared" ref="G262" si="688">+F262*$X$1</f>
        <v>8682.24</v>
      </c>
      <c r="H262" s="441">
        <f t="shared" si="665"/>
        <v>9282.24</v>
      </c>
      <c r="I262" s="280">
        <f t="shared" si="666"/>
        <v>9282.24</v>
      </c>
      <c r="J262" s="441">
        <f t="shared" si="667"/>
        <v>8942.24</v>
      </c>
      <c r="K262" s="280">
        <f t="shared" si="668"/>
        <v>8942.24</v>
      </c>
      <c r="L262" s="441">
        <f t="shared" si="669"/>
        <v>8912.24</v>
      </c>
      <c r="M262" s="280">
        <f t="shared" si="670"/>
        <v>8912.24</v>
      </c>
      <c r="N262" s="441">
        <f t="shared" si="671"/>
        <v>8882.24</v>
      </c>
      <c r="O262" s="280">
        <f t="shared" si="672"/>
        <v>8882.24</v>
      </c>
      <c r="P262" s="441">
        <f t="shared" si="673"/>
        <v>8852.24</v>
      </c>
      <c r="Q262" s="280">
        <f t="shared" si="674"/>
        <v>8852.24</v>
      </c>
      <c r="R262" s="441">
        <f t="shared" si="675"/>
        <v>8832.24</v>
      </c>
      <c r="S262" s="280">
        <f t="shared" si="676"/>
        <v>8832.24</v>
      </c>
      <c r="T262" s="100">
        <f t="shared" si="677"/>
        <v>8812.24</v>
      </c>
      <c r="U262" s="295">
        <f t="shared" si="678"/>
        <v>8812.24</v>
      </c>
      <c r="V262" s="100">
        <f t="shared" si="679"/>
        <v>8792.24</v>
      </c>
      <c r="W262" s="295">
        <f t="shared" si="680"/>
        <v>8792.24</v>
      </c>
      <c r="X262" s="657"/>
      <c r="Y262" s="644"/>
      <c r="Z262" s="644"/>
      <c r="AA262" s="658"/>
      <c r="AB262" s="190">
        <v>838</v>
      </c>
    </row>
    <row r="263" spans="1:28" ht="12.6" customHeight="1" x14ac:dyDescent="0.2">
      <c r="A263" s="18"/>
      <c r="B263" s="642" t="s">
        <v>966</v>
      </c>
      <c r="C263" s="650"/>
      <c r="D263" s="650"/>
      <c r="E263" s="650"/>
      <c r="F263" s="365">
        <f>2.55*X2</f>
        <v>2774.3999999999996</v>
      </c>
      <c r="G263" s="279">
        <f t="shared" ref="G263" si="689">+F263*$X$1</f>
        <v>2774.3999999999996</v>
      </c>
      <c r="H263" s="610">
        <f t="shared" si="665"/>
        <v>3374.3999999999996</v>
      </c>
      <c r="I263" s="279">
        <f t="shared" si="666"/>
        <v>3374.3999999999996</v>
      </c>
      <c r="J263" s="610">
        <f t="shared" si="667"/>
        <v>3034.3999999999996</v>
      </c>
      <c r="K263" s="279">
        <f t="shared" si="668"/>
        <v>3034.3999999999996</v>
      </c>
      <c r="L263" s="610">
        <f t="shared" si="669"/>
        <v>3004.3999999999996</v>
      </c>
      <c r="M263" s="279">
        <f t="shared" si="670"/>
        <v>3004.3999999999996</v>
      </c>
      <c r="N263" s="610">
        <f t="shared" si="671"/>
        <v>2974.3999999999996</v>
      </c>
      <c r="O263" s="279">
        <f t="shared" si="672"/>
        <v>2974.3999999999996</v>
      </c>
      <c r="P263" s="610">
        <f t="shared" si="673"/>
        <v>2944.3999999999996</v>
      </c>
      <c r="Q263" s="279">
        <f t="shared" si="674"/>
        <v>2944.3999999999996</v>
      </c>
      <c r="R263" s="610">
        <f t="shared" si="675"/>
        <v>2924.3999999999996</v>
      </c>
      <c r="S263" s="279">
        <f t="shared" si="676"/>
        <v>2924.3999999999996</v>
      </c>
      <c r="T263" s="101">
        <f t="shared" si="677"/>
        <v>2904.3999999999996</v>
      </c>
      <c r="U263" s="252">
        <f t="shared" si="678"/>
        <v>2904.3999999999996</v>
      </c>
      <c r="V263" s="101">
        <f t="shared" si="679"/>
        <v>2884.3999999999996</v>
      </c>
      <c r="W263" s="252">
        <f t="shared" si="680"/>
        <v>2884.3999999999996</v>
      </c>
      <c r="X263" s="657"/>
      <c r="Y263" s="644"/>
      <c r="Z263" s="644"/>
      <c r="AA263" s="658"/>
      <c r="AB263" s="190">
        <v>839</v>
      </c>
    </row>
    <row r="264" spans="1:28" ht="12.6" customHeight="1" x14ac:dyDescent="0.2">
      <c r="A264" s="18"/>
      <c r="B264" s="642" t="s">
        <v>967</v>
      </c>
      <c r="C264" s="650"/>
      <c r="D264" s="650"/>
      <c r="E264" s="650"/>
      <c r="F264" s="366">
        <f>2.36*X2</f>
        <v>2567.6799999999998</v>
      </c>
      <c r="G264" s="280">
        <f t="shared" ref="G264" si="690">+F264*$X$1</f>
        <v>2567.6799999999998</v>
      </c>
      <c r="H264" s="441">
        <f t="shared" si="665"/>
        <v>3167.68</v>
      </c>
      <c r="I264" s="280">
        <f t="shared" si="666"/>
        <v>3167.68</v>
      </c>
      <c r="J264" s="441">
        <f t="shared" si="667"/>
        <v>2827.68</v>
      </c>
      <c r="K264" s="280">
        <f t="shared" si="668"/>
        <v>2827.68</v>
      </c>
      <c r="L264" s="441">
        <f t="shared" si="669"/>
        <v>2797.68</v>
      </c>
      <c r="M264" s="280">
        <f t="shared" si="670"/>
        <v>2797.68</v>
      </c>
      <c r="N264" s="441">
        <f t="shared" si="671"/>
        <v>2767.68</v>
      </c>
      <c r="O264" s="280">
        <f t="shared" si="672"/>
        <v>2767.68</v>
      </c>
      <c r="P264" s="441">
        <f t="shared" si="673"/>
        <v>2737.68</v>
      </c>
      <c r="Q264" s="280">
        <f t="shared" si="674"/>
        <v>2737.68</v>
      </c>
      <c r="R264" s="441">
        <f t="shared" si="675"/>
        <v>2717.68</v>
      </c>
      <c r="S264" s="280">
        <f t="shared" si="676"/>
        <v>2717.68</v>
      </c>
      <c r="T264" s="100">
        <f t="shared" si="677"/>
        <v>2697.68</v>
      </c>
      <c r="U264" s="295">
        <f t="shared" si="678"/>
        <v>2697.68</v>
      </c>
      <c r="V264" s="100">
        <f t="shared" si="679"/>
        <v>2677.68</v>
      </c>
      <c r="W264" s="295">
        <f t="shared" si="680"/>
        <v>2677.68</v>
      </c>
      <c r="X264" s="657"/>
      <c r="Y264" s="644"/>
      <c r="Z264" s="644"/>
      <c r="AA264" s="658"/>
      <c r="AB264" s="190">
        <v>840</v>
      </c>
    </row>
    <row r="265" spans="1:28" ht="12.6" customHeight="1" x14ac:dyDescent="0.2">
      <c r="A265" s="18"/>
      <c r="B265" s="861" t="s">
        <v>478</v>
      </c>
      <c r="C265" s="1119"/>
      <c r="D265" s="1119"/>
      <c r="E265" s="1119"/>
      <c r="F265" s="523">
        <f>5.9*X2</f>
        <v>6419.2000000000007</v>
      </c>
      <c r="G265" s="512">
        <f>+F265*$X$1</f>
        <v>6419.2000000000007</v>
      </c>
      <c r="H265" s="619">
        <f t="shared" si="665"/>
        <v>7019.2000000000007</v>
      </c>
      <c r="I265" s="513">
        <f t="shared" si="666"/>
        <v>7019.2000000000007</v>
      </c>
      <c r="J265" s="619">
        <f t="shared" si="667"/>
        <v>6679.2000000000007</v>
      </c>
      <c r="K265" s="513">
        <f t="shared" si="668"/>
        <v>6679.2000000000007</v>
      </c>
      <c r="L265" s="619">
        <f t="shared" si="669"/>
        <v>6649.2000000000007</v>
      </c>
      <c r="M265" s="513">
        <f t="shared" si="670"/>
        <v>6649.2000000000007</v>
      </c>
      <c r="N265" s="619">
        <f t="shared" si="671"/>
        <v>6619.2000000000007</v>
      </c>
      <c r="O265" s="513">
        <f t="shared" si="672"/>
        <v>6619.2000000000007</v>
      </c>
      <c r="P265" s="619">
        <f t="shared" si="673"/>
        <v>6589.2000000000007</v>
      </c>
      <c r="Q265" s="513">
        <f t="shared" si="674"/>
        <v>6589.2000000000007</v>
      </c>
      <c r="R265" s="619">
        <f t="shared" si="675"/>
        <v>6569.2000000000007</v>
      </c>
      <c r="S265" s="513">
        <f t="shared" si="676"/>
        <v>6569.2000000000007</v>
      </c>
      <c r="T265" s="631">
        <f t="shared" si="677"/>
        <v>6549.2000000000007</v>
      </c>
      <c r="U265" s="630">
        <f t="shared" si="678"/>
        <v>6549.2000000000007</v>
      </c>
      <c r="V265" s="631">
        <f t="shared" si="679"/>
        <v>6529.2000000000007</v>
      </c>
      <c r="W265" s="630">
        <f t="shared" si="680"/>
        <v>6529.2000000000007</v>
      </c>
      <c r="X265" s="657"/>
      <c r="Y265" s="644"/>
      <c r="Z265" s="644"/>
      <c r="AA265" s="658"/>
      <c r="AB265" s="387">
        <v>916</v>
      </c>
    </row>
    <row r="266" spans="1:28" ht="12.6" customHeight="1" x14ac:dyDescent="0.2">
      <c r="A266" s="18"/>
      <c r="B266" s="647" t="s">
        <v>779</v>
      </c>
      <c r="C266" s="648"/>
      <c r="D266" s="648"/>
      <c r="E266" s="648"/>
      <c r="F266" s="366">
        <f>6.41*X2</f>
        <v>6974.08</v>
      </c>
      <c r="G266" s="280">
        <f>+F266*$X$1</f>
        <v>6974.08</v>
      </c>
      <c r="H266" s="441">
        <f t="shared" si="665"/>
        <v>7574.08</v>
      </c>
      <c r="I266" s="280">
        <f t="shared" si="666"/>
        <v>7574.08</v>
      </c>
      <c r="J266" s="441">
        <f t="shared" si="667"/>
        <v>7234.08</v>
      </c>
      <c r="K266" s="280">
        <f t="shared" si="668"/>
        <v>7234.08</v>
      </c>
      <c r="L266" s="441">
        <f t="shared" si="669"/>
        <v>7204.08</v>
      </c>
      <c r="M266" s="280">
        <f t="shared" si="670"/>
        <v>7204.08</v>
      </c>
      <c r="N266" s="441">
        <f t="shared" si="671"/>
        <v>7174.08</v>
      </c>
      <c r="O266" s="280">
        <f t="shared" si="672"/>
        <v>7174.08</v>
      </c>
      <c r="P266" s="441">
        <f t="shared" si="673"/>
        <v>7144.08</v>
      </c>
      <c r="Q266" s="280">
        <f t="shared" si="674"/>
        <v>7144.08</v>
      </c>
      <c r="R266" s="441">
        <f t="shared" si="675"/>
        <v>7124.08</v>
      </c>
      <c r="S266" s="280">
        <f t="shared" si="676"/>
        <v>7124.08</v>
      </c>
      <c r="T266" s="100">
        <f t="shared" si="677"/>
        <v>7104.08</v>
      </c>
      <c r="U266" s="295">
        <f t="shared" si="678"/>
        <v>7104.08</v>
      </c>
      <c r="V266" s="100">
        <f t="shared" si="679"/>
        <v>7084.08</v>
      </c>
      <c r="W266" s="295">
        <f t="shared" si="680"/>
        <v>7084.08</v>
      </c>
      <c r="X266" s="657"/>
      <c r="Y266" s="644"/>
      <c r="Z266" s="644"/>
      <c r="AA266" s="658"/>
      <c r="AB266" s="190">
        <v>917</v>
      </c>
    </row>
    <row r="267" spans="1:28" ht="12.6" customHeight="1" x14ac:dyDescent="0.2">
      <c r="A267" s="18"/>
      <c r="B267" s="659" t="s">
        <v>196</v>
      </c>
      <c r="C267" s="660"/>
      <c r="D267" s="660"/>
      <c r="E267" s="660"/>
      <c r="F267" s="365">
        <f>9.93*X2</f>
        <v>10803.84</v>
      </c>
      <c r="G267" s="279">
        <f>+F267*$X$1</f>
        <v>10803.84</v>
      </c>
      <c r="H267" s="610">
        <f t="shared" si="665"/>
        <v>11403.84</v>
      </c>
      <c r="I267" s="279">
        <f t="shared" si="666"/>
        <v>11403.84</v>
      </c>
      <c r="J267" s="610">
        <f t="shared" si="667"/>
        <v>11063.84</v>
      </c>
      <c r="K267" s="279">
        <f t="shared" si="668"/>
        <v>11063.84</v>
      </c>
      <c r="L267" s="610">
        <f t="shared" si="669"/>
        <v>11033.84</v>
      </c>
      <c r="M267" s="279">
        <f t="shared" si="670"/>
        <v>11033.84</v>
      </c>
      <c r="N267" s="610">
        <f t="shared" si="671"/>
        <v>11003.84</v>
      </c>
      <c r="O267" s="279">
        <f t="shared" si="672"/>
        <v>11003.84</v>
      </c>
      <c r="P267" s="610">
        <f t="shared" si="673"/>
        <v>10973.84</v>
      </c>
      <c r="Q267" s="279">
        <f t="shared" si="674"/>
        <v>10973.84</v>
      </c>
      <c r="R267" s="610">
        <f t="shared" si="675"/>
        <v>10953.84</v>
      </c>
      <c r="S267" s="279">
        <f t="shared" si="676"/>
        <v>10953.84</v>
      </c>
      <c r="T267" s="101">
        <f t="shared" si="677"/>
        <v>10933.84</v>
      </c>
      <c r="U267" s="252">
        <f t="shared" si="678"/>
        <v>10933.84</v>
      </c>
      <c r="V267" s="101">
        <f t="shared" si="679"/>
        <v>10913.84</v>
      </c>
      <c r="W267" s="252">
        <f t="shared" si="680"/>
        <v>10913.84</v>
      </c>
      <c r="X267" s="969"/>
      <c r="Y267" s="970"/>
      <c r="Z267" s="970"/>
      <c r="AA267" s="971"/>
      <c r="AB267" s="398">
        <v>918</v>
      </c>
    </row>
    <row r="268" spans="1:28" ht="12.6" customHeight="1" x14ac:dyDescent="0.2">
      <c r="A268" s="18"/>
      <c r="B268" s="647" t="s">
        <v>426</v>
      </c>
      <c r="C268" s="648"/>
      <c r="D268" s="648"/>
      <c r="E268" s="648"/>
      <c r="F268" s="366">
        <f>8.9*X2</f>
        <v>9683.2000000000007</v>
      </c>
      <c r="G268" s="280">
        <f>+F268*$X$1</f>
        <v>9683.2000000000007</v>
      </c>
      <c r="H268" s="441">
        <f t="shared" si="665"/>
        <v>10283.200000000001</v>
      </c>
      <c r="I268" s="280">
        <f t="shared" si="666"/>
        <v>10283.200000000001</v>
      </c>
      <c r="J268" s="441">
        <f t="shared" si="667"/>
        <v>9943.2000000000007</v>
      </c>
      <c r="K268" s="280">
        <f t="shared" si="668"/>
        <v>9943.2000000000007</v>
      </c>
      <c r="L268" s="441">
        <f t="shared" si="669"/>
        <v>9913.2000000000007</v>
      </c>
      <c r="M268" s="280">
        <f t="shared" si="670"/>
        <v>9913.2000000000007</v>
      </c>
      <c r="N268" s="441">
        <f t="shared" si="671"/>
        <v>9883.2000000000007</v>
      </c>
      <c r="O268" s="280">
        <f t="shared" si="672"/>
        <v>9883.2000000000007</v>
      </c>
      <c r="P268" s="441">
        <f t="shared" si="673"/>
        <v>9853.2000000000007</v>
      </c>
      <c r="Q268" s="280">
        <f t="shared" si="674"/>
        <v>9853.2000000000007</v>
      </c>
      <c r="R268" s="441">
        <f t="shared" si="675"/>
        <v>9833.2000000000007</v>
      </c>
      <c r="S268" s="280">
        <f t="shared" si="676"/>
        <v>9833.2000000000007</v>
      </c>
      <c r="T268" s="100">
        <f t="shared" si="677"/>
        <v>9813.2000000000007</v>
      </c>
      <c r="U268" s="295">
        <f t="shared" si="678"/>
        <v>9813.2000000000007</v>
      </c>
      <c r="V268" s="100">
        <f t="shared" si="679"/>
        <v>9793.2000000000007</v>
      </c>
      <c r="W268" s="295">
        <f t="shared" si="680"/>
        <v>9793.2000000000007</v>
      </c>
      <c r="X268" s="657"/>
      <c r="Y268" s="679"/>
      <c r="Z268" s="679"/>
      <c r="AA268" s="658"/>
      <c r="AB268" s="190">
        <v>919</v>
      </c>
    </row>
    <row r="269" spans="1:28" ht="12.6" customHeight="1" x14ac:dyDescent="0.2">
      <c r="A269" s="18"/>
      <c r="B269" s="659" t="s">
        <v>799</v>
      </c>
      <c r="C269" s="660"/>
      <c r="D269" s="660"/>
      <c r="E269" s="660"/>
      <c r="F269" s="365">
        <f>7.5*X2</f>
        <v>8160</v>
      </c>
      <c r="G269" s="279">
        <f t="shared" ref="G269:G274" si="691">+F269*$X$1</f>
        <v>8160</v>
      </c>
      <c r="H269" s="610">
        <f t="shared" si="665"/>
        <v>8760</v>
      </c>
      <c r="I269" s="279">
        <f t="shared" si="666"/>
        <v>8760</v>
      </c>
      <c r="J269" s="610">
        <f t="shared" si="667"/>
        <v>8420</v>
      </c>
      <c r="K269" s="279">
        <f t="shared" si="668"/>
        <v>8420</v>
      </c>
      <c r="L269" s="610">
        <f t="shared" si="669"/>
        <v>8390</v>
      </c>
      <c r="M269" s="279">
        <f t="shared" si="670"/>
        <v>8390</v>
      </c>
      <c r="N269" s="610">
        <f t="shared" si="671"/>
        <v>8360</v>
      </c>
      <c r="O269" s="279">
        <f t="shared" si="672"/>
        <v>8360</v>
      </c>
      <c r="P269" s="610">
        <f t="shared" si="673"/>
        <v>8330</v>
      </c>
      <c r="Q269" s="279">
        <f t="shared" si="674"/>
        <v>8330</v>
      </c>
      <c r="R269" s="610">
        <f t="shared" si="675"/>
        <v>8310</v>
      </c>
      <c r="S269" s="279">
        <f t="shared" si="676"/>
        <v>8310</v>
      </c>
      <c r="T269" s="101">
        <f t="shared" si="677"/>
        <v>8290</v>
      </c>
      <c r="U269" s="252">
        <f t="shared" si="678"/>
        <v>8290</v>
      </c>
      <c r="V269" s="101">
        <f t="shared" si="679"/>
        <v>8270</v>
      </c>
      <c r="W269" s="252">
        <f t="shared" si="680"/>
        <v>8270</v>
      </c>
      <c r="X269" s="657"/>
      <c r="Y269" s="644"/>
      <c r="Z269" s="644"/>
      <c r="AA269" s="658"/>
      <c r="AB269" s="190">
        <v>920</v>
      </c>
    </row>
    <row r="270" spans="1:28" ht="12.6" customHeight="1" x14ac:dyDescent="0.2">
      <c r="A270" s="18"/>
      <c r="B270" s="647" t="s">
        <v>798</v>
      </c>
      <c r="C270" s="648"/>
      <c r="D270" s="648"/>
      <c r="E270" s="648"/>
      <c r="F270" s="366">
        <f>7.5*X2</f>
        <v>8160</v>
      </c>
      <c r="G270" s="280">
        <f t="shared" ref="G270" si="692">+F270*$X$1</f>
        <v>8160</v>
      </c>
      <c r="H270" s="441">
        <f t="shared" si="665"/>
        <v>8760</v>
      </c>
      <c r="I270" s="280">
        <f t="shared" si="666"/>
        <v>8760</v>
      </c>
      <c r="J270" s="441">
        <f t="shared" si="667"/>
        <v>8420</v>
      </c>
      <c r="K270" s="280">
        <f t="shared" si="668"/>
        <v>8420</v>
      </c>
      <c r="L270" s="441">
        <f t="shared" si="669"/>
        <v>8390</v>
      </c>
      <c r="M270" s="280">
        <f t="shared" si="670"/>
        <v>8390</v>
      </c>
      <c r="N270" s="441">
        <f t="shared" si="671"/>
        <v>8360</v>
      </c>
      <c r="O270" s="280">
        <f t="shared" si="672"/>
        <v>8360</v>
      </c>
      <c r="P270" s="441">
        <f t="shared" si="673"/>
        <v>8330</v>
      </c>
      <c r="Q270" s="280">
        <f t="shared" si="674"/>
        <v>8330</v>
      </c>
      <c r="R270" s="441">
        <f t="shared" si="675"/>
        <v>8310</v>
      </c>
      <c r="S270" s="280">
        <f t="shared" si="676"/>
        <v>8310</v>
      </c>
      <c r="T270" s="100">
        <f t="shared" si="677"/>
        <v>8290</v>
      </c>
      <c r="U270" s="295">
        <f t="shared" si="678"/>
        <v>8290</v>
      </c>
      <c r="V270" s="100">
        <f t="shared" si="679"/>
        <v>8270</v>
      </c>
      <c r="W270" s="295">
        <f t="shared" si="680"/>
        <v>8270</v>
      </c>
      <c r="X270" s="657"/>
      <c r="Y270" s="644"/>
      <c r="Z270" s="644"/>
      <c r="AA270" s="658"/>
      <c r="AB270" s="190" t="s">
        <v>800</v>
      </c>
    </row>
    <row r="271" spans="1:28" ht="12.6" customHeight="1" x14ac:dyDescent="0.2">
      <c r="A271" s="18"/>
      <c r="B271" s="659" t="s">
        <v>851</v>
      </c>
      <c r="C271" s="660"/>
      <c r="D271" s="660"/>
      <c r="E271" s="660"/>
      <c r="F271" s="365">
        <f>7.4*X2</f>
        <v>8051.2000000000007</v>
      </c>
      <c r="G271" s="279">
        <f t="shared" ref="G271:G273" si="693">+F271*$X$1</f>
        <v>8051.2000000000007</v>
      </c>
      <c r="H271" s="610">
        <f t="shared" si="665"/>
        <v>8651.2000000000007</v>
      </c>
      <c r="I271" s="279">
        <f t="shared" si="666"/>
        <v>8651.2000000000007</v>
      </c>
      <c r="J271" s="610">
        <f t="shared" si="667"/>
        <v>8311.2000000000007</v>
      </c>
      <c r="K271" s="279">
        <f t="shared" si="668"/>
        <v>8311.2000000000007</v>
      </c>
      <c r="L271" s="610">
        <f t="shared" si="669"/>
        <v>8281.2000000000007</v>
      </c>
      <c r="M271" s="279">
        <f t="shared" si="670"/>
        <v>8281.2000000000007</v>
      </c>
      <c r="N271" s="610">
        <f t="shared" si="671"/>
        <v>8251.2000000000007</v>
      </c>
      <c r="O271" s="279">
        <f t="shared" si="672"/>
        <v>8251.2000000000007</v>
      </c>
      <c r="P271" s="610">
        <f t="shared" si="673"/>
        <v>8221.2000000000007</v>
      </c>
      <c r="Q271" s="279">
        <f t="shared" si="674"/>
        <v>8221.2000000000007</v>
      </c>
      <c r="R271" s="610">
        <f t="shared" si="675"/>
        <v>8201.2000000000007</v>
      </c>
      <c r="S271" s="279">
        <f t="shared" si="676"/>
        <v>8201.2000000000007</v>
      </c>
      <c r="T271" s="101">
        <f t="shared" si="677"/>
        <v>8181.2000000000007</v>
      </c>
      <c r="U271" s="252">
        <f t="shared" si="678"/>
        <v>8181.2000000000007</v>
      </c>
      <c r="V271" s="101">
        <f t="shared" si="679"/>
        <v>8161.2000000000007</v>
      </c>
      <c r="W271" s="252">
        <f t="shared" si="680"/>
        <v>8161.2000000000007</v>
      </c>
      <c r="X271" s="657"/>
      <c r="Y271" s="644"/>
      <c r="Z271" s="644"/>
      <c r="AA271" s="658"/>
      <c r="AB271" s="190" t="s">
        <v>852</v>
      </c>
    </row>
    <row r="272" spans="1:28" ht="12.6" customHeight="1" x14ac:dyDescent="0.2">
      <c r="A272" s="18"/>
      <c r="B272" s="1156" t="s">
        <v>939</v>
      </c>
      <c r="C272" s="750"/>
      <c r="D272" s="750"/>
      <c r="E272" s="750"/>
      <c r="F272" s="517">
        <f>4.7*X2</f>
        <v>5113.6000000000004</v>
      </c>
      <c r="G272" s="513">
        <f t="shared" ref="G272" si="694">+F272*$X$1</f>
        <v>5113.6000000000004</v>
      </c>
      <c r="H272" s="607">
        <f t="shared" si="665"/>
        <v>5713.6</v>
      </c>
      <c r="I272" s="513">
        <f t="shared" si="666"/>
        <v>5713.6</v>
      </c>
      <c r="J272" s="607">
        <f t="shared" si="667"/>
        <v>5373.6</v>
      </c>
      <c r="K272" s="513">
        <f t="shared" si="668"/>
        <v>5373.6</v>
      </c>
      <c r="L272" s="607">
        <f t="shared" si="669"/>
        <v>5343.6</v>
      </c>
      <c r="M272" s="513">
        <f t="shared" si="670"/>
        <v>5343.6</v>
      </c>
      <c r="N272" s="607">
        <f t="shared" si="671"/>
        <v>5313.6</v>
      </c>
      <c r="O272" s="513">
        <f t="shared" si="672"/>
        <v>5313.6</v>
      </c>
      <c r="P272" s="607">
        <f t="shared" si="673"/>
        <v>5283.6</v>
      </c>
      <c r="Q272" s="513">
        <f t="shared" si="674"/>
        <v>5283.6</v>
      </c>
      <c r="R272" s="607">
        <f t="shared" si="675"/>
        <v>5263.6</v>
      </c>
      <c r="S272" s="513">
        <f t="shared" si="676"/>
        <v>5263.6</v>
      </c>
      <c r="T272" s="631">
        <f t="shared" si="677"/>
        <v>5243.6</v>
      </c>
      <c r="U272" s="630">
        <f t="shared" si="678"/>
        <v>5243.6</v>
      </c>
      <c r="V272" s="631">
        <f t="shared" si="679"/>
        <v>5223.6000000000004</v>
      </c>
      <c r="W272" s="630">
        <f t="shared" si="680"/>
        <v>5223.6000000000004</v>
      </c>
      <c r="X272" s="657"/>
      <c r="Y272" s="644"/>
      <c r="Z272" s="644"/>
      <c r="AA272" s="658"/>
      <c r="AB272" s="190">
        <v>922</v>
      </c>
    </row>
    <row r="273" spans="1:38" ht="12.6" customHeight="1" x14ac:dyDescent="0.2">
      <c r="A273" s="18"/>
      <c r="B273" s="642" t="s">
        <v>898</v>
      </c>
      <c r="C273" s="650"/>
      <c r="D273" s="650"/>
      <c r="E273" s="650"/>
      <c r="F273" s="365">
        <f>6.39*X2</f>
        <v>6952.32</v>
      </c>
      <c r="G273" s="279">
        <f t="shared" si="693"/>
        <v>6952.32</v>
      </c>
      <c r="H273" s="610">
        <f t="shared" si="665"/>
        <v>7552.32</v>
      </c>
      <c r="I273" s="279">
        <f t="shared" si="666"/>
        <v>7552.32</v>
      </c>
      <c r="J273" s="610">
        <f t="shared" si="667"/>
        <v>7212.32</v>
      </c>
      <c r="K273" s="279">
        <f t="shared" si="668"/>
        <v>7212.32</v>
      </c>
      <c r="L273" s="610">
        <f t="shared" si="669"/>
        <v>7182.32</v>
      </c>
      <c r="M273" s="279">
        <f t="shared" si="670"/>
        <v>7182.32</v>
      </c>
      <c r="N273" s="610">
        <f t="shared" si="671"/>
        <v>7152.32</v>
      </c>
      <c r="O273" s="279">
        <f t="shared" si="672"/>
        <v>7152.32</v>
      </c>
      <c r="P273" s="610">
        <f t="shared" si="673"/>
        <v>7122.32</v>
      </c>
      <c r="Q273" s="279">
        <f t="shared" si="674"/>
        <v>7122.32</v>
      </c>
      <c r="R273" s="610">
        <f t="shared" si="675"/>
        <v>7102.32</v>
      </c>
      <c r="S273" s="279">
        <f t="shared" si="676"/>
        <v>7102.32</v>
      </c>
      <c r="T273" s="101">
        <f t="shared" si="677"/>
        <v>7082.32</v>
      </c>
      <c r="U273" s="252">
        <f t="shared" si="678"/>
        <v>7082.32</v>
      </c>
      <c r="V273" s="101">
        <f t="shared" si="679"/>
        <v>7062.32</v>
      </c>
      <c r="W273" s="252">
        <f t="shared" si="680"/>
        <v>7062.32</v>
      </c>
      <c r="X273" s="657"/>
      <c r="Y273" s="644"/>
      <c r="Z273" s="644"/>
      <c r="AA273" s="658"/>
      <c r="AB273" s="190">
        <v>923</v>
      </c>
    </row>
    <row r="274" spans="1:38" ht="12.6" customHeight="1" x14ac:dyDescent="0.2">
      <c r="A274" s="18"/>
      <c r="B274" s="647" t="s">
        <v>780</v>
      </c>
      <c r="C274" s="648"/>
      <c r="D274" s="648"/>
      <c r="E274" s="648"/>
      <c r="F274" s="366">
        <f>5.7*X2</f>
        <v>6201.6</v>
      </c>
      <c r="G274" s="280">
        <f t="shared" si="691"/>
        <v>6201.6</v>
      </c>
      <c r="H274" s="441">
        <f t="shared" si="665"/>
        <v>6801.6</v>
      </c>
      <c r="I274" s="280">
        <f t="shared" si="666"/>
        <v>6801.6</v>
      </c>
      <c r="J274" s="441">
        <f t="shared" si="667"/>
        <v>6461.6</v>
      </c>
      <c r="K274" s="280">
        <f t="shared" si="668"/>
        <v>6461.6</v>
      </c>
      <c r="L274" s="441">
        <f t="shared" si="669"/>
        <v>6431.6</v>
      </c>
      <c r="M274" s="280">
        <f t="shared" si="670"/>
        <v>6431.6</v>
      </c>
      <c r="N274" s="441">
        <f t="shared" si="671"/>
        <v>6401.6</v>
      </c>
      <c r="O274" s="280">
        <f t="shared" si="672"/>
        <v>6401.6</v>
      </c>
      <c r="P274" s="441">
        <f t="shared" si="673"/>
        <v>6371.6</v>
      </c>
      <c r="Q274" s="280">
        <f t="shared" si="674"/>
        <v>6371.6</v>
      </c>
      <c r="R274" s="441">
        <f t="shared" si="675"/>
        <v>6351.6</v>
      </c>
      <c r="S274" s="280">
        <f t="shared" si="676"/>
        <v>6351.6</v>
      </c>
      <c r="T274" s="100">
        <f t="shared" si="677"/>
        <v>6331.6</v>
      </c>
      <c r="U274" s="295">
        <f t="shared" si="678"/>
        <v>6331.6</v>
      </c>
      <c r="V274" s="100">
        <f t="shared" si="679"/>
        <v>6311.6</v>
      </c>
      <c r="W274" s="295">
        <f t="shared" si="680"/>
        <v>6311.6</v>
      </c>
      <c r="X274" s="688"/>
      <c r="Y274" s="826"/>
      <c r="Z274" s="826"/>
      <c r="AA274" s="689"/>
      <c r="AB274" s="190" t="s">
        <v>781</v>
      </c>
    </row>
    <row r="275" spans="1:38" ht="12.6" customHeight="1" x14ac:dyDescent="0.2">
      <c r="A275" s="18"/>
      <c r="B275" s="649" t="s">
        <v>921</v>
      </c>
      <c r="C275" s="650"/>
      <c r="D275" s="650"/>
      <c r="E275" s="650"/>
      <c r="F275" s="365">
        <f>1.07*X2</f>
        <v>1164.1600000000001</v>
      </c>
      <c r="G275" s="279">
        <f t="shared" ref="G275" si="695">+F275*$X$1</f>
        <v>1164.1600000000001</v>
      </c>
      <c r="H275" s="610"/>
      <c r="I275" s="279"/>
      <c r="J275" s="610">
        <f t="shared" ref="J275:J278" si="696">F275+260</f>
        <v>1424.16</v>
      </c>
      <c r="K275" s="279">
        <f t="shared" ref="K275:K278" si="697">+J275*$X$1</f>
        <v>1424.16</v>
      </c>
      <c r="L275" s="610">
        <f t="shared" ref="L275:L278" si="698">F275+230</f>
        <v>1394.16</v>
      </c>
      <c r="M275" s="279">
        <f t="shared" ref="M275:M278" si="699">+L275*$X$1</f>
        <v>1394.16</v>
      </c>
      <c r="N275" s="610">
        <f t="shared" ref="N275:N278" si="700">F275+200</f>
        <v>1364.16</v>
      </c>
      <c r="O275" s="279">
        <f t="shared" ref="O275:O278" si="701">+N275*$X$1</f>
        <v>1364.16</v>
      </c>
      <c r="P275" s="610">
        <f t="shared" ref="P275:P278" si="702">F275+170</f>
        <v>1334.16</v>
      </c>
      <c r="Q275" s="279">
        <f t="shared" ref="Q275:Q278" si="703">+P275*$X$1</f>
        <v>1334.16</v>
      </c>
      <c r="R275" s="610">
        <f t="shared" ref="R275:R278" si="704">F275+150</f>
        <v>1314.16</v>
      </c>
      <c r="S275" s="279">
        <f t="shared" ref="S275:S278" si="705">+R275*$X$1</f>
        <v>1314.16</v>
      </c>
      <c r="T275" s="101">
        <f t="shared" ref="T275:T278" si="706">F275+130</f>
        <v>1294.1600000000001</v>
      </c>
      <c r="U275" s="252">
        <f t="shared" ref="U275:U278" si="707">+T275*$X$1</f>
        <v>1294.1600000000001</v>
      </c>
      <c r="V275" s="101">
        <f t="shared" ref="V275:V278" si="708">F275+110</f>
        <v>1274.1600000000001</v>
      </c>
      <c r="W275" s="252">
        <f t="shared" ref="W275:W278" si="709">+V275*$X$1</f>
        <v>1274.1600000000001</v>
      </c>
      <c r="X275" s="657"/>
      <c r="Y275" s="644"/>
      <c r="Z275" s="644"/>
      <c r="AA275" s="658"/>
      <c r="AB275" s="190">
        <v>927</v>
      </c>
    </row>
    <row r="276" spans="1:38" ht="12.6" customHeight="1" x14ac:dyDescent="0.2">
      <c r="A276" s="102"/>
      <c r="B276" s="647" t="s">
        <v>414</v>
      </c>
      <c r="C276" s="648"/>
      <c r="D276" s="648"/>
      <c r="E276" s="648"/>
      <c r="F276" s="366">
        <f>7*X2</f>
        <v>7616</v>
      </c>
      <c r="G276" s="280">
        <f t="shared" ref="G276:G279" si="710">+F276*$X$1</f>
        <v>7616</v>
      </c>
      <c r="H276" s="441">
        <f t="shared" ref="H276:H278" si="711">F276+600</f>
        <v>8216</v>
      </c>
      <c r="I276" s="280">
        <f t="shared" ref="I276:I278" si="712">+H276*$X$1</f>
        <v>8216</v>
      </c>
      <c r="J276" s="441">
        <f t="shared" si="696"/>
        <v>7876</v>
      </c>
      <c r="K276" s="280">
        <f t="shared" si="697"/>
        <v>7876</v>
      </c>
      <c r="L276" s="441">
        <f t="shared" si="698"/>
        <v>7846</v>
      </c>
      <c r="M276" s="280">
        <f t="shared" si="699"/>
        <v>7846</v>
      </c>
      <c r="N276" s="441">
        <f t="shared" si="700"/>
        <v>7816</v>
      </c>
      <c r="O276" s="280">
        <f t="shared" si="701"/>
        <v>7816</v>
      </c>
      <c r="P276" s="441">
        <f t="shared" si="702"/>
        <v>7786</v>
      </c>
      <c r="Q276" s="280">
        <f t="shared" si="703"/>
        <v>7786</v>
      </c>
      <c r="R276" s="441">
        <f t="shared" si="704"/>
        <v>7766</v>
      </c>
      <c r="S276" s="280">
        <f t="shared" si="705"/>
        <v>7766</v>
      </c>
      <c r="T276" s="100">
        <f t="shared" si="706"/>
        <v>7746</v>
      </c>
      <c r="U276" s="295">
        <f t="shared" si="707"/>
        <v>7746</v>
      </c>
      <c r="V276" s="100">
        <f t="shared" si="708"/>
        <v>7726</v>
      </c>
      <c r="W276" s="295">
        <f t="shared" si="709"/>
        <v>7726</v>
      </c>
      <c r="X276" s="657"/>
      <c r="Y276" s="644"/>
      <c r="Z276" s="644"/>
      <c r="AA276" s="658"/>
      <c r="AB276" s="190">
        <v>928</v>
      </c>
    </row>
    <row r="277" spans="1:38" ht="12.6" customHeight="1" x14ac:dyDescent="0.2">
      <c r="A277" s="18"/>
      <c r="B277" s="659" t="s">
        <v>382</v>
      </c>
      <c r="C277" s="660"/>
      <c r="D277" s="660"/>
      <c r="E277" s="660"/>
      <c r="F277" s="365">
        <f>7.29*X2</f>
        <v>7931.52</v>
      </c>
      <c r="G277" s="279">
        <f t="shared" si="710"/>
        <v>7931.52</v>
      </c>
      <c r="H277" s="610">
        <f t="shared" si="711"/>
        <v>8531.52</v>
      </c>
      <c r="I277" s="279">
        <f t="shared" si="712"/>
        <v>8531.52</v>
      </c>
      <c r="J277" s="610">
        <f t="shared" si="696"/>
        <v>8191.52</v>
      </c>
      <c r="K277" s="279">
        <f t="shared" si="697"/>
        <v>8191.52</v>
      </c>
      <c r="L277" s="610">
        <f t="shared" si="698"/>
        <v>8161.52</v>
      </c>
      <c r="M277" s="279">
        <f t="shared" si="699"/>
        <v>8161.52</v>
      </c>
      <c r="N277" s="610">
        <f t="shared" si="700"/>
        <v>8131.52</v>
      </c>
      <c r="O277" s="279">
        <f t="shared" si="701"/>
        <v>8131.52</v>
      </c>
      <c r="P277" s="610">
        <f t="shared" si="702"/>
        <v>8101.52</v>
      </c>
      <c r="Q277" s="279">
        <f t="shared" si="703"/>
        <v>8101.52</v>
      </c>
      <c r="R277" s="610">
        <f t="shared" si="704"/>
        <v>8081.52</v>
      </c>
      <c r="S277" s="279">
        <f t="shared" si="705"/>
        <v>8081.52</v>
      </c>
      <c r="T277" s="101">
        <f t="shared" si="706"/>
        <v>8061.52</v>
      </c>
      <c r="U277" s="252">
        <f t="shared" si="707"/>
        <v>8061.52</v>
      </c>
      <c r="V277" s="101">
        <f t="shared" si="708"/>
        <v>8041.52</v>
      </c>
      <c r="W277" s="252">
        <f t="shared" si="709"/>
        <v>8041.52</v>
      </c>
      <c r="X277" s="657"/>
      <c r="Y277" s="679"/>
      <c r="Z277" s="679"/>
      <c r="AA277" s="658"/>
      <c r="AB277" s="190">
        <v>931</v>
      </c>
    </row>
    <row r="278" spans="1:38" ht="12.6" customHeight="1" x14ac:dyDescent="0.2">
      <c r="A278" s="18"/>
      <c r="B278" s="647" t="s">
        <v>778</v>
      </c>
      <c r="C278" s="648"/>
      <c r="D278" s="648"/>
      <c r="E278" s="648"/>
      <c r="F278" s="366">
        <f>2.98*X2</f>
        <v>3242.24</v>
      </c>
      <c r="G278" s="280">
        <f t="shared" si="710"/>
        <v>3242.24</v>
      </c>
      <c r="H278" s="441">
        <f t="shared" si="711"/>
        <v>3842.24</v>
      </c>
      <c r="I278" s="280">
        <f t="shared" si="712"/>
        <v>3842.24</v>
      </c>
      <c r="J278" s="441">
        <f t="shared" si="696"/>
        <v>3502.24</v>
      </c>
      <c r="K278" s="280">
        <f t="shared" si="697"/>
        <v>3502.24</v>
      </c>
      <c r="L278" s="441">
        <f t="shared" si="698"/>
        <v>3472.24</v>
      </c>
      <c r="M278" s="280">
        <f t="shared" si="699"/>
        <v>3472.24</v>
      </c>
      <c r="N278" s="441">
        <f t="shared" si="700"/>
        <v>3442.24</v>
      </c>
      <c r="O278" s="280">
        <f t="shared" si="701"/>
        <v>3442.24</v>
      </c>
      <c r="P278" s="441">
        <f t="shared" si="702"/>
        <v>3412.24</v>
      </c>
      <c r="Q278" s="280">
        <f t="shared" si="703"/>
        <v>3412.24</v>
      </c>
      <c r="R278" s="441">
        <f t="shared" si="704"/>
        <v>3392.24</v>
      </c>
      <c r="S278" s="280">
        <f t="shared" si="705"/>
        <v>3392.24</v>
      </c>
      <c r="T278" s="100">
        <f t="shared" si="706"/>
        <v>3372.24</v>
      </c>
      <c r="U278" s="295">
        <f t="shared" si="707"/>
        <v>3372.24</v>
      </c>
      <c r="V278" s="100">
        <f t="shared" si="708"/>
        <v>3352.24</v>
      </c>
      <c r="W278" s="295">
        <f t="shared" si="709"/>
        <v>3352.24</v>
      </c>
      <c r="X278" s="657"/>
      <c r="Y278" s="679"/>
      <c r="Z278" s="679"/>
      <c r="AA278" s="658"/>
      <c r="AB278" s="190">
        <v>933</v>
      </c>
    </row>
    <row r="279" spans="1:38" ht="12.6" customHeight="1" x14ac:dyDescent="0.2">
      <c r="A279" s="18"/>
      <c r="B279" s="659" t="s">
        <v>571</v>
      </c>
      <c r="C279" s="660"/>
      <c r="D279" s="660"/>
      <c r="E279" s="660"/>
      <c r="F279" s="365">
        <f>7.55*X2</f>
        <v>8214.4</v>
      </c>
      <c r="G279" s="279">
        <f t="shared" si="710"/>
        <v>8214.4</v>
      </c>
      <c r="H279" s="610">
        <f t="shared" ref="H279:H287" si="713">F279+600</f>
        <v>8814.4</v>
      </c>
      <c r="I279" s="279">
        <f t="shared" ref="I279:I287" si="714">+H279*$X$1</f>
        <v>8814.4</v>
      </c>
      <c r="J279" s="610">
        <f t="shared" ref="J279:J287" si="715">F279+260</f>
        <v>8474.4</v>
      </c>
      <c r="K279" s="279">
        <f t="shared" ref="K279:K287" si="716">+J279*$X$1</f>
        <v>8474.4</v>
      </c>
      <c r="L279" s="610">
        <f t="shared" ref="L279:L287" si="717">F279+230</f>
        <v>8444.4</v>
      </c>
      <c r="M279" s="279">
        <f t="shared" ref="M279:M287" si="718">+L279*$X$1</f>
        <v>8444.4</v>
      </c>
      <c r="N279" s="610">
        <f t="shared" ref="N279:N287" si="719">F279+200</f>
        <v>8414.4</v>
      </c>
      <c r="O279" s="279">
        <f t="shared" ref="O279:O287" si="720">+N279*$X$1</f>
        <v>8414.4</v>
      </c>
      <c r="P279" s="610">
        <f t="shared" ref="P279:P287" si="721">F279+170</f>
        <v>8384.4</v>
      </c>
      <c r="Q279" s="279">
        <f t="shared" ref="Q279:Q287" si="722">+P279*$X$1</f>
        <v>8384.4</v>
      </c>
      <c r="R279" s="610">
        <f t="shared" ref="R279:R287" si="723">F279+150</f>
        <v>8364.4</v>
      </c>
      <c r="S279" s="279">
        <f t="shared" ref="S279:S287" si="724">+R279*$X$1</f>
        <v>8364.4</v>
      </c>
      <c r="T279" s="101">
        <f t="shared" ref="T279:T287" si="725">F279+130</f>
        <v>8344.4</v>
      </c>
      <c r="U279" s="252">
        <f t="shared" ref="U279:U287" si="726">+T279*$X$1</f>
        <v>8344.4</v>
      </c>
      <c r="V279" s="101">
        <f t="shared" ref="V279:V287" si="727">F279+110</f>
        <v>8324.4</v>
      </c>
      <c r="W279" s="252">
        <f t="shared" ref="W279:W287" si="728">+V279*$X$1</f>
        <v>8324.4</v>
      </c>
      <c r="X279" s="363"/>
      <c r="Y279" s="363"/>
      <c r="Z279" s="363"/>
      <c r="AA279" s="363"/>
      <c r="AB279" s="190">
        <v>935</v>
      </c>
    </row>
    <row r="280" spans="1:38" ht="12.6" customHeight="1" x14ac:dyDescent="0.2">
      <c r="A280" s="18"/>
      <c r="B280" s="647" t="s">
        <v>603</v>
      </c>
      <c r="C280" s="648"/>
      <c r="D280" s="648"/>
      <c r="E280" s="648"/>
      <c r="F280" s="366">
        <f>10*X2</f>
        <v>10880</v>
      </c>
      <c r="G280" s="280">
        <f t="shared" ref="G280" si="729">+F280*$X$1</f>
        <v>10880</v>
      </c>
      <c r="H280" s="441">
        <f t="shared" si="713"/>
        <v>11480</v>
      </c>
      <c r="I280" s="280">
        <f t="shared" si="714"/>
        <v>11480</v>
      </c>
      <c r="J280" s="441">
        <f t="shared" si="715"/>
        <v>11140</v>
      </c>
      <c r="K280" s="280">
        <f t="shared" si="716"/>
        <v>11140</v>
      </c>
      <c r="L280" s="441">
        <f t="shared" si="717"/>
        <v>11110</v>
      </c>
      <c r="M280" s="280">
        <f t="shared" si="718"/>
        <v>11110</v>
      </c>
      <c r="N280" s="441">
        <f t="shared" si="719"/>
        <v>11080</v>
      </c>
      <c r="O280" s="280">
        <f t="shared" si="720"/>
        <v>11080</v>
      </c>
      <c r="P280" s="441">
        <f t="shared" si="721"/>
        <v>11050</v>
      </c>
      <c r="Q280" s="280">
        <f t="shared" si="722"/>
        <v>11050</v>
      </c>
      <c r="R280" s="441">
        <f t="shared" si="723"/>
        <v>11030</v>
      </c>
      <c r="S280" s="280">
        <f t="shared" si="724"/>
        <v>11030</v>
      </c>
      <c r="T280" s="100">
        <f t="shared" si="725"/>
        <v>11010</v>
      </c>
      <c r="U280" s="295">
        <f t="shared" si="726"/>
        <v>11010</v>
      </c>
      <c r="V280" s="100">
        <f t="shared" si="727"/>
        <v>10990</v>
      </c>
      <c r="W280" s="295">
        <f t="shared" si="728"/>
        <v>10990</v>
      </c>
      <c r="X280" s="657"/>
      <c r="Y280" s="644"/>
      <c r="Z280" s="644"/>
      <c r="AA280" s="658"/>
      <c r="AB280" s="190">
        <v>936</v>
      </c>
    </row>
    <row r="281" spans="1:38" ht="12.6" customHeight="1" x14ac:dyDescent="0.2">
      <c r="A281" s="18"/>
      <c r="B281" s="659" t="s">
        <v>844</v>
      </c>
      <c r="C281" s="660"/>
      <c r="D281" s="660"/>
      <c r="E281" s="660"/>
      <c r="F281" s="365">
        <f>4.9*X2</f>
        <v>5331.2000000000007</v>
      </c>
      <c r="G281" s="279">
        <f t="shared" ref="G281" si="730">+F281*$X$1</f>
        <v>5331.2000000000007</v>
      </c>
      <c r="H281" s="610">
        <f t="shared" si="713"/>
        <v>5931.2000000000007</v>
      </c>
      <c r="I281" s="279">
        <f t="shared" si="714"/>
        <v>5931.2000000000007</v>
      </c>
      <c r="J281" s="610">
        <f t="shared" si="715"/>
        <v>5591.2000000000007</v>
      </c>
      <c r="K281" s="279">
        <f t="shared" si="716"/>
        <v>5591.2000000000007</v>
      </c>
      <c r="L281" s="610">
        <f t="shared" si="717"/>
        <v>5561.2000000000007</v>
      </c>
      <c r="M281" s="279">
        <f t="shared" si="718"/>
        <v>5561.2000000000007</v>
      </c>
      <c r="N281" s="610">
        <f t="shared" si="719"/>
        <v>5531.2000000000007</v>
      </c>
      <c r="O281" s="279">
        <f t="shared" si="720"/>
        <v>5531.2000000000007</v>
      </c>
      <c r="P281" s="610">
        <f t="shared" si="721"/>
        <v>5501.2000000000007</v>
      </c>
      <c r="Q281" s="279">
        <f t="shared" si="722"/>
        <v>5501.2000000000007</v>
      </c>
      <c r="R281" s="610">
        <f t="shared" si="723"/>
        <v>5481.2000000000007</v>
      </c>
      <c r="S281" s="279">
        <f t="shared" si="724"/>
        <v>5481.2000000000007</v>
      </c>
      <c r="T281" s="101">
        <f t="shared" si="725"/>
        <v>5461.2000000000007</v>
      </c>
      <c r="U281" s="252">
        <f t="shared" si="726"/>
        <v>5461.2000000000007</v>
      </c>
      <c r="V281" s="101">
        <f t="shared" si="727"/>
        <v>5441.2000000000007</v>
      </c>
      <c r="W281" s="252">
        <f t="shared" si="728"/>
        <v>5441.2000000000007</v>
      </c>
      <c r="X281" s="657"/>
      <c r="Y281" s="644"/>
      <c r="Z281" s="644"/>
      <c r="AA281" s="658"/>
      <c r="AB281" s="190">
        <v>940</v>
      </c>
    </row>
    <row r="282" spans="1:38" ht="12.6" customHeight="1" x14ac:dyDescent="0.2">
      <c r="A282" s="18"/>
      <c r="B282" s="661" t="s">
        <v>197</v>
      </c>
      <c r="C282" s="790"/>
      <c r="D282" s="790"/>
      <c r="E282" s="791"/>
      <c r="F282" s="366">
        <f>5.483*X2</f>
        <v>5965.5039999999999</v>
      </c>
      <c r="G282" s="280">
        <f t="shared" ref="G282:G286" si="731">+F282*$X$1</f>
        <v>5965.5039999999999</v>
      </c>
      <c r="H282" s="441">
        <f t="shared" si="713"/>
        <v>6565.5039999999999</v>
      </c>
      <c r="I282" s="280">
        <f t="shared" si="714"/>
        <v>6565.5039999999999</v>
      </c>
      <c r="J282" s="441">
        <f t="shared" si="715"/>
        <v>6225.5039999999999</v>
      </c>
      <c r="K282" s="280">
        <f t="shared" si="716"/>
        <v>6225.5039999999999</v>
      </c>
      <c r="L282" s="441">
        <f t="shared" si="717"/>
        <v>6195.5039999999999</v>
      </c>
      <c r="M282" s="280">
        <f t="shared" si="718"/>
        <v>6195.5039999999999</v>
      </c>
      <c r="N282" s="441">
        <f t="shared" si="719"/>
        <v>6165.5039999999999</v>
      </c>
      <c r="O282" s="280">
        <f t="shared" si="720"/>
        <v>6165.5039999999999</v>
      </c>
      <c r="P282" s="441">
        <f t="shared" si="721"/>
        <v>6135.5039999999999</v>
      </c>
      <c r="Q282" s="280">
        <f t="shared" si="722"/>
        <v>6135.5039999999999</v>
      </c>
      <c r="R282" s="441">
        <f t="shared" si="723"/>
        <v>6115.5039999999999</v>
      </c>
      <c r="S282" s="280">
        <f t="shared" si="724"/>
        <v>6115.5039999999999</v>
      </c>
      <c r="T282" s="100">
        <f t="shared" si="725"/>
        <v>6095.5039999999999</v>
      </c>
      <c r="U282" s="295">
        <f t="shared" si="726"/>
        <v>6095.5039999999999</v>
      </c>
      <c r="V282" s="100">
        <f t="shared" si="727"/>
        <v>6075.5039999999999</v>
      </c>
      <c r="W282" s="295">
        <f t="shared" si="728"/>
        <v>6075.5039999999999</v>
      </c>
      <c r="X282" s="131"/>
      <c r="Y282" s="133"/>
      <c r="Z282" s="129"/>
      <c r="AA282" s="129"/>
      <c r="AB282" s="190">
        <v>945</v>
      </c>
      <c r="AD282" s="64"/>
      <c r="AE282" s="64"/>
      <c r="AF282" s="64"/>
      <c r="AG282" s="64"/>
    </row>
    <row r="283" spans="1:38" ht="12.6" customHeight="1" x14ac:dyDescent="0.2">
      <c r="A283" s="18"/>
      <c r="B283" s="659" t="s">
        <v>468</v>
      </c>
      <c r="C283" s="660"/>
      <c r="D283" s="660"/>
      <c r="E283" s="660"/>
      <c r="F283" s="365">
        <f>4.52*X2</f>
        <v>4917.7599999999993</v>
      </c>
      <c r="G283" s="279">
        <f t="shared" ref="G283" si="732">+F283*$X$1</f>
        <v>4917.7599999999993</v>
      </c>
      <c r="H283" s="610">
        <f t="shared" si="713"/>
        <v>5517.7599999999993</v>
      </c>
      <c r="I283" s="279">
        <f t="shared" si="714"/>
        <v>5517.7599999999993</v>
      </c>
      <c r="J283" s="610">
        <f t="shared" si="715"/>
        <v>5177.7599999999993</v>
      </c>
      <c r="K283" s="279">
        <f t="shared" si="716"/>
        <v>5177.7599999999993</v>
      </c>
      <c r="L283" s="610">
        <f t="shared" si="717"/>
        <v>5147.7599999999993</v>
      </c>
      <c r="M283" s="279">
        <f t="shared" si="718"/>
        <v>5147.7599999999993</v>
      </c>
      <c r="N283" s="610">
        <f t="shared" si="719"/>
        <v>5117.7599999999993</v>
      </c>
      <c r="O283" s="279">
        <f t="shared" si="720"/>
        <v>5117.7599999999993</v>
      </c>
      <c r="P283" s="610">
        <f t="shared" si="721"/>
        <v>5087.7599999999993</v>
      </c>
      <c r="Q283" s="279">
        <f t="shared" si="722"/>
        <v>5087.7599999999993</v>
      </c>
      <c r="R283" s="610">
        <f t="shared" si="723"/>
        <v>5067.7599999999993</v>
      </c>
      <c r="S283" s="279">
        <f t="shared" si="724"/>
        <v>5067.7599999999993</v>
      </c>
      <c r="T283" s="101">
        <f t="shared" si="725"/>
        <v>5047.7599999999993</v>
      </c>
      <c r="U283" s="252">
        <f t="shared" si="726"/>
        <v>5047.7599999999993</v>
      </c>
      <c r="V283" s="101">
        <f t="shared" si="727"/>
        <v>5027.7599999999993</v>
      </c>
      <c r="W283" s="252">
        <f t="shared" si="728"/>
        <v>5027.7599999999993</v>
      </c>
      <c r="X283" s="149"/>
      <c r="Y283" s="149"/>
      <c r="Z283" s="149"/>
      <c r="AA283" s="149"/>
      <c r="AB283" s="190">
        <v>946</v>
      </c>
    </row>
    <row r="284" spans="1:38" ht="12.6" customHeight="1" x14ac:dyDescent="0.2">
      <c r="A284" s="18"/>
      <c r="B284" s="715" t="s">
        <v>198</v>
      </c>
      <c r="C284" s="716"/>
      <c r="D284" s="716"/>
      <c r="E284" s="717"/>
      <c r="F284" s="366">
        <f>5.1*X2</f>
        <v>5548.7999999999993</v>
      </c>
      <c r="G284" s="280">
        <f t="shared" si="731"/>
        <v>5548.7999999999993</v>
      </c>
      <c r="H284" s="441">
        <f t="shared" si="713"/>
        <v>6148.7999999999993</v>
      </c>
      <c r="I284" s="280">
        <f t="shared" si="714"/>
        <v>6148.7999999999993</v>
      </c>
      <c r="J284" s="441"/>
      <c r="K284" s="280"/>
      <c r="L284" s="441"/>
      <c r="M284" s="280"/>
      <c r="N284" s="441"/>
      <c r="O284" s="280"/>
      <c r="P284" s="441"/>
      <c r="Q284" s="280"/>
      <c r="R284" s="441"/>
      <c r="S284" s="280"/>
      <c r="T284" s="100"/>
      <c r="U284" s="295"/>
      <c r="V284" s="100"/>
      <c r="W284" s="295"/>
      <c r="X284" s="657"/>
      <c r="Y284" s="679"/>
      <c r="Z284" s="679"/>
      <c r="AA284" s="658"/>
      <c r="AB284" s="398">
        <v>949</v>
      </c>
    </row>
    <row r="285" spans="1:38" ht="12.6" customHeight="1" x14ac:dyDescent="0.2">
      <c r="A285" s="18"/>
      <c r="B285" s="659" t="s">
        <v>572</v>
      </c>
      <c r="C285" s="660"/>
      <c r="D285" s="660"/>
      <c r="E285" s="660"/>
      <c r="F285" s="365">
        <f>6*X2</f>
        <v>6528</v>
      </c>
      <c r="G285" s="279">
        <f t="shared" si="731"/>
        <v>6528</v>
      </c>
      <c r="H285" s="610">
        <f t="shared" si="713"/>
        <v>7128</v>
      </c>
      <c r="I285" s="279">
        <f t="shared" si="714"/>
        <v>7128</v>
      </c>
      <c r="J285" s="610">
        <f t="shared" si="715"/>
        <v>6788</v>
      </c>
      <c r="K285" s="279">
        <f t="shared" si="716"/>
        <v>6788</v>
      </c>
      <c r="L285" s="610">
        <f t="shared" si="717"/>
        <v>6758</v>
      </c>
      <c r="M285" s="279">
        <f t="shared" si="718"/>
        <v>6758</v>
      </c>
      <c r="N285" s="610">
        <f t="shared" si="719"/>
        <v>6728</v>
      </c>
      <c r="O285" s="279">
        <f t="shared" si="720"/>
        <v>6728</v>
      </c>
      <c r="P285" s="610">
        <f t="shared" si="721"/>
        <v>6698</v>
      </c>
      <c r="Q285" s="279">
        <f t="shared" si="722"/>
        <v>6698</v>
      </c>
      <c r="R285" s="610">
        <f t="shared" si="723"/>
        <v>6678</v>
      </c>
      <c r="S285" s="279">
        <f t="shared" si="724"/>
        <v>6678</v>
      </c>
      <c r="T285" s="101">
        <f t="shared" si="725"/>
        <v>6658</v>
      </c>
      <c r="U285" s="252">
        <f t="shared" si="726"/>
        <v>6658</v>
      </c>
      <c r="V285" s="101">
        <f t="shared" si="727"/>
        <v>6638</v>
      </c>
      <c r="W285" s="252">
        <f t="shared" si="728"/>
        <v>6638</v>
      </c>
      <c r="X285" s="736"/>
      <c r="Y285" s="737"/>
      <c r="Z285" s="737"/>
      <c r="AA285" s="738"/>
      <c r="AB285" s="190">
        <v>962</v>
      </c>
    </row>
    <row r="286" spans="1:38" ht="12.6" customHeight="1" x14ac:dyDescent="0.2">
      <c r="A286" s="18"/>
      <c r="B286" s="647" t="s">
        <v>833</v>
      </c>
      <c r="C286" s="648"/>
      <c r="D286" s="648"/>
      <c r="E286" s="648"/>
      <c r="F286" s="366">
        <f>10.94*X2</f>
        <v>11902.72</v>
      </c>
      <c r="G286" s="280">
        <f t="shared" si="731"/>
        <v>11902.72</v>
      </c>
      <c r="H286" s="441">
        <f t="shared" si="713"/>
        <v>12502.72</v>
      </c>
      <c r="I286" s="280">
        <f t="shared" si="714"/>
        <v>12502.72</v>
      </c>
      <c r="J286" s="441">
        <f t="shared" si="715"/>
        <v>12162.72</v>
      </c>
      <c r="K286" s="280">
        <f t="shared" si="716"/>
        <v>12162.72</v>
      </c>
      <c r="L286" s="441">
        <f t="shared" si="717"/>
        <v>12132.72</v>
      </c>
      <c r="M286" s="280">
        <f t="shared" si="718"/>
        <v>12132.72</v>
      </c>
      <c r="N286" s="441">
        <f t="shared" si="719"/>
        <v>12102.72</v>
      </c>
      <c r="O286" s="280">
        <f t="shared" si="720"/>
        <v>12102.72</v>
      </c>
      <c r="P286" s="441">
        <f t="shared" si="721"/>
        <v>12072.72</v>
      </c>
      <c r="Q286" s="280">
        <f t="shared" si="722"/>
        <v>12072.72</v>
      </c>
      <c r="R286" s="441">
        <f t="shared" si="723"/>
        <v>12052.72</v>
      </c>
      <c r="S286" s="280">
        <f t="shared" si="724"/>
        <v>12052.72</v>
      </c>
      <c r="T286" s="100">
        <f t="shared" si="725"/>
        <v>12032.72</v>
      </c>
      <c r="U286" s="295">
        <f t="shared" si="726"/>
        <v>12032.72</v>
      </c>
      <c r="V286" s="100">
        <f t="shared" si="727"/>
        <v>12012.72</v>
      </c>
      <c r="W286" s="295">
        <f t="shared" si="728"/>
        <v>12012.72</v>
      </c>
      <c r="X286" s="439"/>
      <c r="Y286" s="439"/>
      <c r="Z286" s="439"/>
      <c r="AA286" s="439"/>
      <c r="AB286" s="190">
        <v>963</v>
      </c>
    </row>
    <row r="287" spans="1:38" ht="12.6" customHeight="1" x14ac:dyDescent="0.2">
      <c r="A287" s="18"/>
      <c r="B287" s="649" t="s">
        <v>874</v>
      </c>
      <c r="C287" s="650"/>
      <c r="D287" s="650"/>
      <c r="E287" s="650"/>
      <c r="F287" s="365">
        <f>7.1*X2</f>
        <v>7724.7999999999993</v>
      </c>
      <c r="G287" s="279">
        <f t="shared" ref="G287" si="733">+F287*$X$1</f>
        <v>7724.7999999999993</v>
      </c>
      <c r="H287" s="610">
        <f t="shared" si="713"/>
        <v>8324.7999999999993</v>
      </c>
      <c r="I287" s="279">
        <f t="shared" si="714"/>
        <v>8324.7999999999993</v>
      </c>
      <c r="J287" s="610">
        <f t="shared" si="715"/>
        <v>7984.7999999999993</v>
      </c>
      <c r="K287" s="279">
        <f t="shared" si="716"/>
        <v>7984.7999999999993</v>
      </c>
      <c r="L287" s="610">
        <f t="shared" si="717"/>
        <v>7954.7999999999993</v>
      </c>
      <c r="M287" s="279">
        <f t="shared" si="718"/>
        <v>7954.7999999999993</v>
      </c>
      <c r="N287" s="610">
        <f t="shared" si="719"/>
        <v>7924.7999999999993</v>
      </c>
      <c r="O287" s="279">
        <f t="shared" si="720"/>
        <v>7924.7999999999993</v>
      </c>
      <c r="P287" s="610">
        <f t="shared" si="721"/>
        <v>7894.7999999999993</v>
      </c>
      <c r="Q287" s="279">
        <f t="shared" si="722"/>
        <v>7894.7999999999993</v>
      </c>
      <c r="R287" s="610">
        <f t="shared" si="723"/>
        <v>7874.7999999999993</v>
      </c>
      <c r="S287" s="279">
        <f t="shared" si="724"/>
        <v>7874.7999999999993</v>
      </c>
      <c r="T287" s="101">
        <f t="shared" si="725"/>
        <v>7854.7999999999993</v>
      </c>
      <c r="U287" s="252">
        <f t="shared" si="726"/>
        <v>7854.7999999999993</v>
      </c>
      <c r="V287" s="101">
        <f t="shared" si="727"/>
        <v>7834.7999999999993</v>
      </c>
      <c r="W287" s="252">
        <f t="shared" si="728"/>
        <v>7834.7999999999993</v>
      </c>
      <c r="X287" s="439"/>
      <c r="Y287" s="439"/>
      <c r="Z287" s="439"/>
      <c r="AA287" s="439"/>
      <c r="AB287" s="190">
        <v>966</v>
      </c>
    </row>
    <row r="288" spans="1:38" s="1" customFormat="1" ht="12.6" customHeight="1" x14ac:dyDescent="0.2">
      <c r="A288" s="19"/>
      <c r="B288" s="647" t="s">
        <v>367</v>
      </c>
      <c r="C288" s="648"/>
      <c r="D288" s="648"/>
      <c r="E288" s="648"/>
      <c r="F288" s="280">
        <v>430</v>
      </c>
      <c r="G288" s="280">
        <f>+F288*$X$1</f>
        <v>430</v>
      </c>
      <c r="H288" s="272"/>
      <c r="I288" s="272"/>
      <c r="J288" s="441">
        <f>F288+230</f>
        <v>660</v>
      </c>
      <c r="K288" s="280">
        <f t="shared" ref="K288" si="734">+J288*$X$1</f>
        <v>660</v>
      </c>
      <c r="L288" s="441">
        <f>F288+180</f>
        <v>610</v>
      </c>
      <c r="M288" s="280">
        <f>+L288*$X$1</f>
        <v>610</v>
      </c>
      <c r="N288" s="441">
        <f>F288+130</f>
        <v>560</v>
      </c>
      <c r="O288" s="280">
        <f>+N288*$X$1</f>
        <v>560</v>
      </c>
      <c r="P288" s="441">
        <f>F288+110</f>
        <v>540</v>
      </c>
      <c r="Q288" s="280">
        <f>+P288*$X$1</f>
        <v>540</v>
      </c>
      <c r="R288" s="441">
        <f>F288+90</f>
        <v>520</v>
      </c>
      <c r="S288" s="280">
        <f>+R288*$X$1</f>
        <v>520</v>
      </c>
      <c r="T288" s="100">
        <f>F288+80</f>
        <v>510</v>
      </c>
      <c r="U288" s="295">
        <f>+T288*$X$1</f>
        <v>510</v>
      </c>
      <c r="V288" s="100">
        <f>F288+70</f>
        <v>500</v>
      </c>
      <c r="W288" s="295">
        <f>+V288*$X$1</f>
        <v>500</v>
      </c>
      <c r="X288" s="146"/>
      <c r="Y288" s="146"/>
      <c r="Z288" s="146"/>
      <c r="AA288" s="146"/>
      <c r="AB288" s="190">
        <v>998</v>
      </c>
      <c r="AC288" s="74"/>
      <c r="AD288" s="4"/>
      <c r="AE288" s="4"/>
      <c r="AF288" s="4"/>
      <c r="AG288" s="4"/>
      <c r="AH288" s="4"/>
      <c r="AI288" s="4"/>
      <c r="AJ288" s="4"/>
      <c r="AK288" s="4"/>
      <c r="AL288" s="4"/>
    </row>
    <row r="289" spans="1:38" s="1" customFormat="1" ht="12.6" customHeight="1" x14ac:dyDescent="0.2">
      <c r="A289" s="19"/>
      <c r="B289" s="676" t="s">
        <v>899</v>
      </c>
      <c r="C289" s="677"/>
      <c r="D289" s="677"/>
      <c r="E289" s="678"/>
      <c r="F289" s="365">
        <f>2.8*X2</f>
        <v>3046.3999999999996</v>
      </c>
      <c r="G289" s="279">
        <f>+F289*$X$1</f>
        <v>3046.3999999999996</v>
      </c>
      <c r="H289" s="610">
        <f t="shared" ref="H289:H290" si="735">F289+600</f>
        <v>3646.3999999999996</v>
      </c>
      <c r="I289" s="279">
        <f t="shared" ref="I289:I290" si="736">+H289*$X$1</f>
        <v>3646.3999999999996</v>
      </c>
      <c r="J289" s="610">
        <f t="shared" ref="J289:J290" si="737">F289+260</f>
        <v>3306.3999999999996</v>
      </c>
      <c r="K289" s="279">
        <f t="shared" ref="K289:K290" si="738">+J289*$X$1</f>
        <v>3306.3999999999996</v>
      </c>
      <c r="L289" s="610">
        <f t="shared" ref="L289:L290" si="739">F289+230</f>
        <v>3276.3999999999996</v>
      </c>
      <c r="M289" s="279">
        <f t="shared" ref="M289:M291" si="740">+L289*$X$1</f>
        <v>3276.3999999999996</v>
      </c>
      <c r="N289" s="610">
        <f t="shared" ref="N289:N290" si="741">F289+200</f>
        <v>3246.3999999999996</v>
      </c>
      <c r="O289" s="279">
        <f t="shared" ref="O289:O291" si="742">+N289*$X$1</f>
        <v>3246.3999999999996</v>
      </c>
      <c r="P289" s="610">
        <f t="shared" ref="P289:P290" si="743">F289+170</f>
        <v>3216.3999999999996</v>
      </c>
      <c r="Q289" s="279">
        <f t="shared" ref="Q289:Q291" si="744">+P289*$X$1</f>
        <v>3216.3999999999996</v>
      </c>
      <c r="R289" s="610">
        <f t="shared" ref="R289:R290" si="745">F289+150</f>
        <v>3196.3999999999996</v>
      </c>
      <c r="S289" s="279">
        <f t="shared" ref="S289:S291" si="746">+R289*$X$1</f>
        <v>3196.3999999999996</v>
      </c>
      <c r="T289" s="101">
        <f t="shared" ref="T289:T290" si="747">F289+130</f>
        <v>3176.3999999999996</v>
      </c>
      <c r="U289" s="252">
        <f t="shared" ref="U289:U291" si="748">+T289*$X$1</f>
        <v>3176.3999999999996</v>
      </c>
      <c r="V289" s="101">
        <f t="shared" ref="V289:V290" si="749">F289+110</f>
        <v>3156.3999999999996</v>
      </c>
      <c r="W289" s="252">
        <f t="shared" ref="W289:W291" si="750">+V289*$X$1</f>
        <v>3156.3999999999996</v>
      </c>
      <c r="X289" s="532"/>
      <c r="Y289" s="534"/>
      <c r="Z289" s="534"/>
      <c r="AA289" s="533"/>
      <c r="AB289" s="190">
        <v>1024</v>
      </c>
      <c r="AC289" s="4"/>
      <c r="AD289" s="4"/>
      <c r="AE289" s="4"/>
      <c r="AF289" s="4"/>
      <c r="AG289" s="4"/>
      <c r="AH289" s="472"/>
      <c r="AI289" s="4"/>
      <c r="AJ289" s="4"/>
      <c r="AK289" s="4"/>
      <c r="AL289" s="4"/>
    </row>
    <row r="290" spans="1:38" s="1" customFormat="1" ht="12.6" customHeight="1" x14ac:dyDescent="0.2">
      <c r="A290" s="19"/>
      <c r="B290" s="661" t="s">
        <v>822</v>
      </c>
      <c r="C290" s="694"/>
      <c r="D290" s="694"/>
      <c r="E290" s="695"/>
      <c r="F290" s="366">
        <f>3*X2</f>
        <v>3264</v>
      </c>
      <c r="G290" s="280">
        <f>+F290*$X$1</f>
        <v>3264</v>
      </c>
      <c r="H290" s="441">
        <f t="shared" si="735"/>
        <v>3864</v>
      </c>
      <c r="I290" s="280">
        <f t="shared" si="736"/>
        <v>3864</v>
      </c>
      <c r="J290" s="441">
        <f t="shared" si="737"/>
        <v>3524</v>
      </c>
      <c r="K290" s="280">
        <f t="shared" si="738"/>
        <v>3524</v>
      </c>
      <c r="L290" s="441">
        <f t="shared" si="739"/>
        <v>3494</v>
      </c>
      <c r="M290" s="280">
        <f t="shared" si="740"/>
        <v>3494</v>
      </c>
      <c r="N290" s="441">
        <f t="shared" si="741"/>
        <v>3464</v>
      </c>
      <c r="O290" s="280">
        <f t="shared" si="742"/>
        <v>3464</v>
      </c>
      <c r="P290" s="441">
        <f t="shared" si="743"/>
        <v>3434</v>
      </c>
      <c r="Q290" s="280">
        <f t="shared" si="744"/>
        <v>3434</v>
      </c>
      <c r="R290" s="441">
        <f t="shared" si="745"/>
        <v>3414</v>
      </c>
      <c r="S290" s="280">
        <f t="shared" si="746"/>
        <v>3414</v>
      </c>
      <c r="T290" s="100">
        <f t="shared" si="747"/>
        <v>3394</v>
      </c>
      <c r="U290" s="295">
        <f t="shared" si="748"/>
        <v>3394</v>
      </c>
      <c r="V290" s="100">
        <f t="shared" si="749"/>
        <v>3374</v>
      </c>
      <c r="W290" s="295">
        <f t="shared" si="750"/>
        <v>3374</v>
      </c>
      <c r="X290" s="471"/>
      <c r="Y290" s="469"/>
      <c r="Z290" s="469"/>
      <c r="AA290" s="470"/>
      <c r="AB290" s="190">
        <v>1026</v>
      </c>
      <c r="AC290" s="4"/>
      <c r="AD290" s="4"/>
      <c r="AE290" s="4"/>
      <c r="AF290" s="4"/>
      <c r="AG290" s="4"/>
      <c r="AH290" s="472"/>
      <c r="AI290" s="4"/>
      <c r="AJ290" s="4"/>
      <c r="AK290" s="4"/>
      <c r="AL290" s="4"/>
    </row>
    <row r="291" spans="1:38" s="1" customFormat="1" ht="12.6" customHeight="1" x14ac:dyDescent="0.2">
      <c r="A291" s="19"/>
      <c r="B291" s="664" t="s">
        <v>576</v>
      </c>
      <c r="C291" s="680"/>
      <c r="D291" s="680"/>
      <c r="E291" s="681"/>
      <c r="F291" s="506">
        <f>14.4*X2</f>
        <v>15667.2</v>
      </c>
      <c r="G291" s="281">
        <f t="shared" ref="G291:G293" si="751">+F291*$X$1</f>
        <v>15667.2</v>
      </c>
      <c r="H291" s="70">
        <f>F291+650</f>
        <v>16317.2</v>
      </c>
      <c r="I291" s="279">
        <f>+H291*$X$1</f>
        <v>16317.2</v>
      </c>
      <c r="J291" s="610">
        <f>F291+280</f>
        <v>15947.2</v>
      </c>
      <c r="K291" s="279">
        <f>+J291*$X$1</f>
        <v>15947.2</v>
      </c>
      <c r="L291" s="610">
        <f>F291+230</f>
        <v>15897.2</v>
      </c>
      <c r="M291" s="279">
        <f t="shared" si="740"/>
        <v>15897.2</v>
      </c>
      <c r="N291" s="610">
        <f>F291+190</f>
        <v>15857.2</v>
      </c>
      <c r="O291" s="279">
        <f t="shared" si="742"/>
        <v>15857.2</v>
      </c>
      <c r="P291" s="610">
        <f>F291+160</f>
        <v>15827.2</v>
      </c>
      <c r="Q291" s="279">
        <f t="shared" si="744"/>
        <v>15827.2</v>
      </c>
      <c r="R291" s="610">
        <f>F291+130</f>
        <v>15797.2</v>
      </c>
      <c r="S291" s="279">
        <f t="shared" si="746"/>
        <v>15797.2</v>
      </c>
      <c r="T291" s="610">
        <f>F291+110</f>
        <v>15777.2</v>
      </c>
      <c r="U291" s="279">
        <f t="shared" si="748"/>
        <v>15777.2</v>
      </c>
      <c r="V291" s="610">
        <f>F291+90</f>
        <v>15757.2</v>
      </c>
      <c r="W291" s="279">
        <f t="shared" si="750"/>
        <v>15757.2</v>
      </c>
      <c r="X291" s="325"/>
      <c r="Y291" s="326"/>
      <c r="Z291" s="326"/>
      <c r="AA291" s="327"/>
      <c r="AB291" s="190">
        <v>1028</v>
      </c>
      <c r="AC291" s="4"/>
      <c r="AD291" s="4"/>
      <c r="AE291" s="4"/>
      <c r="AF291" s="4"/>
      <c r="AG291" s="4"/>
      <c r="AH291" s="126"/>
      <c r="AI291" s="4"/>
      <c r="AJ291" s="4"/>
      <c r="AK291" s="4"/>
      <c r="AL291" s="4"/>
    </row>
    <row r="292" spans="1:38" s="1" customFormat="1" ht="12.6" customHeight="1" x14ac:dyDescent="0.2">
      <c r="A292" s="19"/>
      <c r="B292" s="661" t="s">
        <v>835</v>
      </c>
      <c r="C292" s="694"/>
      <c r="D292" s="694"/>
      <c r="E292" s="695"/>
      <c r="F292" s="319">
        <v>3300</v>
      </c>
      <c r="G292" s="280">
        <f t="shared" ref="G292" si="752">+F292*$X$1</f>
        <v>3300</v>
      </c>
      <c r="H292" s="441"/>
      <c r="I292" s="280"/>
      <c r="J292" s="441"/>
      <c r="K292" s="280"/>
      <c r="L292" s="441">
        <f t="shared" ref="L292:L294" si="753">F292+230</f>
        <v>3530</v>
      </c>
      <c r="M292" s="280">
        <f t="shared" ref="M292:M295" si="754">+L292*$X$1</f>
        <v>3530</v>
      </c>
      <c r="N292" s="441">
        <f t="shared" ref="N292:N294" si="755">F292+200</f>
        <v>3500</v>
      </c>
      <c r="O292" s="280">
        <f t="shared" ref="O292:O295" si="756">+N292*$X$1</f>
        <v>3500</v>
      </c>
      <c r="P292" s="441">
        <f t="shared" ref="P292:P294" si="757">F292+170</f>
        <v>3470</v>
      </c>
      <c r="Q292" s="280">
        <f t="shared" ref="Q292:Q295" si="758">+P292*$X$1</f>
        <v>3470</v>
      </c>
      <c r="R292" s="441">
        <f t="shared" ref="R292:R294" si="759">F292+150</f>
        <v>3450</v>
      </c>
      <c r="S292" s="280">
        <f t="shared" ref="S292:S295" si="760">+R292*$X$1</f>
        <v>3450</v>
      </c>
      <c r="T292" s="100">
        <f t="shared" ref="T292:T294" si="761">F292+130</f>
        <v>3430</v>
      </c>
      <c r="U292" s="295">
        <f t="shared" ref="U292:U295" si="762">+T292*$X$1</f>
        <v>3430</v>
      </c>
      <c r="V292" s="100">
        <f t="shared" ref="V292:V294" si="763">F292+110</f>
        <v>3410</v>
      </c>
      <c r="W292" s="295">
        <f t="shared" ref="W292:W295" si="764">+V292*$X$1</f>
        <v>3410</v>
      </c>
      <c r="X292" s="477"/>
      <c r="Y292" s="478"/>
      <c r="Z292" s="478"/>
      <c r="AA292" s="479"/>
      <c r="AB292" s="190">
        <v>1029</v>
      </c>
      <c r="AC292" s="4"/>
      <c r="AD292" s="4"/>
      <c r="AE292" s="4"/>
      <c r="AF292" s="4"/>
      <c r="AG292" s="4"/>
      <c r="AH292" s="126"/>
      <c r="AI292" s="4"/>
      <c r="AJ292" s="4"/>
      <c r="AK292" s="4"/>
      <c r="AL292" s="4"/>
    </row>
    <row r="293" spans="1:38" s="1" customFormat="1" ht="12.6" customHeight="1" x14ac:dyDescent="0.2">
      <c r="A293" s="19"/>
      <c r="B293" s="664" t="s">
        <v>574</v>
      </c>
      <c r="C293" s="680"/>
      <c r="D293" s="680"/>
      <c r="E293" s="681"/>
      <c r="F293" s="320">
        <v>3300</v>
      </c>
      <c r="G293" s="279">
        <f t="shared" si="751"/>
        <v>3300</v>
      </c>
      <c r="H293" s="610"/>
      <c r="I293" s="279"/>
      <c r="J293" s="610"/>
      <c r="K293" s="279"/>
      <c r="L293" s="610">
        <f t="shared" si="753"/>
        <v>3530</v>
      </c>
      <c r="M293" s="279">
        <f t="shared" si="754"/>
        <v>3530</v>
      </c>
      <c r="N293" s="610">
        <f t="shared" si="755"/>
        <v>3500</v>
      </c>
      <c r="O293" s="279">
        <f t="shared" si="756"/>
        <v>3500</v>
      </c>
      <c r="P293" s="610">
        <f t="shared" si="757"/>
        <v>3470</v>
      </c>
      <c r="Q293" s="279">
        <f t="shared" si="758"/>
        <v>3470</v>
      </c>
      <c r="R293" s="610">
        <f t="shared" si="759"/>
        <v>3450</v>
      </c>
      <c r="S293" s="279">
        <f t="shared" si="760"/>
        <v>3450</v>
      </c>
      <c r="T293" s="101">
        <f t="shared" si="761"/>
        <v>3430</v>
      </c>
      <c r="U293" s="252">
        <f t="shared" si="762"/>
        <v>3430</v>
      </c>
      <c r="V293" s="101">
        <f t="shared" si="763"/>
        <v>3410</v>
      </c>
      <c r="W293" s="252">
        <f t="shared" si="764"/>
        <v>3410</v>
      </c>
      <c r="X293" s="315"/>
      <c r="Y293" s="313"/>
      <c r="Z293" s="313"/>
      <c r="AA293" s="314"/>
      <c r="AB293" s="190">
        <v>1030</v>
      </c>
      <c r="AC293" s="4"/>
      <c r="AD293" s="4"/>
      <c r="AE293" s="4"/>
      <c r="AF293" s="4"/>
      <c r="AG293" s="4"/>
      <c r="AH293" s="126"/>
      <c r="AI293" s="4"/>
      <c r="AJ293" s="4"/>
      <c r="AK293" s="4"/>
      <c r="AL293" s="4"/>
    </row>
    <row r="294" spans="1:38" s="1" customFormat="1" ht="12.6" customHeight="1" x14ac:dyDescent="0.2">
      <c r="A294" s="19"/>
      <c r="B294" s="661" t="s">
        <v>575</v>
      </c>
      <c r="C294" s="694"/>
      <c r="D294" s="694"/>
      <c r="E294" s="695"/>
      <c r="F294" s="319">
        <v>3300</v>
      </c>
      <c r="G294" s="280">
        <f t="shared" ref="G294:G295" si="765">+F294*$X$1</f>
        <v>3300</v>
      </c>
      <c r="H294" s="441"/>
      <c r="I294" s="280"/>
      <c r="J294" s="441"/>
      <c r="K294" s="280"/>
      <c r="L294" s="441">
        <f t="shared" si="753"/>
        <v>3530</v>
      </c>
      <c r="M294" s="280">
        <f t="shared" si="754"/>
        <v>3530</v>
      </c>
      <c r="N294" s="441">
        <f t="shared" si="755"/>
        <v>3500</v>
      </c>
      <c r="O294" s="280">
        <f t="shared" si="756"/>
        <v>3500</v>
      </c>
      <c r="P294" s="441">
        <f t="shared" si="757"/>
        <v>3470</v>
      </c>
      <c r="Q294" s="280">
        <f t="shared" si="758"/>
        <v>3470</v>
      </c>
      <c r="R294" s="441">
        <f t="shared" si="759"/>
        <v>3450</v>
      </c>
      <c r="S294" s="280">
        <f t="shared" si="760"/>
        <v>3450</v>
      </c>
      <c r="T294" s="100">
        <f t="shared" si="761"/>
        <v>3430</v>
      </c>
      <c r="U294" s="295">
        <f t="shared" si="762"/>
        <v>3430</v>
      </c>
      <c r="V294" s="100">
        <f t="shared" si="763"/>
        <v>3410</v>
      </c>
      <c r="W294" s="295">
        <f t="shared" si="764"/>
        <v>3410</v>
      </c>
      <c r="X294" s="321"/>
      <c r="Y294" s="322"/>
      <c r="Z294" s="322"/>
      <c r="AA294" s="323"/>
      <c r="AB294" s="190">
        <v>1031</v>
      </c>
      <c r="AC294" s="4"/>
      <c r="AD294" s="4"/>
      <c r="AE294" s="4"/>
      <c r="AF294" s="4"/>
      <c r="AG294" s="4"/>
      <c r="AH294" s="126"/>
      <c r="AI294" s="4"/>
      <c r="AJ294" s="4"/>
      <c r="AK294" s="4"/>
      <c r="AL294" s="4"/>
    </row>
    <row r="295" spans="1:38" s="1" customFormat="1" ht="12.6" customHeight="1" x14ac:dyDescent="0.2">
      <c r="A295" s="19"/>
      <c r="B295" s="664" t="s">
        <v>847</v>
      </c>
      <c r="C295" s="680"/>
      <c r="D295" s="680"/>
      <c r="E295" s="681"/>
      <c r="F295" s="365">
        <f>14.82*X2</f>
        <v>16124.16</v>
      </c>
      <c r="G295" s="279">
        <f t="shared" si="765"/>
        <v>16124.16</v>
      </c>
      <c r="H295" s="70">
        <f>F295+600</f>
        <v>16724.16</v>
      </c>
      <c r="I295" s="279">
        <f t="shared" ref="I295:I312" si="766">+H295*$X$1</f>
        <v>16724.16</v>
      </c>
      <c r="J295" s="610">
        <f>F295+260</f>
        <v>16384.16</v>
      </c>
      <c r="K295" s="279">
        <f t="shared" ref="K295:K312" si="767">+J295*$X$1</f>
        <v>16384.16</v>
      </c>
      <c r="L295" s="610">
        <f>F295+220</f>
        <v>16344.16</v>
      </c>
      <c r="M295" s="279">
        <f t="shared" si="754"/>
        <v>16344.16</v>
      </c>
      <c r="N295" s="610">
        <f>F295+180</f>
        <v>16304.16</v>
      </c>
      <c r="O295" s="279">
        <f t="shared" si="756"/>
        <v>16304.16</v>
      </c>
      <c r="P295" s="610">
        <f>F295+150</f>
        <v>16274.16</v>
      </c>
      <c r="Q295" s="279">
        <f t="shared" si="758"/>
        <v>16274.16</v>
      </c>
      <c r="R295" s="610">
        <f>F295+120</f>
        <v>16244.16</v>
      </c>
      <c r="S295" s="279">
        <f t="shared" si="760"/>
        <v>16244.16</v>
      </c>
      <c r="T295" s="610">
        <f>F295+100</f>
        <v>16224.16</v>
      </c>
      <c r="U295" s="279">
        <f t="shared" si="762"/>
        <v>16224.16</v>
      </c>
      <c r="V295" s="610">
        <f>F295+80</f>
        <v>16204.16</v>
      </c>
      <c r="W295" s="279">
        <f t="shared" si="764"/>
        <v>16204.16</v>
      </c>
      <c r="X295" s="246"/>
      <c r="Y295" s="247"/>
      <c r="Z295" s="247"/>
      <c r="AA295" s="248"/>
      <c r="AB295" s="190">
        <v>1032</v>
      </c>
      <c r="AC295" s="4"/>
      <c r="AD295" s="4"/>
      <c r="AE295" s="4"/>
      <c r="AF295" s="4"/>
      <c r="AG295" s="4"/>
      <c r="AH295" s="126"/>
      <c r="AI295" s="4"/>
      <c r="AJ295" s="4"/>
      <c r="AK295" s="4"/>
      <c r="AL295" s="4"/>
    </row>
    <row r="296" spans="1:38" s="1" customFormat="1" ht="12.6" customHeight="1" x14ac:dyDescent="0.2">
      <c r="A296" s="19"/>
      <c r="B296" s="661" t="s">
        <v>456</v>
      </c>
      <c r="C296" s="694"/>
      <c r="D296" s="694"/>
      <c r="E296" s="695"/>
      <c r="F296" s="366">
        <f>20.46*X2</f>
        <v>22260.48</v>
      </c>
      <c r="G296" s="280">
        <f t="shared" ref="G296" si="768">+F296*$X$1</f>
        <v>22260.48</v>
      </c>
      <c r="H296" s="87">
        <f>F296+650</f>
        <v>22910.48</v>
      </c>
      <c r="I296" s="280">
        <f t="shared" si="766"/>
        <v>22910.48</v>
      </c>
      <c r="J296" s="441">
        <f>F296+280</f>
        <v>22540.48</v>
      </c>
      <c r="K296" s="280">
        <f t="shared" si="767"/>
        <v>22540.48</v>
      </c>
      <c r="L296" s="441">
        <f>F296+230</f>
        <v>22490.48</v>
      </c>
      <c r="M296" s="280">
        <f t="shared" ref="M296:M298" si="769">+L296*$X$1</f>
        <v>22490.48</v>
      </c>
      <c r="N296" s="441">
        <f>F296+190</f>
        <v>22450.48</v>
      </c>
      <c r="O296" s="280">
        <f t="shared" ref="O296:O298" si="770">+N296*$X$1</f>
        <v>22450.48</v>
      </c>
      <c r="P296" s="441">
        <f>F296+160</f>
        <v>22420.48</v>
      </c>
      <c r="Q296" s="280">
        <f t="shared" ref="Q296:Q298" si="771">+P296*$X$1</f>
        <v>22420.48</v>
      </c>
      <c r="R296" s="441">
        <f>F296+130</f>
        <v>22390.48</v>
      </c>
      <c r="S296" s="280">
        <f t="shared" ref="S296:S298" si="772">+R296*$X$1</f>
        <v>22390.48</v>
      </c>
      <c r="T296" s="441">
        <f>F296+110</f>
        <v>22370.48</v>
      </c>
      <c r="U296" s="280">
        <f t="shared" ref="U296:U298" si="773">+T296*$X$1</f>
        <v>22370.48</v>
      </c>
      <c r="V296" s="441">
        <f>F296+90</f>
        <v>22350.48</v>
      </c>
      <c r="W296" s="280">
        <f t="shared" ref="W296:W298" si="774">+V296*$X$1</f>
        <v>22350.48</v>
      </c>
      <c r="X296" s="239"/>
      <c r="Y296" s="241"/>
      <c r="Z296" s="241"/>
      <c r="AA296" s="240"/>
      <c r="AB296" s="190">
        <v>1034</v>
      </c>
      <c r="AC296" s="4"/>
      <c r="AD296" s="4"/>
      <c r="AE296" s="4"/>
      <c r="AF296" s="4"/>
      <c r="AG296" s="4"/>
      <c r="AH296" s="126"/>
      <c r="AI296" s="4"/>
      <c r="AJ296" s="4"/>
      <c r="AK296" s="4"/>
      <c r="AL296" s="4"/>
    </row>
    <row r="297" spans="1:38" ht="12.6" customHeight="1" x14ac:dyDescent="0.2">
      <c r="A297" s="18"/>
      <c r="B297" s="659" t="s">
        <v>418</v>
      </c>
      <c r="C297" s="660"/>
      <c r="D297" s="660"/>
      <c r="E297" s="660"/>
      <c r="F297" s="320">
        <v>13615</v>
      </c>
      <c r="G297" s="279">
        <f>+F297*$X$1</f>
        <v>13615</v>
      </c>
      <c r="H297" s="70">
        <f>F297+600</f>
        <v>14215</v>
      </c>
      <c r="I297" s="279">
        <f t="shared" si="766"/>
        <v>14215</v>
      </c>
      <c r="J297" s="610">
        <f>F297+260</f>
        <v>13875</v>
      </c>
      <c r="K297" s="279">
        <f t="shared" si="767"/>
        <v>13875</v>
      </c>
      <c r="L297" s="610">
        <f>F297+220</f>
        <v>13835</v>
      </c>
      <c r="M297" s="279">
        <f t="shared" si="769"/>
        <v>13835</v>
      </c>
      <c r="N297" s="610">
        <f>F297+180</f>
        <v>13795</v>
      </c>
      <c r="O297" s="279">
        <f t="shared" si="770"/>
        <v>13795</v>
      </c>
      <c r="P297" s="610">
        <f>F297+150</f>
        <v>13765</v>
      </c>
      <c r="Q297" s="279">
        <f t="shared" si="771"/>
        <v>13765</v>
      </c>
      <c r="R297" s="610">
        <f>F297+120</f>
        <v>13735</v>
      </c>
      <c r="S297" s="279">
        <f t="shared" si="772"/>
        <v>13735</v>
      </c>
      <c r="T297" s="610">
        <f>F297+100</f>
        <v>13715</v>
      </c>
      <c r="U297" s="279">
        <f t="shared" si="773"/>
        <v>13715</v>
      </c>
      <c r="V297" s="610">
        <f>F297+80</f>
        <v>13695</v>
      </c>
      <c r="W297" s="279">
        <f t="shared" si="774"/>
        <v>13695</v>
      </c>
      <c r="X297" s="687"/>
      <c r="Y297" s="688"/>
      <c r="Z297" s="688"/>
      <c r="AA297" s="689"/>
      <c r="AB297" s="190">
        <v>1040</v>
      </c>
      <c r="AC297" s="63"/>
    </row>
    <row r="298" spans="1:38" ht="12.6" customHeight="1" x14ac:dyDescent="0.2">
      <c r="A298" s="18"/>
      <c r="B298" s="647" t="s">
        <v>754</v>
      </c>
      <c r="C298" s="648"/>
      <c r="D298" s="648"/>
      <c r="E298" s="648"/>
      <c r="F298" s="366">
        <f>21.3*X2</f>
        <v>23174.400000000001</v>
      </c>
      <c r="G298" s="280">
        <f>+F298*$X$1</f>
        <v>23174.400000000001</v>
      </c>
      <c r="H298" s="87">
        <f>F298+600</f>
        <v>23774.400000000001</v>
      </c>
      <c r="I298" s="280">
        <f t="shared" si="766"/>
        <v>23774.400000000001</v>
      </c>
      <c r="J298" s="441">
        <f>F298+260</f>
        <v>23434.400000000001</v>
      </c>
      <c r="K298" s="280">
        <f t="shared" si="767"/>
        <v>23434.400000000001</v>
      </c>
      <c r="L298" s="441">
        <f>F298+220</f>
        <v>23394.400000000001</v>
      </c>
      <c r="M298" s="280">
        <f t="shared" si="769"/>
        <v>23394.400000000001</v>
      </c>
      <c r="N298" s="441">
        <f>F298+180</f>
        <v>23354.400000000001</v>
      </c>
      <c r="O298" s="280">
        <f t="shared" si="770"/>
        <v>23354.400000000001</v>
      </c>
      <c r="P298" s="441">
        <f>F298+150</f>
        <v>23324.400000000001</v>
      </c>
      <c r="Q298" s="280">
        <f t="shared" si="771"/>
        <v>23324.400000000001</v>
      </c>
      <c r="R298" s="441">
        <f>F298+120</f>
        <v>23294.400000000001</v>
      </c>
      <c r="S298" s="280">
        <f t="shared" si="772"/>
        <v>23294.400000000001</v>
      </c>
      <c r="T298" s="441">
        <f>F298+100</f>
        <v>23274.400000000001</v>
      </c>
      <c r="U298" s="280">
        <f t="shared" si="773"/>
        <v>23274.400000000001</v>
      </c>
      <c r="V298" s="441">
        <f>F298+80</f>
        <v>23254.400000000001</v>
      </c>
      <c r="W298" s="280">
        <f t="shared" si="774"/>
        <v>23254.400000000001</v>
      </c>
      <c r="X298" s="687"/>
      <c r="Y298" s="688"/>
      <c r="Z298" s="688"/>
      <c r="AA298" s="689"/>
      <c r="AB298" s="190">
        <v>1041</v>
      </c>
      <c r="AC298" s="63"/>
    </row>
    <row r="299" spans="1:38" ht="12.6" customHeight="1" x14ac:dyDescent="0.2">
      <c r="A299" s="18"/>
      <c r="B299" s="659" t="s">
        <v>753</v>
      </c>
      <c r="C299" s="660"/>
      <c r="D299" s="660"/>
      <c r="E299" s="660"/>
      <c r="F299" s="365">
        <f>14.8*X2</f>
        <v>16102.400000000001</v>
      </c>
      <c r="G299" s="279">
        <f t="shared" ref="G299" si="775">+F299*$X$1</f>
        <v>16102.400000000001</v>
      </c>
      <c r="H299" s="70">
        <f>F299+650</f>
        <v>16752.400000000001</v>
      </c>
      <c r="I299" s="279">
        <f t="shared" si="766"/>
        <v>16752.400000000001</v>
      </c>
      <c r="J299" s="610">
        <f>F299+280</f>
        <v>16382.400000000001</v>
      </c>
      <c r="K299" s="279">
        <f t="shared" si="767"/>
        <v>16382.400000000001</v>
      </c>
      <c r="L299" s="610">
        <f>F299+230</f>
        <v>16332.400000000001</v>
      </c>
      <c r="M299" s="279">
        <f t="shared" ref="M299:M313" si="776">+L299*$X$1</f>
        <v>16332.400000000001</v>
      </c>
      <c r="N299" s="610">
        <f>F299+190</f>
        <v>16292.400000000001</v>
      </c>
      <c r="O299" s="279">
        <f t="shared" ref="O299:O313" si="777">+N299*$X$1</f>
        <v>16292.400000000001</v>
      </c>
      <c r="P299" s="610">
        <f>F299+160</f>
        <v>16262.400000000001</v>
      </c>
      <c r="Q299" s="279">
        <f t="shared" ref="Q299:Q313" si="778">+P299*$X$1</f>
        <v>16262.400000000001</v>
      </c>
      <c r="R299" s="610">
        <f>F299+130</f>
        <v>16232.400000000001</v>
      </c>
      <c r="S299" s="279">
        <f t="shared" ref="S299:S313" si="779">+R299*$X$1</f>
        <v>16232.400000000001</v>
      </c>
      <c r="T299" s="610">
        <f>F299+110</f>
        <v>16212.400000000001</v>
      </c>
      <c r="U299" s="279">
        <f t="shared" ref="U299:U313" si="780">+T299*$X$1</f>
        <v>16212.400000000001</v>
      </c>
      <c r="V299" s="610">
        <f>F299+90</f>
        <v>16192.400000000001</v>
      </c>
      <c r="W299" s="279">
        <f t="shared" ref="W299:W313" si="781">+V299*$X$1</f>
        <v>16192.400000000001</v>
      </c>
      <c r="X299" s="687"/>
      <c r="Y299" s="688"/>
      <c r="Z299" s="688"/>
      <c r="AA299" s="689"/>
      <c r="AB299" s="190">
        <v>1042</v>
      </c>
    </row>
    <row r="300" spans="1:38" ht="12.6" customHeight="1" x14ac:dyDescent="0.2">
      <c r="A300" s="18"/>
      <c r="B300" s="647" t="s">
        <v>505</v>
      </c>
      <c r="C300" s="648"/>
      <c r="D300" s="648"/>
      <c r="E300" s="648"/>
      <c r="F300" s="319">
        <v>19627</v>
      </c>
      <c r="G300" s="280">
        <f t="shared" ref="G300:G308" si="782">+F300*$X$1</f>
        <v>19627</v>
      </c>
      <c r="H300" s="87">
        <f t="shared" ref="H300:H312" si="783">F300+600</f>
        <v>20227</v>
      </c>
      <c r="I300" s="280">
        <f t="shared" si="766"/>
        <v>20227</v>
      </c>
      <c r="J300" s="441">
        <f t="shared" ref="J300:J312" si="784">F300+260</f>
        <v>19887</v>
      </c>
      <c r="K300" s="280">
        <f t="shared" si="767"/>
        <v>19887</v>
      </c>
      <c r="L300" s="441">
        <f t="shared" ref="L300:L312" si="785">F300+220</f>
        <v>19847</v>
      </c>
      <c r="M300" s="280">
        <f t="shared" si="776"/>
        <v>19847</v>
      </c>
      <c r="N300" s="441">
        <f t="shared" ref="N300:N312" si="786">F300+180</f>
        <v>19807</v>
      </c>
      <c r="O300" s="280">
        <f t="shared" si="777"/>
        <v>19807</v>
      </c>
      <c r="P300" s="441">
        <f t="shared" ref="P300:P312" si="787">F300+150</f>
        <v>19777</v>
      </c>
      <c r="Q300" s="280">
        <f t="shared" si="778"/>
        <v>19777</v>
      </c>
      <c r="R300" s="441">
        <f t="shared" ref="R300:R312" si="788">F300+120</f>
        <v>19747</v>
      </c>
      <c r="S300" s="280">
        <f t="shared" si="779"/>
        <v>19747</v>
      </c>
      <c r="T300" s="441">
        <f t="shared" ref="T300:T312" si="789">F300+100</f>
        <v>19727</v>
      </c>
      <c r="U300" s="280">
        <f t="shared" si="780"/>
        <v>19727</v>
      </c>
      <c r="V300" s="441">
        <f t="shared" ref="V300:V312" si="790">F300+80</f>
        <v>19707</v>
      </c>
      <c r="W300" s="280">
        <f t="shared" si="781"/>
        <v>19707</v>
      </c>
      <c r="X300" s="687"/>
      <c r="Y300" s="688"/>
      <c r="Z300" s="688"/>
      <c r="AA300" s="689"/>
      <c r="AB300" s="190">
        <v>1043</v>
      </c>
      <c r="AC300" s="63"/>
    </row>
    <row r="301" spans="1:38" ht="12.6" customHeight="1" x14ac:dyDescent="0.2">
      <c r="A301" s="18"/>
      <c r="B301" s="659" t="s">
        <v>506</v>
      </c>
      <c r="C301" s="660"/>
      <c r="D301" s="660"/>
      <c r="E301" s="660"/>
      <c r="F301" s="320">
        <v>22700</v>
      </c>
      <c r="G301" s="279">
        <f t="shared" si="782"/>
        <v>22700</v>
      </c>
      <c r="H301" s="70">
        <f t="shared" si="783"/>
        <v>23300</v>
      </c>
      <c r="I301" s="279">
        <f t="shared" si="766"/>
        <v>23300</v>
      </c>
      <c r="J301" s="610">
        <f t="shared" si="784"/>
        <v>22960</v>
      </c>
      <c r="K301" s="279">
        <f t="shared" si="767"/>
        <v>22960</v>
      </c>
      <c r="L301" s="610">
        <f t="shared" si="785"/>
        <v>22920</v>
      </c>
      <c r="M301" s="279">
        <f t="shared" si="776"/>
        <v>22920</v>
      </c>
      <c r="N301" s="610">
        <f t="shared" si="786"/>
        <v>22880</v>
      </c>
      <c r="O301" s="279">
        <f t="shared" si="777"/>
        <v>22880</v>
      </c>
      <c r="P301" s="610">
        <f t="shared" si="787"/>
        <v>22850</v>
      </c>
      <c r="Q301" s="279">
        <f t="shared" si="778"/>
        <v>22850</v>
      </c>
      <c r="R301" s="610">
        <f t="shared" si="788"/>
        <v>22820</v>
      </c>
      <c r="S301" s="279">
        <f t="shared" si="779"/>
        <v>22820</v>
      </c>
      <c r="T301" s="610">
        <f t="shared" si="789"/>
        <v>22800</v>
      </c>
      <c r="U301" s="279">
        <f t="shared" si="780"/>
        <v>22800</v>
      </c>
      <c r="V301" s="610">
        <f t="shared" si="790"/>
        <v>22780</v>
      </c>
      <c r="W301" s="279">
        <f t="shared" si="781"/>
        <v>22780</v>
      </c>
      <c r="X301" s="687"/>
      <c r="Y301" s="688"/>
      <c r="Z301" s="688"/>
      <c r="AA301" s="689"/>
      <c r="AB301" s="190">
        <v>1044</v>
      </c>
      <c r="AC301" s="63"/>
    </row>
    <row r="302" spans="1:38" ht="12.6" customHeight="1" x14ac:dyDescent="0.2">
      <c r="A302" s="18"/>
      <c r="B302" s="647" t="s">
        <v>791</v>
      </c>
      <c r="C302" s="648"/>
      <c r="D302" s="648"/>
      <c r="E302" s="648"/>
      <c r="F302" s="319">
        <v>24164</v>
      </c>
      <c r="G302" s="280">
        <f>+F302*$X$1</f>
        <v>24164</v>
      </c>
      <c r="H302" s="87">
        <f t="shared" si="783"/>
        <v>24764</v>
      </c>
      <c r="I302" s="280">
        <f t="shared" si="766"/>
        <v>24764</v>
      </c>
      <c r="J302" s="441">
        <f t="shared" si="784"/>
        <v>24424</v>
      </c>
      <c r="K302" s="280">
        <f t="shared" si="767"/>
        <v>24424</v>
      </c>
      <c r="L302" s="441">
        <f t="shared" si="785"/>
        <v>24384</v>
      </c>
      <c r="M302" s="280">
        <f t="shared" si="776"/>
        <v>24384</v>
      </c>
      <c r="N302" s="441">
        <f t="shared" si="786"/>
        <v>24344</v>
      </c>
      <c r="O302" s="280">
        <f t="shared" si="777"/>
        <v>24344</v>
      </c>
      <c r="P302" s="441">
        <f t="shared" si="787"/>
        <v>24314</v>
      </c>
      <c r="Q302" s="280">
        <f t="shared" si="778"/>
        <v>24314</v>
      </c>
      <c r="R302" s="441">
        <f t="shared" si="788"/>
        <v>24284</v>
      </c>
      <c r="S302" s="280">
        <f t="shared" si="779"/>
        <v>24284</v>
      </c>
      <c r="T302" s="441">
        <f t="shared" si="789"/>
        <v>24264</v>
      </c>
      <c r="U302" s="280">
        <f t="shared" si="780"/>
        <v>24264</v>
      </c>
      <c r="V302" s="441">
        <f t="shared" si="790"/>
        <v>24244</v>
      </c>
      <c r="W302" s="280">
        <f t="shared" si="781"/>
        <v>24244</v>
      </c>
      <c r="X302" s="688"/>
      <c r="Y302" s="688"/>
      <c r="Z302" s="688"/>
      <c r="AA302" s="689"/>
      <c r="AB302" s="190">
        <v>1045</v>
      </c>
      <c r="AC302" s="63"/>
    </row>
    <row r="303" spans="1:38" ht="12.6" customHeight="1" x14ac:dyDescent="0.2">
      <c r="A303" s="18"/>
      <c r="B303" s="659" t="s">
        <v>949</v>
      </c>
      <c r="C303" s="660"/>
      <c r="D303" s="660"/>
      <c r="E303" s="660"/>
      <c r="F303" s="320">
        <v>21495</v>
      </c>
      <c r="G303" s="279">
        <f>+F303*$X$1</f>
        <v>21495</v>
      </c>
      <c r="H303" s="70">
        <f t="shared" si="783"/>
        <v>22095</v>
      </c>
      <c r="I303" s="279">
        <f t="shared" si="766"/>
        <v>22095</v>
      </c>
      <c r="J303" s="610">
        <f t="shared" si="784"/>
        <v>21755</v>
      </c>
      <c r="K303" s="279">
        <f t="shared" si="767"/>
        <v>21755</v>
      </c>
      <c r="L303" s="610">
        <f t="shared" si="785"/>
        <v>21715</v>
      </c>
      <c r="M303" s="279">
        <f t="shared" si="776"/>
        <v>21715</v>
      </c>
      <c r="N303" s="610">
        <f t="shared" si="786"/>
        <v>21675</v>
      </c>
      <c r="O303" s="279">
        <f t="shared" si="777"/>
        <v>21675</v>
      </c>
      <c r="P303" s="610">
        <f t="shared" si="787"/>
        <v>21645</v>
      </c>
      <c r="Q303" s="279">
        <f t="shared" si="778"/>
        <v>21645</v>
      </c>
      <c r="R303" s="610">
        <f t="shared" si="788"/>
        <v>21615</v>
      </c>
      <c r="S303" s="279">
        <f t="shared" si="779"/>
        <v>21615</v>
      </c>
      <c r="T303" s="610">
        <f t="shared" si="789"/>
        <v>21595</v>
      </c>
      <c r="U303" s="279">
        <f t="shared" si="780"/>
        <v>21595</v>
      </c>
      <c r="V303" s="610">
        <f t="shared" si="790"/>
        <v>21575</v>
      </c>
      <c r="W303" s="279">
        <f t="shared" si="781"/>
        <v>21575</v>
      </c>
      <c r="X303" s="688"/>
      <c r="Y303" s="688"/>
      <c r="Z303" s="688"/>
      <c r="AA303" s="689"/>
      <c r="AB303" s="190">
        <v>1046</v>
      </c>
      <c r="AC303" s="63"/>
    </row>
    <row r="304" spans="1:38" ht="12.6" customHeight="1" x14ac:dyDescent="0.2">
      <c r="A304" s="18"/>
      <c r="B304" s="647" t="s">
        <v>538</v>
      </c>
      <c r="C304" s="648"/>
      <c r="D304" s="648"/>
      <c r="E304" s="648"/>
      <c r="F304" s="319">
        <v>12490</v>
      </c>
      <c r="G304" s="280">
        <f t="shared" si="782"/>
        <v>12490</v>
      </c>
      <c r="H304" s="87">
        <f t="shared" si="783"/>
        <v>13090</v>
      </c>
      <c r="I304" s="280">
        <f t="shared" si="766"/>
        <v>13090</v>
      </c>
      <c r="J304" s="441">
        <f t="shared" si="784"/>
        <v>12750</v>
      </c>
      <c r="K304" s="280">
        <f t="shared" si="767"/>
        <v>12750</v>
      </c>
      <c r="L304" s="441">
        <f t="shared" si="785"/>
        <v>12710</v>
      </c>
      <c r="M304" s="280">
        <f t="shared" si="776"/>
        <v>12710</v>
      </c>
      <c r="N304" s="441">
        <f t="shared" si="786"/>
        <v>12670</v>
      </c>
      <c r="O304" s="280">
        <f t="shared" si="777"/>
        <v>12670</v>
      </c>
      <c r="P304" s="441">
        <f t="shared" si="787"/>
        <v>12640</v>
      </c>
      <c r="Q304" s="280">
        <f t="shared" si="778"/>
        <v>12640</v>
      </c>
      <c r="R304" s="441">
        <f t="shared" si="788"/>
        <v>12610</v>
      </c>
      <c r="S304" s="280">
        <f t="shared" si="779"/>
        <v>12610</v>
      </c>
      <c r="T304" s="441">
        <f t="shared" si="789"/>
        <v>12590</v>
      </c>
      <c r="U304" s="280">
        <f t="shared" si="780"/>
        <v>12590</v>
      </c>
      <c r="V304" s="441">
        <f t="shared" si="790"/>
        <v>12570</v>
      </c>
      <c r="W304" s="280">
        <f t="shared" si="781"/>
        <v>12570</v>
      </c>
      <c r="X304" s="687"/>
      <c r="Y304" s="688"/>
      <c r="Z304" s="688"/>
      <c r="AA304" s="689"/>
      <c r="AB304" s="190">
        <v>1048</v>
      </c>
      <c r="AC304" s="63"/>
    </row>
    <row r="305" spans="1:34" ht="12.6" customHeight="1" x14ac:dyDescent="0.2">
      <c r="A305" s="18"/>
      <c r="B305" s="659" t="s">
        <v>537</v>
      </c>
      <c r="C305" s="660"/>
      <c r="D305" s="660"/>
      <c r="E305" s="660"/>
      <c r="F305" s="320">
        <v>9780</v>
      </c>
      <c r="G305" s="279">
        <f t="shared" si="782"/>
        <v>9780</v>
      </c>
      <c r="H305" s="70">
        <f t="shared" si="783"/>
        <v>10380</v>
      </c>
      <c r="I305" s="279">
        <f t="shared" si="766"/>
        <v>10380</v>
      </c>
      <c r="J305" s="610">
        <f t="shared" si="784"/>
        <v>10040</v>
      </c>
      <c r="K305" s="279">
        <f t="shared" si="767"/>
        <v>10040</v>
      </c>
      <c r="L305" s="610">
        <f t="shared" si="785"/>
        <v>10000</v>
      </c>
      <c r="M305" s="279">
        <f t="shared" si="776"/>
        <v>10000</v>
      </c>
      <c r="N305" s="610">
        <f t="shared" si="786"/>
        <v>9960</v>
      </c>
      <c r="O305" s="279">
        <f t="shared" si="777"/>
        <v>9960</v>
      </c>
      <c r="P305" s="610">
        <f t="shared" si="787"/>
        <v>9930</v>
      </c>
      <c r="Q305" s="279">
        <f t="shared" si="778"/>
        <v>9930</v>
      </c>
      <c r="R305" s="610">
        <f t="shared" si="788"/>
        <v>9900</v>
      </c>
      <c r="S305" s="279">
        <f t="shared" si="779"/>
        <v>9900</v>
      </c>
      <c r="T305" s="610">
        <f t="shared" si="789"/>
        <v>9880</v>
      </c>
      <c r="U305" s="279">
        <f t="shared" si="780"/>
        <v>9880</v>
      </c>
      <c r="V305" s="610">
        <f t="shared" si="790"/>
        <v>9860</v>
      </c>
      <c r="W305" s="279">
        <f t="shared" si="781"/>
        <v>9860</v>
      </c>
      <c r="X305" s="687"/>
      <c r="Y305" s="688"/>
      <c r="Z305" s="688"/>
      <c r="AA305" s="689"/>
      <c r="AB305" s="190">
        <v>1049</v>
      </c>
      <c r="AC305" s="63"/>
    </row>
    <row r="306" spans="1:34" ht="12.6" customHeight="1" x14ac:dyDescent="0.2">
      <c r="A306" s="18"/>
      <c r="B306" s="647" t="s">
        <v>539</v>
      </c>
      <c r="C306" s="648"/>
      <c r="D306" s="648"/>
      <c r="E306" s="648"/>
      <c r="F306" s="319">
        <v>11225</v>
      </c>
      <c r="G306" s="280">
        <f t="shared" si="782"/>
        <v>11225</v>
      </c>
      <c r="H306" s="87">
        <f t="shared" si="783"/>
        <v>11825</v>
      </c>
      <c r="I306" s="280">
        <f t="shared" si="766"/>
        <v>11825</v>
      </c>
      <c r="J306" s="441">
        <f t="shared" si="784"/>
        <v>11485</v>
      </c>
      <c r="K306" s="280">
        <f t="shared" si="767"/>
        <v>11485</v>
      </c>
      <c r="L306" s="441">
        <f t="shared" si="785"/>
        <v>11445</v>
      </c>
      <c r="M306" s="280">
        <f t="shared" si="776"/>
        <v>11445</v>
      </c>
      <c r="N306" s="441">
        <f t="shared" si="786"/>
        <v>11405</v>
      </c>
      <c r="O306" s="280">
        <f t="shared" si="777"/>
        <v>11405</v>
      </c>
      <c r="P306" s="441">
        <f t="shared" si="787"/>
        <v>11375</v>
      </c>
      <c r="Q306" s="280">
        <f t="shared" si="778"/>
        <v>11375</v>
      </c>
      <c r="R306" s="441">
        <f t="shared" si="788"/>
        <v>11345</v>
      </c>
      <c r="S306" s="280">
        <f t="shared" si="779"/>
        <v>11345</v>
      </c>
      <c r="T306" s="441">
        <f t="shared" si="789"/>
        <v>11325</v>
      </c>
      <c r="U306" s="280">
        <f t="shared" si="780"/>
        <v>11325</v>
      </c>
      <c r="V306" s="441">
        <f t="shared" si="790"/>
        <v>11305</v>
      </c>
      <c r="W306" s="280">
        <f t="shared" si="781"/>
        <v>11305</v>
      </c>
      <c r="X306" s="687"/>
      <c r="Y306" s="688"/>
      <c r="Z306" s="688"/>
      <c r="AA306" s="689"/>
      <c r="AB306" s="190">
        <v>1050</v>
      </c>
      <c r="AC306" s="63"/>
    </row>
    <row r="307" spans="1:34" ht="12.6" customHeight="1" x14ac:dyDescent="0.2">
      <c r="A307" s="18"/>
      <c r="B307" s="664" t="s">
        <v>792</v>
      </c>
      <c r="C307" s="708"/>
      <c r="D307" s="708"/>
      <c r="E307" s="709"/>
      <c r="F307" s="365">
        <f>12.3*X2</f>
        <v>13382.400000000001</v>
      </c>
      <c r="G307" s="279">
        <f t="shared" ref="G307" si="791">+F307*$X$1</f>
        <v>13382.400000000001</v>
      </c>
      <c r="H307" s="70">
        <f t="shared" si="783"/>
        <v>13982.400000000001</v>
      </c>
      <c r="I307" s="279">
        <f t="shared" si="766"/>
        <v>13982.400000000001</v>
      </c>
      <c r="J307" s="610">
        <f t="shared" si="784"/>
        <v>13642.400000000001</v>
      </c>
      <c r="K307" s="279">
        <f t="shared" si="767"/>
        <v>13642.400000000001</v>
      </c>
      <c r="L307" s="610">
        <f t="shared" si="785"/>
        <v>13602.400000000001</v>
      </c>
      <c r="M307" s="279">
        <f t="shared" si="776"/>
        <v>13602.400000000001</v>
      </c>
      <c r="N307" s="610">
        <f t="shared" si="786"/>
        <v>13562.400000000001</v>
      </c>
      <c r="O307" s="279">
        <f t="shared" si="777"/>
        <v>13562.400000000001</v>
      </c>
      <c r="P307" s="610">
        <f t="shared" si="787"/>
        <v>13532.400000000001</v>
      </c>
      <c r="Q307" s="279">
        <f t="shared" si="778"/>
        <v>13532.400000000001</v>
      </c>
      <c r="R307" s="610">
        <f t="shared" si="788"/>
        <v>13502.400000000001</v>
      </c>
      <c r="S307" s="279">
        <f t="shared" si="779"/>
        <v>13502.400000000001</v>
      </c>
      <c r="T307" s="610">
        <f t="shared" si="789"/>
        <v>13482.400000000001</v>
      </c>
      <c r="U307" s="279">
        <f t="shared" si="780"/>
        <v>13482.400000000001</v>
      </c>
      <c r="V307" s="610">
        <f t="shared" si="790"/>
        <v>13462.400000000001</v>
      </c>
      <c r="W307" s="279">
        <f t="shared" si="781"/>
        <v>13462.400000000001</v>
      </c>
      <c r="X307" s="687"/>
      <c r="Y307" s="688"/>
      <c r="Z307" s="688"/>
      <c r="AA307" s="689"/>
      <c r="AB307" s="190">
        <v>1052</v>
      </c>
      <c r="AC307" s="63"/>
    </row>
    <row r="308" spans="1:34" ht="12.6" customHeight="1" x14ac:dyDescent="0.2">
      <c r="A308" s="18"/>
      <c r="B308" s="661" t="s">
        <v>448</v>
      </c>
      <c r="C308" s="662"/>
      <c r="D308" s="662"/>
      <c r="E308" s="663"/>
      <c r="F308" s="366">
        <f>31.583*X2</f>
        <v>34362.303999999996</v>
      </c>
      <c r="G308" s="280">
        <f t="shared" si="782"/>
        <v>34362.303999999996</v>
      </c>
      <c r="H308" s="87">
        <f t="shared" si="783"/>
        <v>34962.303999999996</v>
      </c>
      <c r="I308" s="280">
        <f t="shared" si="766"/>
        <v>34962.303999999996</v>
      </c>
      <c r="J308" s="441">
        <f t="shared" si="784"/>
        <v>34622.303999999996</v>
      </c>
      <c r="K308" s="280">
        <f t="shared" si="767"/>
        <v>34622.303999999996</v>
      </c>
      <c r="L308" s="441">
        <f t="shared" si="785"/>
        <v>34582.303999999996</v>
      </c>
      <c r="M308" s="280">
        <f t="shared" si="776"/>
        <v>34582.303999999996</v>
      </c>
      <c r="N308" s="441">
        <f t="shared" si="786"/>
        <v>34542.303999999996</v>
      </c>
      <c r="O308" s="280">
        <f t="shared" si="777"/>
        <v>34542.303999999996</v>
      </c>
      <c r="P308" s="441">
        <f t="shared" si="787"/>
        <v>34512.303999999996</v>
      </c>
      <c r="Q308" s="280">
        <f t="shared" si="778"/>
        <v>34512.303999999996</v>
      </c>
      <c r="R308" s="441">
        <f t="shared" si="788"/>
        <v>34482.303999999996</v>
      </c>
      <c r="S308" s="280">
        <f t="shared" si="779"/>
        <v>34482.303999999996</v>
      </c>
      <c r="T308" s="441">
        <f t="shared" si="789"/>
        <v>34462.303999999996</v>
      </c>
      <c r="U308" s="280">
        <f t="shared" si="780"/>
        <v>34462.303999999996</v>
      </c>
      <c r="V308" s="441">
        <f t="shared" si="790"/>
        <v>34442.303999999996</v>
      </c>
      <c r="W308" s="280">
        <f t="shared" si="781"/>
        <v>34442.303999999996</v>
      </c>
      <c r="X308" s="687"/>
      <c r="Y308" s="688"/>
      <c r="Z308" s="688"/>
      <c r="AA308" s="689"/>
      <c r="AB308" s="190">
        <v>1053</v>
      </c>
      <c r="AC308" s="63"/>
    </row>
    <row r="309" spans="1:34" ht="12.6" customHeight="1" x14ac:dyDescent="0.2">
      <c r="A309" s="18"/>
      <c r="B309" s="664" t="s">
        <v>853</v>
      </c>
      <c r="C309" s="708"/>
      <c r="D309" s="708"/>
      <c r="E309" s="709"/>
      <c r="F309" s="365">
        <f>10.6*X2</f>
        <v>11532.8</v>
      </c>
      <c r="G309" s="279">
        <f t="shared" ref="G309" si="792">+F309*$X$1</f>
        <v>11532.8</v>
      </c>
      <c r="H309" s="70">
        <f t="shared" si="783"/>
        <v>12132.8</v>
      </c>
      <c r="I309" s="279">
        <f t="shared" si="766"/>
        <v>12132.8</v>
      </c>
      <c r="J309" s="610">
        <f t="shared" si="784"/>
        <v>11792.8</v>
      </c>
      <c r="K309" s="279">
        <f t="shared" si="767"/>
        <v>11792.8</v>
      </c>
      <c r="L309" s="610">
        <f t="shared" si="785"/>
        <v>11752.8</v>
      </c>
      <c r="M309" s="279">
        <f t="shared" si="776"/>
        <v>11752.8</v>
      </c>
      <c r="N309" s="610">
        <f t="shared" si="786"/>
        <v>11712.8</v>
      </c>
      <c r="O309" s="279">
        <f t="shared" si="777"/>
        <v>11712.8</v>
      </c>
      <c r="P309" s="610">
        <f t="shared" si="787"/>
        <v>11682.8</v>
      </c>
      <c r="Q309" s="279">
        <f t="shared" si="778"/>
        <v>11682.8</v>
      </c>
      <c r="R309" s="610">
        <f t="shared" si="788"/>
        <v>11652.8</v>
      </c>
      <c r="S309" s="279">
        <f t="shared" si="779"/>
        <v>11652.8</v>
      </c>
      <c r="T309" s="610">
        <f t="shared" si="789"/>
        <v>11632.8</v>
      </c>
      <c r="U309" s="279">
        <f t="shared" si="780"/>
        <v>11632.8</v>
      </c>
      <c r="V309" s="610">
        <f t="shared" si="790"/>
        <v>11612.8</v>
      </c>
      <c r="W309" s="279">
        <f t="shared" si="781"/>
        <v>11612.8</v>
      </c>
      <c r="X309" s="687"/>
      <c r="Y309" s="688"/>
      <c r="Z309" s="688"/>
      <c r="AA309" s="689"/>
      <c r="AB309" s="190">
        <v>1054</v>
      </c>
      <c r="AC309" s="63"/>
    </row>
    <row r="310" spans="1:34" ht="12.6" customHeight="1" x14ac:dyDescent="0.2">
      <c r="A310" s="18"/>
      <c r="B310" s="676" t="s">
        <v>922</v>
      </c>
      <c r="C310" s="700"/>
      <c r="D310" s="700"/>
      <c r="E310" s="701"/>
      <c r="F310" s="366">
        <f>26.9*X2</f>
        <v>29267.199999999997</v>
      </c>
      <c r="G310" s="280">
        <f t="shared" ref="G310" si="793">+F310*$X$1</f>
        <v>29267.199999999997</v>
      </c>
      <c r="H310" s="87">
        <f t="shared" si="783"/>
        <v>29867.199999999997</v>
      </c>
      <c r="I310" s="280">
        <f t="shared" si="766"/>
        <v>29867.199999999997</v>
      </c>
      <c r="J310" s="441">
        <f t="shared" si="784"/>
        <v>29527.199999999997</v>
      </c>
      <c r="K310" s="280">
        <f t="shared" si="767"/>
        <v>29527.199999999997</v>
      </c>
      <c r="L310" s="441">
        <f t="shared" si="785"/>
        <v>29487.199999999997</v>
      </c>
      <c r="M310" s="280">
        <f t="shared" si="776"/>
        <v>29487.199999999997</v>
      </c>
      <c r="N310" s="441">
        <f t="shared" si="786"/>
        <v>29447.199999999997</v>
      </c>
      <c r="O310" s="280">
        <f t="shared" si="777"/>
        <v>29447.199999999997</v>
      </c>
      <c r="P310" s="441">
        <f t="shared" si="787"/>
        <v>29417.199999999997</v>
      </c>
      <c r="Q310" s="280">
        <f t="shared" si="778"/>
        <v>29417.199999999997</v>
      </c>
      <c r="R310" s="441">
        <f t="shared" si="788"/>
        <v>29387.199999999997</v>
      </c>
      <c r="S310" s="280">
        <f t="shared" si="779"/>
        <v>29387.199999999997</v>
      </c>
      <c r="T310" s="441">
        <f t="shared" si="789"/>
        <v>29367.199999999997</v>
      </c>
      <c r="U310" s="280">
        <f t="shared" si="780"/>
        <v>29367.199999999997</v>
      </c>
      <c r="V310" s="441">
        <f t="shared" si="790"/>
        <v>29347.199999999997</v>
      </c>
      <c r="W310" s="280">
        <f t="shared" si="781"/>
        <v>29347.199999999997</v>
      </c>
      <c r="X310" s="687"/>
      <c r="Y310" s="688"/>
      <c r="Z310" s="688"/>
      <c r="AA310" s="689"/>
      <c r="AB310" s="190">
        <v>1056</v>
      </c>
      <c r="AC310" s="63"/>
    </row>
    <row r="311" spans="1:34" ht="12.6" customHeight="1" x14ac:dyDescent="0.2">
      <c r="A311" s="18"/>
      <c r="B311" s="659" t="s">
        <v>587</v>
      </c>
      <c r="C311" s="660"/>
      <c r="D311" s="660"/>
      <c r="E311" s="660"/>
      <c r="F311" s="320">
        <v>19235</v>
      </c>
      <c r="G311" s="279">
        <f>+F311*$X$1</f>
        <v>19235</v>
      </c>
      <c r="H311" s="70">
        <f t="shared" si="783"/>
        <v>19835</v>
      </c>
      <c r="I311" s="279">
        <f t="shared" si="766"/>
        <v>19835</v>
      </c>
      <c r="J311" s="610">
        <f t="shared" si="784"/>
        <v>19495</v>
      </c>
      <c r="K311" s="279">
        <f t="shared" si="767"/>
        <v>19495</v>
      </c>
      <c r="L311" s="610">
        <f t="shared" si="785"/>
        <v>19455</v>
      </c>
      <c r="M311" s="279">
        <f t="shared" ref="M311" si="794">+L311*$X$1</f>
        <v>19455</v>
      </c>
      <c r="N311" s="610">
        <f t="shared" si="786"/>
        <v>19415</v>
      </c>
      <c r="O311" s="279">
        <f t="shared" ref="O311" si="795">+N311*$X$1</f>
        <v>19415</v>
      </c>
      <c r="P311" s="610">
        <f t="shared" si="787"/>
        <v>19385</v>
      </c>
      <c r="Q311" s="279">
        <f t="shared" ref="Q311" si="796">+P311*$X$1</f>
        <v>19385</v>
      </c>
      <c r="R311" s="610">
        <f t="shared" si="788"/>
        <v>19355</v>
      </c>
      <c r="S311" s="279">
        <f t="shared" ref="S311" si="797">+R311*$X$1</f>
        <v>19355</v>
      </c>
      <c r="T311" s="610">
        <f t="shared" si="789"/>
        <v>19335</v>
      </c>
      <c r="U311" s="279">
        <f t="shared" ref="U311" si="798">+T311*$X$1</f>
        <v>19335</v>
      </c>
      <c r="V311" s="610">
        <f t="shared" si="790"/>
        <v>19315</v>
      </c>
      <c r="W311" s="279">
        <f t="shared" ref="W311" si="799">+V311*$X$1</f>
        <v>19315</v>
      </c>
      <c r="X311" s="687"/>
      <c r="Y311" s="688"/>
      <c r="Z311" s="688"/>
      <c r="AA311" s="689"/>
      <c r="AB311" s="190">
        <v>1057</v>
      </c>
    </row>
    <row r="312" spans="1:34" ht="12.6" customHeight="1" x14ac:dyDescent="0.2">
      <c r="A312" s="18"/>
      <c r="B312" s="647" t="s">
        <v>416</v>
      </c>
      <c r="C312" s="648"/>
      <c r="D312" s="648"/>
      <c r="E312" s="648"/>
      <c r="F312" s="369">
        <f>13.79*X2</f>
        <v>15003.519999999999</v>
      </c>
      <c r="G312" s="309">
        <f t="shared" ref="G312" si="800">+F312*$X$1</f>
        <v>15003.519999999999</v>
      </c>
      <c r="H312" s="87">
        <f t="shared" si="783"/>
        <v>15603.519999999999</v>
      </c>
      <c r="I312" s="280">
        <f t="shared" si="766"/>
        <v>15603.519999999999</v>
      </c>
      <c r="J312" s="441">
        <f t="shared" si="784"/>
        <v>15263.519999999999</v>
      </c>
      <c r="K312" s="280">
        <f t="shared" si="767"/>
        <v>15263.519999999999</v>
      </c>
      <c r="L312" s="441">
        <f t="shared" si="785"/>
        <v>15223.519999999999</v>
      </c>
      <c r="M312" s="280">
        <f t="shared" si="776"/>
        <v>15223.519999999999</v>
      </c>
      <c r="N312" s="441">
        <f t="shared" si="786"/>
        <v>15183.519999999999</v>
      </c>
      <c r="O312" s="280">
        <f t="shared" si="777"/>
        <v>15183.519999999999</v>
      </c>
      <c r="P312" s="441">
        <f t="shared" si="787"/>
        <v>15153.519999999999</v>
      </c>
      <c r="Q312" s="280">
        <f t="shared" si="778"/>
        <v>15153.519999999999</v>
      </c>
      <c r="R312" s="441">
        <f t="shared" si="788"/>
        <v>15123.519999999999</v>
      </c>
      <c r="S312" s="280">
        <f t="shared" si="779"/>
        <v>15123.519999999999</v>
      </c>
      <c r="T312" s="441">
        <f t="shared" si="789"/>
        <v>15103.519999999999</v>
      </c>
      <c r="U312" s="280">
        <f t="shared" si="780"/>
        <v>15103.519999999999</v>
      </c>
      <c r="V312" s="441">
        <f t="shared" si="790"/>
        <v>15083.519999999999</v>
      </c>
      <c r="W312" s="280">
        <f t="shared" si="781"/>
        <v>15083.519999999999</v>
      </c>
      <c r="X312" s="687"/>
      <c r="Y312" s="688"/>
      <c r="Z312" s="688"/>
      <c r="AA312" s="689"/>
      <c r="AB312" s="190">
        <v>1064</v>
      </c>
      <c r="AC312" s="63"/>
    </row>
    <row r="313" spans="1:34" ht="12.6" customHeight="1" x14ac:dyDescent="0.2">
      <c r="A313" s="18"/>
      <c r="B313" s="676" t="s">
        <v>923</v>
      </c>
      <c r="C313" s="677"/>
      <c r="D313" s="677"/>
      <c r="E313" s="678"/>
      <c r="F313" s="365">
        <f>8.95*X2</f>
        <v>9737.5999999999985</v>
      </c>
      <c r="G313" s="279">
        <f>+F313*$X$1</f>
        <v>9737.5999999999985</v>
      </c>
      <c r="H313" s="610">
        <f t="shared" ref="H313" si="801">F313+600</f>
        <v>10337.599999999999</v>
      </c>
      <c r="I313" s="279">
        <f t="shared" ref="I313" si="802">+H313*$X$1</f>
        <v>10337.599999999999</v>
      </c>
      <c r="J313" s="610">
        <f t="shared" ref="J313" si="803">F313+260</f>
        <v>9997.5999999999985</v>
      </c>
      <c r="K313" s="279">
        <f t="shared" ref="K313" si="804">+J313*$X$1</f>
        <v>9997.5999999999985</v>
      </c>
      <c r="L313" s="610">
        <f t="shared" ref="L313" si="805">F313+230</f>
        <v>9967.5999999999985</v>
      </c>
      <c r="M313" s="279">
        <f t="shared" si="776"/>
        <v>9967.5999999999985</v>
      </c>
      <c r="N313" s="610">
        <f t="shared" ref="N313" si="806">F313+200</f>
        <v>9937.5999999999985</v>
      </c>
      <c r="O313" s="279">
        <f t="shared" si="777"/>
        <v>9937.5999999999985</v>
      </c>
      <c r="P313" s="610">
        <f t="shared" ref="P313" si="807">F313+170</f>
        <v>9907.5999999999985</v>
      </c>
      <c r="Q313" s="279">
        <f t="shared" si="778"/>
        <v>9907.5999999999985</v>
      </c>
      <c r="R313" s="610">
        <f t="shared" ref="R313" si="808">F313+150</f>
        <v>9887.5999999999985</v>
      </c>
      <c r="S313" s="279">
        <f t="shared" si="779"/>
        <v>9887.5999999999985</v>
      </c>
      <c r="T313" s="101">
        <f t="shared" ref="T313" si="809">F313+130</f>
        <v>9867.5999999999985</v>
      </c>
      <c r="U313" s="252">
        <f t="shared" si="780"/>
        <v>9867.5999999999985</v>
      </c>
      <c r="V313" s="101">
        <f t="shared" ref="V313" si="810">F313+110</f>
        <v>9847.5999999999985</v>
      </c>
      <c r="W313" s="279">
        <f t="shared" si="781"/>
        <v>9847.5999999999985</v>
      </c>
      <c r="X313" s="537"/>
      <c r="Y313" s="543"/>
      <c r="Z313" s="543"/>
      <c r="AA313" s="538"/>
      <c r="AB313" s="190">
        <v>1066</v>
      </c>
    </row>
    <row r="314" spans="1:34" ht="12.6" customHeight="1" x14ac:dyDescent="0.2">
      <c r="A314" s="18"/>
      <c r="B314" s="661" t="s">
        <v>211</v>
      </c>
      <c r="C314" s="694"/>
      <c r="D314" s="694"/>
      <c r="E314" s="695"/>
      <c r="F314" s="366">
        <f>12.16*X2</f>
        <v>13230.08</v>
      </c>
      <c r="G314" s="280">
        <f>+F314*$X$1</f>
        <v>13230.08</v>
      </c>
      <c r="H314" s="441">
        <f t="shared" ref="H314" si="811">F314+600</f>
        <v>13830.08</v>
      </c>
      <c r="I314" s="280">
        <f t="shared" ref="I314" si="812">+H314*$X$1</f>
        <v>13830.08</v>
      </c>
      <c r="J314" s="441">
        <f t="shared" ref="J314" si="813">F314+260</f>
        <v>13490.08</v>
      </c>
      <c r="K314" s="280">
        <f t="shared" ref="K314" si="814">+J314*$X$1</f>
        <v>13490.08</v>
      </c>
      <c r="L314" s="441">
        <f t="shared" ref="L314" si="815">F314+230</f>
        <v>13460.08</v>
      </c>
      <c r="M314" s="280">
        <f t="shared" ref="M314:M315" si="816">+L314*$X$1</f>
        <v>13460.08</v>
      </c>
      <c r="N314" s="441">
        <f t="shared" ref="N314" si="817">F314+200</f>
        <v>13430.08</v>
      </c>
      <c r="O314" s="280">
        <f t="shared" ref="O314:O315" si="818">+N314*$X$1</f>
        <v>13430.08</v>
      </c>
      <c r="P314" s="441">
        <f t="shared" ref="P314" si="819">F314+170</f>
        <v>13400.08</v>
      </c>
      <c r="Q314" s="280">
        <f t="shared" ref="Q314:Q315" si="820">+P314*$X$1</f>
        <v>13400.08</v>
      </c>
      <c r="R314" s="441">
        <f t="shared" ref="R314" si="821">F314+150</f>
        <v>13380.08</v>
      </c>
      <c r="S314" s="280">
        <f t="shared" ref="S314:S315" si="822">+R314*$X$1</f>
        <v>13380.08</v>
      </c>
      <c r="T314" s="100">
        <f t="shared" ref="T314" si="823">F314+130</f>
        <v>13360.08</v>
      </c>
      <c r="U314" s="295">
        <f t="shared" ref="U314:U315" si="824">+T314*$X$1</f>
        <v>13360.08</v>
      </c>
      <c r="V314" s="100">
        <f t="shared" ref="V314" si="825">F314+110</f>
        <v>13340.08</v>
      </c>
      <c r="W314" s="280">
        <f t="shared" ref="W314:W315" si="826">+V314*$X$1</f>
        <v>13340.08</v>
      </c>
      <c r="X314" s="175"/>
      <c r="Y314" s="178"/>
      <c r="Z314" s="178"/>
      <c r="AA314" s="177"/>
      <c r="AB314" s="190">
        <v>1075</v>
      </c>
    </row>
    <row r="315" spans="1:34" ht="12.6" customHeight="1" x14ac:dyDescent="0.2">
      <c r="A315" s="18"/>
      <c r="B315" s="659" t="s">
        <v>374</v>
      </c>
      <c r="C315" s="728"/>
      <c r="D315" s="728"/>
      <c r="E315" s="728"/>
      <c r="F315" s="370">
        <f>8.85*X2</f>
        <v>9628.7999999999993</v>
      </c>
      <c r="G315" s="296">
        <f t="shared" ref="G315" si="827">+F315*$X$1</f>
        <v>9628.7999999999993</v>
      </c>
      <c r="H315" s="70">
        <f>F315+650</f>
        <v>10278.799999999999</v>
      </c>
      <c r="I315" s="279">
        <f>+H315*$X$1</f>
        <v>10278.799999999999</v>
      </c>
      <c r="J315" s="610">
        <f>F315+280</f>
        <v>9908.7999999999993</v>
      </c>
      <c r="K315" s="279">
        <f>+J315*$X$1</f>
        <v>9908.7999999999993</v>
      </c>
      <c r="L315" s="610">
        <f>F315+230</f>
        <v>9858.7999999999993</v>
      </c>
      <c r="M315" s="279">
        <f t="shared" si="816"/>
        <v>9858.7999999999993</v>
      </c>
      <c r="N315" s="610">
        <f>F315+190</f>
        <v>9818.7999999999993</v>
      </c>
      <c r="O315" s="279">
        <f t="shared" si="818"/>
        <v>9818.7999999999993</v>
      </c>
      <c r="P315" s="610">
        <f>F315+160</f>
        <v>9788.7999999999993</v>
      </c>
      <c r="Q315" s="279">
        <f t="shared" si="820"/>
        <v>9788.7999999999993</v>
      </c>
      <c r="R315" s="610">
        <f>F315+130</f>
        <v>9758.7999999999993</v>
      </c>
      <c r="S315" s="279">
        <f t="shared" si="822"/>
        <v>9758.7999999999993</v>
      </c>
      <c r="T315" s="610">
        <f>F315+110</f>
        <v>9738.7999999999993</v>
      </c>
      <c r="U315" s="279">
        <f t="shared" si="824"/>
        <v>9738.7999999999993</v>
      </c>
      <c r="V315" s="610">
        <f>F315+90</f>
        <v>9718.7999999999993</v>
      </c>
      <c r="W315" s="279">
        <f t="shared" si="826"/>
        <v>9718.7999999999993</v>
      </c>
      <c r="X315" s="687"/>
      <c r="Y315" s="688"/>
      <c r="Z315" s="688"/>
      <c r="AA315" s="689"/>
      <c r="AB315" s="190">
        <v>1078</v>
      </c>
    </row>
    <row r="316" spans="1:34" ht="12.75" customHeight="1" x14ac:dyDescent="0.2">
      <c r="A316" s="18"/>
      <c r="B316" s="3"/>
      <c r="C316" s="3"/>
      <c r="D316" s="3"/>
      <c r="E316" s="3"/>
      <c r="F316" s="4"/>
      <c r="G316" s="4"/>
      <c r="H316" s="24"/>
      <c r="I316" s="2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8"/>
      <c r="B317" s="3"/>
      <c r="C317" s="3"/>
      <c r="D317" s="3"/>
      <c r="E317" s="3"/>
      <c r="F317" s="4"/>
      <c r="G317" s="4"/>
      <c r="H317" s="24"/>
      <c r="I317" s="2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2.75" customHeight="1" x14ac:dyDescent="0.2">
      <c r="A318" s="18"/>
      <c r="B318" s="64"/>
      <c r="C318" s="64"/>
      <c r="D318" s="64"/>
      <c r="E318" s="64"/>
      <c r="F318" s="4"/>
      <c r="G318" s="4"/>
      <c r="H318" s="24"/>
      <c r="I318" s="24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34" ht="14.25" customHeight="1" x14ac:dyDescent="0.2">
      <c r="A319" s="18"/>
      <c r="B319" s="745" t="s">
        <v>11</v>
      </c>
      <c r="C319" s="690" t="s">
        <v>12</v>
      </c>
      <c r="D319" s="691"/>
      <c r="E319" s="691"/>
      <c r="F319" s="685" t="s">
        <v>13</v>
      </c>
      <c r="G319" s="685" t="s">
        <v>13</v>
      </c>
      <c r="H319" s="692" t="s">
        <v>794</v>
      </c>
      <c r="I319" s="692"/>
      <c r="J319" s="693"/>
      <c r="K319" s="693"/>
      <c r="L319" s="693"/>
      <c r="M319" s="693"/>
      <c r="N319" s="693"/>
      <c r="O319" s="693"/>
      <c r="P319" s="693"/>
      <c r="Q319" s="693"/>
      <c r="R319" s="693"/>
      <c r="S319" s="693"/>
      <c r="T319" s="693"/>
      <c r="U319" s="693"/>
      <c r="V319" s="693"/>
      <c r="W319" s="693"/>
      <c r="X319" s="651" t="s">
        <v>14</v>
      </c>
      <c r="Y319" s="652"/>
      <c r="Z319" s="652"/>
      <c r="AA319" s="653"/>
      <c r="AB319" s="798" t="s">
        <v>15</v>
      </c>
      <c r="AF319" s="760" t="s">
        <v>3</v>
      </c>
      <c r="AG319" s="761"/>
      <c r="AH319" s="761"/>
    </row>
    <row r="320" spans="1:34" ht="11.25" customHeight="1" x14ac:dyDescent="0.2">
      <c r="A320" s="18"/>
      <c r="B320" s="745"/>
      <c r="C320" s="691"/>
      <c r="D320" s="691"/>
      <c r="E320" s="691"/>
      <c r="F320" s="686"/>
      <c r="G320" s="686"/>
      <c r="H320" s="460"/>
      <c r="I320" s="452" t="s">
        <v>285</v>
      </c>
      <c r="J320" s="454"/>
      <c r="K320" s="452" t="s">
        <v>17</v>
      </c>
      <c r="L320" s="455"/>
      <c r="M320" s="455" t="s">
        <v>18</v>
      </c>
      <c r="N320" s="455"/>
      <c r="O320" s="452" t="s">
        <v>19</v>
      </c>
      <c r="P320" s="455"/>
      <c r="Q320" s="455" t="s">
        <v>286</v>
      </c>
      <c r="R320" s="455"/>
      <c r="S320" s="455" t="s">
        <v>20</v>
      </c>
      <c r="T320" s="455"/>
      <c r="U320" s="455" t="s">
        <v>21</v>
      </c>
      <c r="V320" s="455"/>
      <c r="W320" s="455" t="s">
        <v>22</v>
      </c>
      <c r="X320" s="654"/>
      <c r="Y320" s="655"/>
      <c r="Z320" s="655"/>
      <c r="AA320" s="656"/>
      <c r="AB320" s="799"/>
    </row>
    <row r="321" spans="1:34" ht="12.6" customHeight="1" x14ac:dyDescent="0.2">
      <c r="A321" s="18"/>
      <c r="B321" s="710" t="s">
        <v>376</v>
      </c>
      <c r="C321" s="711"/>
      <c r="D321" s="711"/>
      <c r="E321" s="711"/>
      <c r="F321" s="370">
        <f>6.87*X2</f>
        <v>7474.56</v>
      </c>
      <c r="G321" s="296">
        <f t="shared" ref="G321" si="828">+F321*$X$1</f>
        <v>7474.56</v>
      </c>
      <c r="H321" s="70">
        <f>F321+650</f>
        <v>8124.56</v>
      </c>
      <c r="I321" s="279">
        <f>+H321*$X$1</f>
        <v>8124.56</v>
      </c>
      <c r="J321" s="610">
        <f>F321+280</f>
        <v>7754.56</v>
      </c>
      <c r="K321" s="279">
        <f>+J321*$X$1</f>
        <v>7754.56</v>
      </c>
      <c r="L321" s="610">
        <f>F321+230</f>
        <v>7704.56</v>
      </c>
      <c r="M321" s="279">
        <f t="shared" ref="M321" si="829">+L321*$X$1</f>
        <v>7704.56</v>
      </c>
      <c r="N321" s="610">
        <f>F321+190</f>
        <v>7664.56</v>
      </c>
      <c r="O321" s="279">
        <f t="shared" ref="O321" si="830">+N321*$X$1</f>
        <v>7664.56</v>
      </c>
      <c r="P321" s="610">
        <f>F321+160</f>
        <v>7634.56</v>
      </c>
      <c r="Q321" s="279">
        <f t="shared" ref="Q321" si="831">+P321*$X$1</f>
        <v>7634.56</v>
      </c>
      <c r="R321" s="610">
        <f>F321+130</f>
        <v>7604.56</v>
      </c>
      <c r="S321" s="279">
        <f t="shared" ref="S321" si="832">+R321*$X$1</f>
        <v>7604.56</v>
      </c>
      <c r="T321" s="610">
        <f>F321+110</f>
        <v>7584.56</v>
      </c>
      <c r="U321" s="279">
        <f t="shared" ref="U321" si="833">+T321*$X$1</f>
        <v>7584.56</v>
      </c>
      <c r="V321" s="610">
        <f>F321+90</f>
        <v>7564.56</v>
      </c>
      <c r="W321" s="279">
        <f t="shared" ref="W321" si="834">+V321*$X$1</f>
        <v>7564.56</v>
      </c>
      <c r="X321" s="688"/>
      <c r="Y321" s="688"/>
      <c r="Z321" s="688"/>
      <c r="AA321" s="689"/>
      <c r="AB321" s="190">
        <v>1079</v>
      </c>
    </row>
    <row r="322" spans="1:34" ht="12.6" customHeight="1" x14ac:dyDescent="0.2">
      <c r="A322" s="18"/>
      <c r="B322" s="647" t="s">
        <v>503</v>
      </c>
      <c r="C322" s="648"/>
      <c r="D322" s="648"/>
      <c r="E322" s="648"/>
      <c r="F322" s="319">
        <v>16826</v>
      </c>
      <c r="G322" s="280">
        <f>+F322*$X$1</f>
        <v>16826</v>
      </c>
      <c r="H322" s="87">
        <f>F322+600</f>
        <v>17426</v>
      </c>
      <c r="I322" s="280">
        <f>+H322*$X$1</f>
        <v>17426</v>
      </c>
      <c r="J322" s="441">
        <f>F322+260</f>
        <v>17086</v>
      </c>
      <c r="K322" s="280">
        <f>+J322*$X$1</f>
        <v>17086</v>
      </c>
      <c r="L322" s="441">
        <f>F322+220</f>
        <v>17046</v>
      </c>
      <c r="M322" s="280">
        <f t="shared" ref="M322" si="835">+L322*$X$1</f>
        <v>17046</v>
      </c>
      <c r="N322" s="441">
        <f>F322+180</f>
        <v>17006</v>
      </c>
      <c r="O322" s="280">
        <f t="shared" ref="O322" si="836">+N322*$X$1</f>
        <v>17006</v>
      </c>
      <c r="P322" s="441">
        <f>F322+150</f>
        <v>16976</v>
      </c>
      <c r="Q322" s="280">
        <f t="shared" ref="Q322" si="837">+P322*$X$1</f>
        <v>16976</v>
      </c>
      <c r="R322" s="441">
        <f>F322+120</f>
        <v>16946</v>
      </c>
      <c r="S322" s="280">
        <f t="shared" ref="S322" si="838">+R322*$X$1</f>
        <v>16946</v>
      </c>
      <c r="T322" s="441">
        <f>F322+100</f>
        <v>16926</v>
      </c>
      <c r="U322" s="280">
        <f t="shared" ref="U322" si="839">+T322*$X$1</f>
        <v>16926</v>
      </c>
      <c r="V322" s="441">
        <f>F322+80</f>
        <v>16906</v>
      </c>
      <c r="W322" s="280">
        <f t="shared" ref="W322" si="840">+V322*$X$1</f>
        <v>16906</v>
      </c>
      <c r="X322" s="688"/>
      <c r="Y322" s="688"/>
      <c r="Z322" s="688"/>
      <c r="AA322" s="689"/>
      <c r="AB322" s="190">
        <v>1080</v>
      </c>
      <c r="AC322" s="63"/>
    </row>
    <row r="323" spans="1:34" ht="12.6" customHeight="1" x14ac:dyDescent="0.2">
      <c r="A323" s="18"/>
      <c r="B323" s="659" t="s">
        <v>504</v>
      </c>
      <c r="C323" s="660"/>
      <c r="D323" s="660"/>
      <c r="E323" s="660"/>
      <c r="F323" s="320">
        <v>18164</v>
      </c>
      <c r="G323" s="279">
        <f>+F323*$X$1</f>
        <v>18164</v>
      </c>
      <c r="H323" s="70">
        <f>F323+600</f>
        <v>18764</v>
      </c>
      <c r="I323" s="279">
        <f>+H323*$X$1</f>
        <v>18764</v>
      </c>
      <c r="J323" s="610">
        <f>F323+260</f>
        <v>18424</v>
      </c>
      <c r="K323" s="279">
        <f>+J323*$X$1</f>
        <v>18424</v>
      </c>
      <c r="L323" s="610">
        <f>F323+220</f>
        <v>18384</v>
      </c>
      <c r="M323" s="279">
        <f t="shared" ref="M323" si="841">+L323*$X$1</f>
        <v>18384</v>
      </c>
      <c r="N323" s="610">
        <f>F323+180</f>
        <v>18344</v>
      </c>
      <c r="O323" s="279">
        <f t="shared" ref="O323" si="842">+N323*$X$1</f>
        <v>18344</v>
      </c>
      <c r="P323" s="610">
        <f>F323+150</f>
        <v>18314</v>
      </c>
      <c r="Q323" s="279">
        <f t="shared" ref="Q323" si="843">+P323*$X$1</f>
        <v>18314</v>
      </c>
      <c r="R323" s="610">
        <f>F323+120</f>
        <v>18284</v>
      </c>
      <c r="S323" s="279">
        <f t="shared" ref="S323" si="844">+R323*$X$1</f>
        <v>18284</v>
      </c>
      <c r="T323" s="610">
        <f>F323+100</f>
        <v>18264</v>
      </c>
      <c r="U323" s="279">
        <f t="shared" ref="U323" si="845">+T323*$X$1</f>
        <v>18264</v>
      </c>
      <c r="V323" s="610">
        <f>F323+80</f>
        <v>18244</v>
      </c>
      <c r="W323" s="279">
        <f t="shared" ref="W323" si="846">+V323*$X$1</f>
        <v>18244</v>
      </c>
      <c r="X323" s="688"/>
      <c r="Y323" s="688"/>
      <c r="Z323" s="688"/>
      <c r="AA323" s="689"/>
      <c r="AB323" s="190">
        <v>1081</v>
      </c>
      <c r="AC323" s="63"/>
    </row>
    <row r="324" spans="1:34" ht="12.6" customHeight="1" x14ac:dyDescent="0.2">
      <c r="A324" s="18"/>
      <c r="B324" s="647" t="s">
        <v>420</v>
      </c>
      <c r="C324" s="648"/>
      <c r="D324" s="648"/>
      <c r="E324" s="648"/>
      <c r="F324" s="319">
        <v>14847</v>
      </c>
      <c r="G324" s="280">
        <f>+F324*$X$1</f>
        <v>14847</v>
      </c>
      <c r="H324" s="87">
        <f>F324+600</f>
        <v>15447</v>
      </c>
      <c r="I324" s="280">
        <f>+H324*$X$1</f>
        <v>15447</v>
      </c>
      <c r="J324" s="441">
        <f>F324+260</f>
        <v>15107</v>
      </c>
      <c r="K324" s="280">
        <f>+J324*$X$1</f>
        <v>15107</v>
      </c>
      <c r="L324" s="441">
        <f>F324+220</f>
        <v>15067</v>
      </c>
      <c r="M324" s="280">
        <f t="shared" ref="M324:M325" si="847">+L324*$X$1</f>
        <v>15067</v>
      </c>
      <c r="N324" s="441">
        <f>F324+180</f>
        <v>15027</v>
      </c>
      <c r="O324" s="280">
        <f t="shared" ref="O324:O325" si="848">+N324*$X$1</f>
        <v>15027</v>
      </c>
      <c r="P324" s="441">
        <f>F324+150</f>
        <v>14997</v>
      </c>
      <c r="Q324" s="280">
        <f t="shared" ref="Q324:Q325" si="849">+P324*$X$1</f>
        <v>14997</v>
      </c>
      <c r="R324" s="441">
        <f>F324+120</f>
        <v>14967</v>
      </c>
      <c r="S324" s="280">
        <f t="shared" ref="S324:S325" si="850">+R324*$X$1</f>
        <v>14967</v>
      </c>
      <c r="T324" s="441">
        <f>F324+100</f>
        <v>14947</v>
      </c>
      <c r="U324" s="280">
        <f t="shared" ref="U324:U325" si="851">+T324*$X$1</f>
        <v>14947</v>
      </c>
      <c r="V324" s="441">
        <f>F324+80</f>
        <v>14927</v>
      </c>
      <c r="W324" s="280">
        <f t="shared" ref="W324:W325" si="852">+V324*$X$1</f>
        <v>14927</v>
      </c>
      <c r="X324" s="688"/>
      <c r="Y324" s="688"/>
      <c r="Z324" s="688"/>
      <c r="AA324" s="689"/>
      <c r="AB324" s="190">
        <v>1083</v>
      </c>
      <c r="AC324" s="63"/>
    </row>
    <row r="325" spans="1:34" ht="12.6" customHeight="1" x14ac:dyDescent="0.2">
      <c r="A325" s="18"/>
      <c r="B325" s="710" t="s">
        <v>805</v>
      </c>
      <c r="C325" s="711"/>
      <c r="D325" s="711"/>
      <c r="E325" s="711"/>
      <c r="F325" s="365">
        <f>2.32*X2</f>
        <v>2524.16</v>
      </c>
      <c r="G325" s="279">
        <f t="shared" ref="G325" si="853">+F325*$X$1</f>
        <v>2524.16</v>
      </c>
      <c r="H325" s="610">
        <f>F325+600</f>
        <v>3124.16</v>
      </c>
      <c r="I325" s="279">
        <f t="shared" ref="I325" si="854">+H325*$X$1</f>
        <v>3124.16</v>
      </c>
      <c r="J325" s="70">
        <f>F325+220</f>
        <v>2744.16</v>
      </c>
      <c r="K325" s="279">
        <f t="shared" ref="K325" si="855">+J325*$X$1</f>
        <v>2744.16</v>
      </c>
      <c r="L325" s="610">
        <f t="shared" ref="L325" si="856">F325+150</f>
        <v>2674.16</v>
      </c>
      <c r="M325" s="279">
        <f t="shared" si="847"/>
        <v>2674.16</v>
      </c>
      <c r="N325" s="610">
        <f t="shared" ref="N325" si="857">F325+110</f>
        <v>2634.16</v>
      </c>
      <c r="O325" s="279">
        <f t="shared" si="848"/>
        <v>2634.16</v>
      </c>
      <c r="P325" s="610">
        <f t="shared" ref="P325" si="858">F325+100</f>
        <v>2624.16</v>
      </c>
      <c r="Q325" s="279">
        <f t="shared" si="849"/>
        <v>2624.16</v>
      </c>
      <c r="R325" s="610">
        <f t="shared" ref="R325" si="859">F325+80</f>
        <v>2604.16</v>
      </c>
      <c r="S325" s="279">
        <f t="shared" si="850"/>
        <v>2604.16</v>
      </c>
      <c r="T325" s="610">
        <f t="shared" ref="T325" si="860">F325+65</f>
        <v>2589.16</v>
      </c>
      <c r="U325" s="279">
        <f t="shared" si="851"/>
        <v>2589.16</v>
      </c>
      <c r="V325" s="610">
        <f t="shared" ref="V325" si="861">F325+56</f>
        <v>2580.16</v>
      </c>
      <c r="W325" s="279">
        <f t="shared" si="852"/>
        <v>2580.16</v>
      </c>
      <c r="X325" s="742"/>
      <c r="Y325" s="743"/>
      <c r="Z325" s="743"/>
      <c r="AA325" s="744"/>
      <c r="AB325" s="386">
        <v>2130</v>
      </c>
      <c r="AC325" s="64"/>
    </row>
    <row r="326" spans="1:34" ht="12.6" customHeight="1" x14ac:dyDescent="0.2">
      <c r="A326" s="18"/>
      <c r="B326" s="645" t="s">
        <v>806</v>
      </c>
      <c r="C326" s="725"/>
      <c r="D326" s="725"/>
      <c r="E326" s="725"/>
      <c r="F326" s="366">
        <f>2.3*X2</f>
        <v>2502.3999999999996</v>
      </c>
      <c r="G326" s="280">
        <f t="shared" ref="G326" si="862">+F326*$X$1</f>
        <v>2502.3999999999996</v>
      </c>
      <c r="H326" s="441">
        <f>F326+600</f>
        <v>3102.3999999999996</v>
      </c>
      <c r="I326" s="280">
        <f t="shared" ref="I326" si="863">+H326*$X$1</f>
        <v>3102.3999999999996</v>
      </c>
      <c r="J326" s="87">
        <f>F326+220</f>
        <v>2722.3999999999996</v>
      </c>
      <c r="K326" s="280">
        <f t="shared" ref="K326" si="864">+J326*$X$1</f>
        <v>2722.3999999999996</v>
      </c>
      <c r="L326" s="441">
        <f t="shared" ref="L326" si="865">F326+150</f>
        <v>2652.3999999999996</v>
      </c>
      <c r="M326" s="280">
        <f t="shared" ref="M326:M327" si="866">+L326*$X$1</f>
        <v>2652.3999999999996</v>
      </c>
      <c r="N326" s="441">
        <f t="shared" ref="N326" si="867">F326+110</f>
        <v>2612.3999999999996</v>
      </c>
      <c r="O326" s="280">
        <f t="shared" ref="O326:O327" si="868">+N326*$X$1</f>
        <v>2612.3999999999996</v>
      </c>
      <c r="P326" s="441">
        <f t="shared" ref="P326" si="869">F326+100</f>
        <v>2602.3999999999996</v>
      </c>
      <c r="Q326" s="280">
        <f t="shared" ref="Q326:Q327" si="870">+P326*$X$1</f>
        <v>2602.3999999999996</v>
      </c>
      <c r="R326" s="441">
        <f t="shared" ref="R326" si="871">F326+80</f>
        <v>2582.3999999999996</v>
      </c>
      <c r="S326" s="280">
        <f t="shared" ref="S326:S327" si="872">+R326*$X$1</f>
        <v>2582.3999999999996</v>
      </c>
      <c r="T326" s="441">
        <f t="shared" ref="T326" si="873">F326+65</f>
        <v>2567.3999999999996</v>
      </c>
      <c r="U326" s="280">
        <f t="shared" ref="U326:U327" si="874">+T326*$X$1</f>
        <v>2567.3999999999996</v>
      </c>
      <c r="V326" s="441">
        <f t="shared" ref="V326" si="875">F326+56</f>
        <v>2558.3999999999996</v>
      </c>
      <c r="W326" s="280">
        <f t="shared" ref="W326:W327" si="876">+V326*$X$1</f>
        <v>2558.3999999999996</v>
      </c>
      <c r="X326" s="742"/>
      <c r="Y326" s="743"/>
      <c r="Z326" s="743"/>
      <c r="AA326" s="744"/>
      <c r="AB326" s="386">
        <v>2131</v>
      </c>
      <c r="AC326" s="64"/>
    </row>
    <row r="327" spans="1:34" ht="12.6" customHeight="1" x14ac:dyDescent="0.2">
      <c r="A327" s="102"/>
      <c r="B327" s="659" t="s">
        <v>212</v>
      </c>
      <c r="C327" s="660"/>
      <c r="D327" s="660"/>
      <c r="E327" s="660"/>
      <c r="F327" s="365">
        <f>0.445*X2</f>
        <v>484.16</v>
      </c>
      <c r="G327" s="279">
        <f t="shared" ref="G327:G328" si="877">+F327*$X$1</f>
        <v>484.16</v>
      </c>
      <c r="H327" s="273"/>
      <c r="I327" s="331"/>
      <c r="J327" s="610"/>
      <c r="K327" s="279"/>
      <c r="L327" s="610">
        <f>F327+160</f>
        <v>644.16000000000008</v>
      </c>
      <c r="M327" s="279">
        <f t="shared" si="866"/>
        <v>644.16000000000008</v>
      </c>
      <c r="N327" s="610">
        <f>F327+100</f>
        <v>584.16000000000008</v>
      </c>
      <c r="O327" s="279">
        <f t="shared" si="868"/>
        <v>584.16000000000008</v>
      </c>
      <c r="P327" s="610">
        <f>F327+75</f>
        <v>559.16000000000008</v>
      </c>
      <c r="Q327" s="279">
        <f t="shared" si="870"/>
        <v>559.16000000000008</v>
      </c>
      <c r="R327" s="610">
        <f>F327+65</f>
        <v>549.16000000000008</v>
      </c>
      <c r="S327" s="279">
        <f t="shared" si="872"/>
        <v>549.16000000000008</v>
      </c>
      <c r="T327" s="101">
        <f>F327+50</f>
        <v>534.16000000000008</v>
      </c>
      <c r="U327" s="252">
        <f t="shared" si="874"/>
        <v>534.16000000000008</v>
      </c>
      <c r="V327" s="101">
        <f>F327+38</f>
        <v>522.16000000000008</v>
      </c>
      <c r="W327" s="252">
        <f t="shared" si="876"/>
        <v>522.16000000000008</v>
      </c>
      <c r="X327" s="131"/>
      <c r="Y327" s="129"/>
      <c r="Z327" s="129"/>
      <c r="AA327" s="129"/>
      <c r="AB327" s="386">
        <v>2145</v>
      </c>
      <c r="AC327" s="64"/>
    </row>
    <row r="328" spans="1:34" ht="12.6" customHeight="1" x14ac:dyDescent="0.25">
      <c r="A328" s="124"/>
      <c r="B328" s="647" t="s">
        <v>968</v>
      </c>
      <c r="C328" s="648"/>
      <c r="D328" s="648"/>
      <c r="E328" s="648"/>
      <c r="F328" s="366">
        <v>170</v>
      </c>
      <c r="G328" s="280">
        <f t="shared" si="877"/>
        <v>170</v>
      </c>
      <c r="H328" s="272"/>
      <c r="I328" s="332"/>
      <c r="J328" s="529"/>
      <c r="K328" s="280"/>
      <c r="L328" s="530"/>
      <c r="M328" s="280"/>
      <c r="N328" s="530"/>
      <c r="O328" s="531"/>
      <c r="P328" s="272"/>
      <c r="Q328" s="332"/>
      <c r="R328" s="530"/>
      <c r="S328" s="531"/>
      <c r="T328" s="530"/>
      <c r="U328" s="531"/>
      <c r="V328" s="530"/>
      <c r="W328" s="531"/>
      <c r="X328" s="129"/>
      <c r="Y328" s="129"/>
      <c r="Z328" s="129"/>
      <c r="AA328" s="129"/>
      <c r="AB328" s="190">
        <v>2147</v>
      </c>
    </row>
    <row r="329" spans="1:34" ht="12.6" customHeight="1" x14ac:dyDescent="0.2">
      <c r="A329" s="18"/>
      <c r="B329" s="659" t="s">
        <v>213</v>
      </c>
      <c r="C329" s="660"/>
      <c r="D329" s="660"/>
      <c r="E329" s="660"/>
      <c r="F329" s="365">
        <v>48</v>
      </c>
      <c r="G329" s="279">
        <f t="shared" ref="G329:G334" si="878">+F329*$X$1</f>
        <v>48</v>
      </c>
      <c r="H329" s="273"/>
      <c r="I329" s="331"/>
      <c r="J329" s="610">
        <f>F329+210</f>
        <v>258</v>
      </c>
      <c r="K329" s="279">
        <f t="shared" ref="K329" si="879">+J329*$X$1</f>
        <v>258</v>
      </c>
      <c r="L329" s="610">
        <f>F329+160</f>
        <v>208</v>
      </c>
      <c r="M329" s="279">
        <f t="shared" ref="M329" si="880">+L329*$X$1</f>
        <v>208</v>
      </c>
      <c r="N329" s="610">
        <f>F329+100</f>
        <v>148</v>
      </c>
      <c r="O329" s="279">
        <f t="shared" ref="O329" si="881">+N329*$X$1</f>
        <v>148</v>
      </c>
      <c r="P329" s="610">
        <f>F329+75</f>
        <v>123</v>
      </c>
      <c r="Q329" s="279">
        <f t="shared" ref="Q329" si="882">+P329*$X$1</f>
        <v>123</v>
      </c>
      <c r="R329" s="610">
        <f>F329+65</f>
        <v>113</v>
      </c>
      <c r="S329" s="279">
        <f t="shared" ref="S329" si="883">+R329*$X$1</f>
        <v>113</v>
      </c>
      <c r="T329" s="101">
        <f>F329+50</f>
        <v>98</v>
      </c>
      <c r="U329" s="252">
        <f t="shared" ref="U329" si="884">+T329*$X$1</f>
        <v>98</v>
      </c>
      <c r="V329" s="101">
        <f>F329+38</f>
        <v>86</v>
      </c>
      <c r="W329" s="252">
        <f t="shared" ref="W329" si="885">+V329*$X$1</f>
        <v>86</v>
      </c>
      <c r="X329" s="129"/>
      <c r="Y329" s="129"/>
      <c r="Z329" s="129"/>
      <c r="AA329" s="129"/>
      <c r="AB329" s="386">
        <v>2149</v>
      </c>
    </row>
    <row r="330" spans="1:34" ht="12.6" customHeight="1" x14ac:dyDescent="0.25">
      <c r="A330" s="124"/>
      <c r="B330" s="649" t="s">
        <v>902</v>
      </c>
      <c r="C330" s="650"/>
      <c r="D330" s="650"/>
      <c r="E330" s="650"/>
      <c r="F330" s="366">
        <f>1.41*X2</f>
        <v>1534.08</v>
      </c>
      <c r="G330" s="280">
        <f t="shared" si="878"/>
        <v>1534.08</v>
      </c>
      <c r="H330" s="272"/>
      <c r="I330" s="332"/>
      <c r="J330" s="529"/>
      <c r="K330" s="280"/>
      <c r="L330" s="530"/>
      <c r="M330" s="280"/>
      <c r="N330" s="530"/>
      <c r="O330" s="531"/>
      <c r="P330" s="272"/>
      <c r="Q330" s="332"/>
      <c r="R330" s="530"/>
      <c r="S330" s="531"/>
      <c r="T330" s="530"/>
      <c r="U330" s="531"/>
      <c r="V330" s="530"/>
      <c r="W330" s="531"/>
      <c r="X330" s="129"/>
      <c r="Y330" s="129"/>
      <c r="Z330" s="129"/>
      <c r="AA330" s="129"/>
      <c r="AB330" s="190">
        <v>2150</v>
      </c>
    </row>
    <row r="331" spans="1:34" ht="12.6" customHeight="1" x14ac:dyDescent="0.25">
      <c r="A331" s="124"/>
      <c r="B331" s="659" t="s">
        <v>214</v>
      </c>
      <c r="C331" s="660"/>
      <c r="D331" s="660"/>
      <c r="E331" s="660"/>
      <c r="F331" s="365">
        <f>0.86*X2</f>
        <v>935.68</v>
      </c>
      <c r="G331" s="279">
        <f t="shared" si="878"/>
        <v>935.68</v>
      </c>
      <c r="H331" s="273"/>
      <c r="I331" s="331"/>
      <c r="J331" s="595"/>
      <c r="K331" s="279"/>
      <c r="L331" s="596"/>
      <c r="M331" s="279"/>
      <c r="N331" s="596"/>
      <c r="O331" s="597"/>
      <c r="P331" s="273"/>
      <c r="Q331" s="331"/>
      <c r="R331" s="596"/>
      <c r="S331" s="597"/>
      <c r="T331" s="596"/>
      <c r="U331" s="597"/>
      <c r="V331" s="596"/>
      <c r="W331" s="597"/>
      <c r="X331" s="129"/>
      <c r="Y331" s="129"/>
      <c r="Z331" s="129"/>
      <c r="AA331" s="129"/>
      <c r="AB331" s="190">
        <v>2151</v>
      </c>
    </row>
    <row r="332" spans="1:34" ht="12.6" customHeight="1" x14ac:dyDescent="0.2">
      <c r="A332" s="18"/>
      <c r="B332" s="645" t="s">
        <v>215</v>
      </c>
      <c r="C332" s="646"/>
      <c r="D332" s="646"/>
      <c r="E332" s="646"/>
      <c r="F332" s="369">
        <f>0.67*X2</f>
        <v>728.96</v>
      </c>
      <c r="G332" s="309">
        <f t="shared" si="878"/>
        <v>728.96</v>
      </c>
      <c r="H332" s="554"/>
      <c r="I332" s="555"/>
      <c r="J332" s="100"/>
      <c r="K332" s="309"/>
      <c r="L332" s="441">
        <f t="shared" ref="L332:L347" si="886">F332+160</f>
        <v>888.96</v>
      </c>
      <c r="M332" s="280">
        <f t="shared" ref="M332" si="887">+L332*$X$1</f>
        <v>888.96</v>
      </c>
      <c r="N332" s="441">
        <f t="shared" ref="N332:N347" si="888">F332+100</f>
        <v>828.96</v>
      </c>
      <c r="O332" s="280">
        <f t="shared" ref="O332" si="889">+N332*$X$1</f>
        <v>828.96</v>
      </c>
      <c r="P332" s="441">
        <f t="shared" ref="P332:P338" si="890">F332+75</f>
        <v>803.96</v>
      </c>
      <c r="Q332" s="280">
        <f t="shared" ref="Q332" si="891">+P332*$X$1</f>
        <v>803.96</v>
      </c>
      <c r="R332" s="441">
        <f t="shared" ref="R332:R338" si="892">F332+65</f>
        <v>793.96</v>
      </c>
      <c r="S332" s="280">
        <f t="shared" ref="S332" si="893">+R332*$X$1</f>
        <v>793.96</v>
      </c>
      <c r="T332" s="100">
        <f t="shared" ref="T332:T338" si="894">F332+50</f>
        <v>778.96</v>
      </c>
      <c r="U332" s="295">
        <f t="shared" ref="U332" si="895">+T332*$X$1</f>
        <v>778.96</v>
      </c>
      <c r="V332" s="100">
        <f t="shared" ref="V332:V338" si="896">F332+38</f>
        <v>766.96</v>
      </c>
      <c r="W332" s="295">
        <f t="shared" ref="W332" si="897">+V332*$X$1</f>
        <v>766.96</v>
      </c>
      <c r="X332" s="129"/>
      <c r="Y332" s="129"/>
      <c r="Z332" s="129"/>
      <c r="AA332" s="129"/>
      <c r="AB332" s="400">
        <v>2153</v>
      </c>
      <c r="AC332" s="64"/>
    </row>
    <row r="333" spans="1:34" ht="12.6" customHeight="1" x14ac:dyDescent="0.2">
      <c r="A333" s="18"/>
      <c r="B333" s="659" t="s">
        <v>368</v>
      </c>
      <c r="C333" s="660"/>
      <c r="D333" s="660"/>
      <c r="E333" s="660"/>
      <c r="F333" s="365">
        <f>0.485*X2</f>
        <v>527.67999999999995</v>
      </c>
      <c r="G333" s="279">
        <f t="shared" si="878"/>
        <v>527.67999999999995</v>
      </c>
      <c r="H333" s="273"/>
      <c r="I333" s="331"/>
      <c r="J333" s="610"/>
      <c r="K333" s="279"/>
      <c r="L333" s="610">
        <f t="shared" si="886"/>
        <v>687.68</v>
      </c>
      <c r="M333" s="279">
        <f t="shared" ref="M333:M334" si="898">+L333*$X$1</f>
        <v>687.68</v>
      </c>
      <c r="N333" s="610">
        <f t="shared" si="888"/>
        <v>627.67999999999995</v>
      </c>
      <c r="O333" s="279">
        <f t="shared" ref="O333:O334" si="899">+N333*$X$1</f>
        <v>627.67999999999995</v>
      </c>
      <c r="P333" s="610">
        <f t="shared" si="890"/>
        <v>602.67999999999995</v>
      </c>
      <c r="Q333" s="279">
        <f t="shared" ref="Q333:Q334" si="900">+P333*$X$1</f>
        <v>602.67999999999995</v>
      </c>
      <c r="R333" s="610">
        <f t="shared" si="892"/>
        <v>592.67999999999995</v>
      </c>
      <c r="S333" s="279">
        <f t="shared" ref="S333:S334" si="901">+R333*$X$1</f>
        <v>592.67999999999995</v>
      </c>
      <c r="T333" s="101">
        <f t="shared" si="894"/>
        <v>577.67999999999995</v>
      </c>
      <c r="U333" s="252">
        <f t="shared" ref="U333:U334" si="902">+T333*$X$1</f>
        <v>577.67999999999995</v>
      </c>
      <c r="V333" s="101">
        <f t="shared" si="896"/>
        <v>565.67999999999995</v>
      </c>
      <c r="W333" s="252">
        <f t="shared" ref="W333:W334" si="903">+V333*$X$1</f>
        <v>565.67999999999995</v>
      </c>
      <c r="X333" s="129"/>
      <c r="Y333" s="136"/>
      <c r="Z333" s="136"/>
      <c r="AA333" s="136"/>
      <c r="AB333" s="399">
        <v>2154</v>
      </c>
      <c r="AC333" s="22"/>
      <c r="AD333" s="22"/>
    </row>
    <row r="334" spans="1:34" ht="12.6" customHeight="1" x14ac:dyDescent="0.2">
      <c r="A334" s="18"/>
      <c r="B334" s="647" t="s">
        <v>369</v>
      </c>
      <c r="C334" s="648"/>
      <c r="D334" s="648"/>
      <c r="E334" s="648"/>
      <c r="F334" s="366">
        <f>0.56*X2</f>
        <v>609.28000000000009</v>
      </c>
      <c r="G334" s="280">
        <f t="shared" si="878"/>
        <v>609.28000000000009</v>
      </c>
      <c r="H334" s="272"/>
      <c r="I334" s="332"/>
      <c r="J334" s="441"/>
      <c r="K334" s="280"/>
      <c r="L334" s="441">
        <f t="shared" si="886"/>
        <v>769.28000000000009</v>
      </c>
      <c r="M334" s="280">
        <f t="shared" si="898"/>
        <v>769.28000000000009</v>
      </c>
      <c r="N334" s="441">
        <f t="shared" si="888"/>
        <v>709.28000000000009</v>
      </c>
      <c r="O334" s="280">
        <f t="shared" si="899"/>
        <v>709.28000000000009</v>
      </c>
      <c r="P334" s="441">
        <f t="shared" si="890"/>
        <v>684.28000000000009</v>
      </c>
      <c r="Q334" s="280">
        <f t="shared" si="900"/>
        <v>684.28000000000009</v>
      </c>
      <c r="R334" s="441">
        <f t="shared" si="892"/>
        <v>674.28000000000009</v>
      </c>
      <c r="S334" s="280">
        <f t="shared" si="901"/>
        <v>674.28000000000009</v>
      </c>
      <c r="T334" s="100">
        <f t="shared" si="894"/>
        <v>659.28000000000009</v>
      </c>
      <c r="U334" s="295">
        <f t="shared" si="902"/>
        <v>659.28000000000009</v>
      </c>
      <c r="V334" s="100">
        <f t="shared" si="896"/>
        <v>647.28000000000009</v>
      </c>
      <c r="W334" s="295">
        <f t="shared" si="903"/>
        <v>647.28000000000009</v>
      </c>
      <c r="X334" s="148"/>
      <c r="Y334" s="129"/>
      <c r="Z334" s="136"/>
      <c r="AA334" s="136"/>
      <c r="AB334" s="399">
        <v>2156</v>
      </c>
      <c r="AC334" s="22"/>
      <c r="AD334" s="22"/>
    </row>
    <row r="335" spans="1:34" ht="12.6" customHeight="1" x14ac:dyDescent="0.2">
      <c r="A335" s="18"/>
      <c r="B335" s="664" t="s">
        <v>216</v>
      </c>
      <c r="C335" s="680"/>
      <c r="D335" s="680"/>
      <c r="E335" s="681"/>
      <c r="F335" s="365">
        <f>0.484*X2</f>
        <v>526.59199999999998</v>
      </c>
      <c r="G335" s="279">
        <f t="shared" ref="G335" si="904">+F335*$X$1</f>
        <v>526.59199999999998</v>
      </c>
      <c r="H335" s="273"/>
      <c r="I335" s="331"/>
      <c r="J335" s="610"/>
      <c r="K335" s="279"/>
      <c r="L335" s="610">
        <f t="shared" si="886"/>
        <v>686.59199999999998</v>
      </c>
      <c r="M335" s="279">
        <f t="shared" ref="M335:M339" si="905">+L335*$X$1</f>
        <v>686.59199999999998</v>
      </c>
      <c r="N335" s="610">
        <f t="shared" si="888"/>
        <v>626.59199999999998</v>
      </c>
      <c r="O335" s="279">
        <f t="shared" ref="O335:O339" si="906">+N335*$X$1</f>
        <v>626.59199999999998</v>
      </c>
      <c r="P335" s="610">
        <f t="shared" si="890"/>
        <v>601.59199999999998</v>
      </c>
      <c r="Q335" s="279">
        <f t="shared" ref="Q335:Q338" si="907">+P335*$X$1</f>
        <v>601.59199999999998</v>
      </c>
      <c r="R335" s="610">
        <f t="shared" si="892"/>
        <v>591.59199999999998</v>
      </c>
      <c r="S335" s="279">
        <f t="shared" ref="S335:S338" si="908">+R335*$X$1</f>
        <v>591.59199999999998</v>
      </c>
      <c r="T335" s="101">
        <f t="shared" si="894"/>
        <v>576.59199999999998</v>
      </c>
      <c r="U335" s="252">
        <f t="shared" ref="U335:U338" si="909">+T335*$X$1</f>
        <v>576.59199999999998</v>
      </c>
      <c r="V335" s="101">
        <f t="shared" si="896"/>
        <v>564.59199999999998</v>
      </c>
      <c r="W335" s="252">
        <f t="shared" ref="W335:W338" si="910">+V335*$X$1</f>
        <v>564.59199999999998</v>
      </c>
      <c r="X335" s="129"/>
      <c r="Y335" s="136"/>
      <c r="Z335" s="136"/>
      <c r="AA335" s="136"/>
      <c r="AB335" s="399">
        <v>2160</v>
      </c>
      <c r="AC335" s="22"/>
      <c r="AD335" s="22"/>
      <c r="AH335" s="63"/>
    </row>
    <row r="336" spans="1:34" ht="12.6" customHeight="1" x14ac:dyDescent="0.2">
      <c r="A336" s="95"/>
      <c r="B336" s="715" t="s">
        <v>217</v>
      </c>
      <c r="C336" s="716"/>
      <c r="D336" s="716"/>
      <c r="E336" s="717"/>
      <c r="F336" s="366">
        <f>0.57*X2</f>
        <v>620.16</v>
      </c>
      <c r="G336" s="295">
        <f t="shared" ref="G336" si="911">+F336*$X$1</f>
        <v>620.16</v>
      </c>
      <c r="H336" s="441"/>
      <c r="I336" s="441"/>
      <c r="J336" s="118"/>
      <c r="K336" s="280"/>
      <c r="L336" s="441">
        <f t="shared" si="886"/>
        <v>780.16</v>
      </c>
      <c r="M336" s="280">
        <f t="shared" si="905"/>
        <v>780.16</v>
      </c>
      <c r="N336" s="441">
        <f t="shared" si="888"/>
        <v>720.16</v>
      </c>
      <c r="O336" s="280">
        <f t="shared" si="906"/>
        <v>720.16</v>
      </c>
      <c r="P336" s="441">
        <f t="shared" si="890"/>
        <v>695.16</v>
      </c>
      <c r="Q336" s="280">
        <f t="shared" si="907"/>
        <v>695.16</v>
      </c>
      <c r="R336" s="441">
        <f t="shared" si="892"/>
        <v>685.16</v>
      </c>
      <c r="S336" s="280">
        <f t="shared" si="908"/>
        <v>685.16</v>
      </c>
      <c r="T336" s="100">
        <f t="shared" si="894"/>
        <v>670.16</v>
      </c>
      <c r="U336" s="295">
        <f t="shared" si="909"/>
        <v>670.16</v>
      </c>
      <c r="V336" s="100">
        <f t="shared" si="896"/>
        <v>658.16</v>
      </c>
      <c r="W336" s="295">
        <f t="shared" si="910"/>
        <v>658.16</v>
      </c>
      <c r="X336" s="129"/>
      <c r="Y336" s="136"/>
      <c r="Z336" s="136"/>
      <c r="AA336" s="136"/>
      <c r="AB336" s="386">
        <v>2174</v>
      </c>
      <c r="AC336" s="65"/>
      <c r="AD336" s="22"/>
    </row>
    <row r="337" spans="1:31" ht="12.6" customHeight="1" x14ac:dyDescent="0.2">
      <c r="A337" s="95"/>
      <c r="B337" s="697" t="s">
        <v>218</v>
      </c>
      <c r="C337" s="698"/>
      <c r="D337" s="698"/>
      <c r="E337" s="699"/>
      <c r="F337" s="365">
        <f>0.57*X2</f>
        <v>620.16</v>
      </c>
      <c r="G337" s="252">
        <f>+F337*$X$1</f>
        <v>620.16</v>
      </c>
      <c r="H337" s="610"/>
      <c r="I337" s="610"/>
      <c r="J337" s="119"/>
      <c r="K337" s="279"/>
      <c r="L337" s="610">
        <f t="shared" si="886"/>
        <v>780.16</v>
      </c>
      <c r="M337" s="279">
        <f t="shared" si="905"/>
        <v>780.16</v>
      </c>
      <c r="N337" s="610">
        <f t="shared" si="888"/>
        <v>720.16</v>
      </c>
      <c r="O337" s="279">
        <f t="shared" si="906"/>
        <v>720.16</v>
      </c>
      <c r="P337" s="610">
        <f t="shared" si="890"/>
        <v>695.16</v>
      </c>
      <c r="Q337" s="279">
        <f t="shared" si="907"/>
        <v>695.16</v>
      </c>
      <c r="R337" s="610">
        <f t="shared" si="892"/>
        <v>685.16</v>
      </c>
      <c r="S337" s="279">
        <f t="shared" si="908"/>
        <v>685.16</v>
      </c>
      <c r="T337" s="101">
        <f t="shared" si="894"/>
        <v>670.16</v>
      </c>
      <c r="U337" s="252">
        <f t="shared" si="909"/>
        <v>670.16</v>
      </c>
      <c r="V337" s="101">
        <f t="shared" si="896"/>
        <v>658.16</v>
      </c>
      <c r="W337" s="252">
        <f t="shared" si="910"/>
        <v>658.16</v>
      </c>
      <c r="X337" s="129"/>
      <c r="Y337" s="136"/>
      <c r="Z337" s="136"/>
      <c r="AA337" s="136"/>
      <c r="AB337" s="386" t="s">
        <v>330</v>
      </c>
      <c r="AC337" s="65"/>
      <c r="AD337" s="22"/>
    </row>
    <row r="338" spans="1:31" ht="12.6" customHeight="1" x14ac:dyDescent="0.2">
      <c r="A338" s="95"/>
      <c r="B338" s="647" t="s">
        <v>670</v>
      </c>
      <c r="C338" s="648"/>
      <c r="D338" s="648"/>
      <c r="E338" s="648"/>
      <c r="F338" s="366">
        <f>0.58*X2</f>
        <v>631.04</v>
      </c>
      <c r="G338" s="295">
        <f>+F338*$X$1</f>
        <v>631.04</v>
      </c>
      <c r="H338" s="441"/>
      <c r="I338" s="441"/>
      <c r="J338" s="118"/>
      <c r="K338" s="280"/>
      <c r="L338" s="441">
        <f t="shared" si="886"/>
        <v>791.04</v>
      </c>
      <c r="M338" s="280">
        <f t="shared" si="905"/>
        <v>791.04</v>
      </c>
      <c r="N338" s="441">
        <f t="shared" si="888"/>
        <v>731.04</v>
      </c>
      <c r="O338" s="280">
        <f t="shared" si="906"/>
        <v>731.04</v>
      </c>
      <c r="P338" s="441">
        <f t="shared" si="890"/>
        <v>706.04</v>
      </c>
      <c r="Q338" s="280">
        <f t="shared" si="907"/>
        <v>706.04</v>
      </c>
      <c r="R338" s="441">
        <f t="shared" si="892"/>
        <v>696.04</v>
      </c>
      <c r="S338" s="280">
        <f t="shared" si="908"/>
        <v>696.04</v>
      </c>
      <c r="T338" s="100">
        <f t="shared" si="894"/>
        <v>681.04</v>
      </c>
      <c r="U338" s="295">
        <f t="shared" si="909"/>
        <v>681.04</v>
      </c>
      <c r="V338" s="100">
        <f t="shared" si="896"/>
        <v>669.04</v>
      </c>
      <c r="W338" s="295">
        <f t="shared" si="910"/>
        <v>669.04</v>
      </c>
      <c r="X338" s="129"/>
      <c r="Y338" s="136"/>
      <c r="Z338" s="136"/>
      <c r="AA338" s="136"/>
      <c r="AB338" s="386">
        <v>2180</v>
      </c>
      <c r="AC338" s="22"/>
      <c r="AD338" s="22"/>
    </row>
    <row r="339" spans="1:31" ht="12" customHeight="1" x14ac:dyDescent="0.2">
      <c r="A339" s="182"/>
      <c r="B339" s="664" t="s">
        <v>219</v>
      </c>
      <c r="C339" s="665"/>
      <c r="D339" s="665"/>
      <c r="E339" s="666"/>
      <c r="F339" s="365">
        <f>0.8*X2</f>
        <v>870.40000000000009</v>
      </c>
      <c r="G339" s="252">
        <f>+F339*$X$1</f>
        <v>870.40000000000009</v>
      </c>
      <c r="H339" s="610"/>
      <c r="I339" s="610"/>
      <c r="J339" s="119"/>
      <c r="K339" s="279"/>
      <c r="L339" s="610">
        <f t="shared" si="886"/>
        <v>1030.4000000000001</v>
      </c>
      <c r="M339" s="279">
        <f t="shared" si="905"/>
        <v>1030.4000000000001</v>
      </c>
      <c r="N339" s="610">
        <f t="shared" si="888"/>
        <v>970.40000000000009</v>
      </c>
      <c r="O339" s="279">
        <f t="shared" si="906"/>
        <v>970.40000000000009</v>
      </c>
      <c r="P339" s="610"/>
      <c r="Q339" s="279"/>
      <c r="R339" s="610"/>
      <c r="S339" s="279"/>
      <c r="T339" s="101"/>
      <c r="U339" s="252"/>
      <c r="V339" s="101"/>
      <c r="W339" s="252"/>
      <c r="X339" s="129"/>
      <c r="Y339" s="129"/>
      <c r="Z339" s="129"/>
      <c r="AA339" s="129"/>
      <c r="AB339" s="386">
        <v>2184</v>
      </c>
    </row>
    <row r="340" spans="1:31" ht="12" customHeight="1" x14ac:dyDescent="0.2">
      <c r="A340" s="182"/>
      <c r="B340" s="661" t="s">
        <v>220</v>
      </c>
      <c r="C340" s="694"/>
      <c r="D340" s="694"/>
      <c r="E340" s="695"/>
      <c r="F340" s="366">
        <f>0.71*X2</f>
        <v>772.48</v>
      </c>
      <c r="G340" s="295">
        <f>+F340*$X$1</f>
        <v>772.48</v>
      </c>
      <c r="H340" s="441"/>
      <c r="I340" s="441"/>
      <c r="J340" s="118"/>
      <c r="K340" s="280"/>
      <c r="L340" s="441">
        <f t="shared" si="886"/>
        <v>932.48</v>
      </c>
      <c r="M340" s="280">
        <f t="shared" ref="M340:M342" si="912">+L340*$X$1</f>
        <v>932.48</v>
      </c>
      <c r="N340" s="441">
        <f t="shared" si="888"/>
        <v>872.48</v>
      </c>
      <c r="O340" s="280">
        <f t="shared" ref="O340:O342" si="913">+N340*$X$1</f>
        <v>872.48</v>
      </c>
      <c r="P340" s="441">
        <f t="shared" ref="P340:P347" si="914">F340+75</f>
        <v>847.48</v>
      </c>
      <c r="Q340" s="280">
        <f t="shared" ref="Q340:Q342" si="915">+P340*$X$1</f>
        <v>847.48</v>
      </c>
      <c r="R340" s="441">
        <f t="shared" ref="R340:R345" si="916">F340+65</f>
        <v>837.48</v>
      </c>
      <c r="S340" s="280">
        <f t="shared" ref="S340:S342" si="917">+R340*$X$1</f>
        <v>837.48</v>
      </c>
      <c r="T340" s="100">
        <f t="shared" ref="T340:T345" si="918">F340+50</f>
        <v>822.48</v>
      </c>
      <c r="U340" s="295">
        <f t="shared" ref="U340:U342" si="919">+T340*$X$1</f>
        <v>822.48</v>
      </c>
      <c r="V340" s="100">
        <f t="shared" ref="V340:V345" si="920">F340+38</f>
        <v>810.48</v>
      </c>
      <c r="W340" s="295">
        <f t="shared" ref="W340:W342" si="921">+V340*$X$1</f>
        <v>810.48</v>
      </c>
      <c r="X340" s="129"/>
      <c r="Y340" s="129"/>
      <c r="Z340" s="129"/>
      <c r="AA340" s="129"/>
      <c r="AB340" s="386" t="s">
        <v>221</v>
      </c>
    </row>
    <row r="341" spans="1:31" ht="12" customHeight="1" x14ac:dyDescent="0.2">
      <c r="A341" s="95"/>
      <c r="B341" s="664" t="s">
        <v>222</v>
      </c>
      <c r="C341" s="680"/>
      <c r="D341" s="680"/>
      <c r="E341" s="681"/>
      <c r="F341" s="365">
        <f>0.372*X2</f>
        <v>404.73599999999999</v>
      </c>
      <c r="G341" s="252">
        <f>+F341*$X$1</f>
        <v>404.73599999999999</v>
      </c>
      <c r="H341" s="610"/>
      <c r="I341" s="610"/>
      <c r="J341" s="119"/>
      <c r="K341" s="279"/>
      <c r="L341" s="610">
        <f t="shared" si="886"/>
        <v>564.73599999999999</v>
      </c>
      <c r="M341" s="279">
        <f t="shared" si="912"/>
        <v>564.73599999999999</v>
      </c>
      <c r="N341" s="610">
        <f t="shared" si="888"/>
        <v>504.73599999999999</v>
      </c>
      <c r="O341" s="279">
        <f t="shared" si="913"/>
        <v>504.73599999999999</v>
      </c>
      <c r="P341" s="610">
        <f t="shared" si="914"/>
        <v>479.73599999999999</v>
      </c>
      <c r="Q341" s="279">
        <f t="shared" si="915"/>
        <v>479.73599999999999</v>
      </c>
      <c r="R341" s="610">
        <f t="shared" si="916"/>
        <v>469.73599999999999</v>
      </c>
      <c r="S341" s="279">
        <f t="shared" si="917"/>
        <v>469.73599999999999</v>
      </c>
      <c r="T341" s="101">
        <f t="shared" si="918"/>
        <v>454.73599999999999</v>
      </c>
      <c r="U341" s="252">
        <f t="shared" si="919"/>
        <v>454.73599999999999</v>
      </c>
      <c r="V341" s="101">
        <f t="shared" si="920"/>
        <v>442.73599999999999</v>
      </c>
      <c r="W341" s="252">
        <f t="shared" si="921"/>
        <v>442.73599999999999</v>
      </c>
      <c r="X341" s="129"/>
      <c r="Y341" s="129"/>
      <c r="Z341" s="129"/>
      <c r="AA341" s="129"/>
      <c r="AB341" s="386">
        <v>2189</v>
      </c>
    </row>
    <row r="342" spans="1:31" ht="12.6" customHeight="1" x14ac:dyDescent="0.2">
      <c r="A342" s="95"/>
      <c r="B342" s="661" t="s">
        <v>223</v>
      </c>
      <c r="C342" s="694"/>
      <c r="D342" s="694"/>
      <c r="E342" s="695"/>
      <c r="F342" s="366">
        <f>0.6*X2</f>
        <v>652.79999999999995</v>
      </c>
      <c r="G342" s="295">
        <f t="shared" ref="G342" si="922">+F342*$X$1</f>
        <v>652.79999999999995</v>
      </c>
      <c r="H342" s="441"/>
      <c r="I342" s="441"/>
      <c r="J342" s="118"/>
      <c r="K342" s="280"/>
      <c r="L342" s="441">
        <f t="shared" si="886"/>
        <v>812.8</v>
      </c>
      <c r="M342" s="280">
        <f t="shared" si="912"/>
        <v>812.8</v>
      </c>
      <c r="N342" s="441">
        <f t="shared" si="888"/>
        <v>752.8</v>
      </c>
      <c r="O342" s="280">
        <f t="shared" si="913"/>
        <v>752.8</v>
      </c>
      <c r="P342" s="441">
        <f t="shared" si="914"/>
        <v>727.8</v>
      </c>
      <c r="Q342" s="280">
        <f t="shared" si="915"/>
        <v>727.8</v>
      </c>
      <c r="R342" s="441">
        <f t="shared" si="916"/>
        <v>717.8</v>
      </c>
      <c r="S342" s="280">
        <f t="shared" si="917"/>
        <v>717.8</v>
      </c>
      <c r="T342" s="100">
        <f t="shared" si="918"/>
        <v>702.8</v>
      </c>
      <c r="U342" s="295">
        <f t="shared" si="919"/>
        <v>702.8</v>
      </c>
      <c r="V342" s="100">
        <f t="shared" si="920"/>
        <v>690.8</v>
      </c>
      <c r="W342" s="295">
        <f t="shared" si="921"/>
        <v>690.8</v>
      </c>
      <c r="X342" s="129"/>
      <c r="Y342" s="129"/>
      <c r="Z342" s="129"/>
      <c r="AA342" s="129"/>
      <c r="AB342" s="386">
        <v>2190</v>
      </c>
    </row>
    <row r="343" spans="1:31" ht="12.6" customHeight="1" x14ac:dyDescent="0.2">
      <c r="A343" s="18"/>
      <c r="B343" s="696" t="s">
        <v>224</v>
      </c>
      <c r="C343" s="680"/>
      <c r="D343" s="680"/>
      <c r="E343" s="681"/>
      <c r="F343" s="365">
        <f>0.521*X2</f>
        <v>566.84800000000007</v>
      </c>
      <c r="G343" s="252">
        <f>+F343*$X$1</f>
        <v>566.84800000000007</v>
      </c>
      <c r="H343" s="610"/>
      <c r="I343" s="610"/>
      <c r="J343" s="119"/>
      <c r="K343" s="279"/>
      <c r="L343" s="610">
        <f t="shared" si="886"/>
        <v>726.84800000000007</v>
      </c>
      <c r="M343" s="279">
        <f t="shared" ref="M343:M346" si="923">+L343*$X$1</f>
        <v>726.84800000000007</v>
      </c>
      <c r="N343" s="610">
        <f t="shared" si="888"/>
        <v>666.84800000000007</v>
      </c>
      <c r="O343" s="279">
        <f t="shared" ref="O343:O346" si="924">+N343*$X$1</f>
        <v>666.84800000000007</v>
      </c>
      <c r="P343" s="610">
        <f t="shared" si="914"/>
        <v>641.84800000000007</v>
      </c>
      <c r="Q343" s="279">
        <f t="shared" ref="Q343:Q346" si="925">+P343*$X$1</f>
        <v>641.84800000000007</v>
      </c>
      <c r="R343" s="610">
        <f t="shared" si="916"/>
        <v>631.84800000000007</v>
      </c>
      <c r="S343" s="279">
        <f t="shared" ref="S343:S345" si="926">+R343*$X$1</f>
        <v>631.84800000000007</v>
      </c>
      <c r="T343" s="101">
        <f t="shared" si="918"/>
        <v>616.84800000000007</v>
      </c>
      <c r="U343" s="252">
        <f t="shared" ref="U343:U345" si="927">+T343*$X$1</f>
        <v>616.84800000000007</v>
      </c>
      <c r="V343" s="101">
        <f t="shared" si="920"/>
        <v>604.84800000000007</v>
      </c>
      <c r="W343" s="252">
        <f t="shared" ref="W343:W345" si="928">+V343*$X$1</f>
        <v>604.84800000000007</v>
      </c>
      <c r="X343" s="179"/>
      <c r="Y343" s="180"/>
      <c r="Z343" s="180"/>
      <c r="AA343" s="179"/>
      <c r="AB343" s="386">
        <v>2193</v>
      </c>
    </row>
    <row r="344" spans="1:31" ht="12.6" customHeight="1" x14ac:dyDescent="0.2">
      <c r="A344" s="18"/>
      <c r="B344" s="647" t="s">
        <v>225</v>
      </c>
      <c r="C344" s="648"/>
      <c r="D344" s="648"/>
      <c r="E344" s="648"/>
      <c r="F344" s="366">
        <f>0.57*X2</f>
        <v>620.16</v>
      </c>
      <c r="G344" s="295">
        <f>+F344*$X$1</f>
        <v>620.16</v>
      </c>
      <c r="H344" s="441"/>
      <c r="I344" s="441"/>
      <c r="J344" s="118"/>
      <c r="K344" s="280"/>
      <c r="L344" s="441">
        <f t="shared" si="886"/>
        <v>780.16</v>
      </c>
      <c r="M344" s="280">
        <f t="shared" si="923"/>
        <v>780.16</v>
      </c>
      <c r="N344" s="441">
        <f t="shared" si="888"/>
        <v>720.16</v>
      </c>
      <c r="O344" s="280">
        <f t="shared" si="924"/>
        <v>720.16</v>
      </c>
      <c r="P344" s="441">
        <f t="shared" si="914"/>
        <v>695.16</v>
      </c>
      <c r="Q344" s="280">
        <f t="shared" si="925"/>
        <v>695.16</v>
      </c>
      <c r="R344" s="441">
        <f t="shared" si="916"/>
        <v>685.16</v>
      </c>
      <c r="S344" s="280">
        <f t="shared" si="926"/>
        <v>685.16</v>
      </c>
      <c r="T344" s="100">
        <f t="shared" si="918"/>
        <v>670.16</v>
      </c>
      <c r="U344" s="295">
        <f t="shared" si="927"/>
        <v>670.16</v>
      </c>
      <c r="V344" s="100">
        <f t="shared" si="920"/>
        <v>658.16</v>
      </c>
      <c r="W344" s="295">
        <f t="shared" si="928"/>
        <v>658.16</v>
      </c>
      <c r="X344" s="129"/>
      <c r="Y344" s="129"/>
      <c r="Z344" s="129"/>
      <c r="AA344" s="129"/>
      <c r="AB344" s="386">
        <v>2194</v>
      </c>
    </row>
    <row r="345" spans="1:31" ht="12.6" customHeight="1" x14ac:dyDescent="0.2">
      <c r="A345" s="18"/>
      <c r="B345" s="739" t="s">
        <v>226</v>
      </c>
      <c r="C345" s="740"/>
      <c r="D345" s="740"/>
      <c r="E345" s="741"/>
      <c r="F345" s="365">
        <f>0.67*X2</f>
        <v>728.96</v>
      </c>
      <c r="G345" s="252">
        <f>+F345*$X$1</f>
        <v>728.96</v>
      </c>
      <c r="H345" s="610"/>
      <c r="I345" s="610"/>
      <c r="J345" s="119"/>
      <c r="K345" s="279"/>
      <c r="L345" s="610">
        <f t="shared" si="886"/>
        <v>888.96</v>
      </c>
      <c r="M345" s="279">
        <f t="shared" si="923"/>
        <v>888.96</v>
      </c>
      <c r="N345" s="610">
        <f t="shared" si="888"/>
        <v>828.96</v>
      </c>
      <c r="O345" s="279">
        <f t="shared" si="924"/>
        <v>828.96</v>
      </c>
      <c r="P345" s="610">
        <f t="shared" si="914"/>
        <v>803.96</v>
      </c>
      <c r="Q345" s="279">
        <f t="shared" si="925"/>
        <v>803.96</v>
      </c>
      <c r="R345" s="610">
        <f t="shared" si="916"/>
        <v>793.96</v>
      </c>
      <c r="S345" s="279">
        <f t="shared" si="926"/>
        <v>793.96</v>
      </c>
      <c r="T345" s="101">
        <f t="shared" si="918"/>
        <v>778.96</v>
      </c>
      <c r="U345" s="252">
        <f t="shared" si="927"/>
        <v>778.96</v>
      </c>
      <c r="V345" s="101">
        <f t="shared" si="920"/>
        <v>766.96</v>
      </c>
      <c r="W345" s="252">
        <f t="shared" si="928"/>
        <v>766.96</v>
      </c>
      <c r="X345" s="129"/>
      <c r="Y345" s="129"/>
      <c r="Z345" s="129"/>
      <c r="AA345" s="129"/>
      <c r="AB345" s="386">
        <v>2195</v>
      </c>
    </row>
    <row r="346" spans="1:31" ht="12.6" customHeight="1" x14ac:dyDescent="0.2">
      <c r="A346" s="18"/>
      <c r="B346" s="647" t="s">
        <v>227</v>
      </c>
      <c r="C346" s="648"/>
      <c r="D346" s="648"/>
      <c r="E346" s="648"/>
      <c r="F346" s="366">
        <f>0.652*X2</f>
        <v>709.37599999999998</v>
      </c>
      <c r="G346" s="295">
        <f>+F346*$X$1</f>
        <v>709.37599999999998</v>
      </c>
      <c r="H346" s="441"/>
      <c r="I346" s="441"/>
      <c r="J346" s="441"/>
      <c r="K346" s="280"/>
      <c r="L346" s="441">
        <f t="shared" si="886"/>
        <v>869.37599999999998</v>
      </c>
      <c r="M346" s="280">
        <f t="shared" si="923"/>
        <v>869.37599999999998</v>
      </c>
      <c r="N346" s="441">
        <f t="shared" si="888"/>
        <v>809.37599999999998</v>
      </c>
      <c r="O346" s="280">
        <f t="shared" si="924"/>
        <v>809.37599999999998</v>
      </c>
      <c r="P346" s="441">
        <f t="shared" si="914"/>
        <v>784.37599999999998</v>
      </c>
      <c r="Q346" s="280">
        <f t="shared" si="925"/>
        <v>784.37599999999998</v>
      </c>
      <c r="R346" s="441"/>
      <c r="S346" s="280"/>
      <c r="T346" s="100"/>
      <c r="U346" s="295"/>
      <c r="V346" s="100"/>
      <c r="W346" s="295"/>
      <c r="X346" s="129"/>
      <c r="Y346" s="129"/>
      <c r="Z346" s="129"/>
      <c r="AA346" s="129"/>
      <c r="AB346" s="386">
        <v>2198</v>
      </c>
    </row>
    <row r="347" spans="1:31" ht="12.6" customHeight="1" x14ac:dyDescent="0.2">
      <c r="A347" s="102"/>
      <c r="B347" s="659" t="s">
        <v>320</v>
      </c>
      <c r="C347" s="721"/>
      <c r="D347" s="721"/>
      <c r="E347" s="721"/>
      <c r="F347" s="365">
        <f>0.53*X2</f>
        <v>576.64</v>
      </c>
      <c r="G347" s="252">
        <f>+F347*$X$1</f>
        <v>576.64</v>
      </c>
      <c r="H347" s="610"/>
      <c r="I347" s="610"/>
      <c r="J347" s="610"/>
      <c r="K347" s="279"/>
      <c r="L347" s="610">
        <f t="shared" si="886"/>
        <v>736.64</v>
      </c>
      <c r="M347" s="279">
        <f t="shared" ref="M347" si="929">+L347*$X$1</f>
        <v>736.64</v>
      </c>
      <c r="N347" s="610">
        <f t="shared" si="888"/>
        <v>676.64</v>
      </c>
      <c r="O347" s="279">
        <f t="shared" ref="O347" si="930">+N347*$X$1</f>
        <v>676.64</v>
      </c>
      <c r="P347" s="610">
        <f t="shared" si="914"/>
        <v>651.64</v>
      </c>
      <c r="Q347" s="279">
        <f t="shared" ref="Q347" si="931">+P347*$X$1</f>
        <v>651.64</v>
      </c>
      <c r="R347" s="610">
        <f>F347+65</f>
        <v>641.64</v>
      </c>
      <c r="S347" s="279">
        <f t="shared" ref="S347" si="932">+R347*$X$1</f>
        <v>641.64</v>
      </c>
      <c r="T347" s="101">
        <f>F347+50</f>
        <v>626.64</v>
      </c>
      <c r="U347" s="252">
        <f t="shared" ref="U347" si="933">+T347*$X$1</f>
        <v>626.64</v>
      </c>
      <c r="V347" s="101">
        <f>F347+38</f>
        <v>614.64</v>
      </c>
      <c r="W347" s="252">
        <f t="shared" ref="W347" si="934">+V347*$X$1</f>
        <v>614.64</v>
      </c>
      <c r="X347" s="150"/>
      <c r="Y347" s="129"/>
      <c r="Z347" s="129"/>
      <c r="AA347" s="129"/>
      <c r="AB347" s="386">
        <v>2202</v>
      </c>
    </row>
    <row r="348" spans="1:31" ht="12.6" customHeight="1" x14ac:dyDescent="0.2">
      <c r="A348" s="102"/>
      <c r="B348" s="647" t="s">
        <v>321</v>
      </c>
      <c r="C348" s="712"/>
      <c r="D348" s="712"/>
      <c r="E348" s="712"/>
      <c r="F348" s="366">
        <f>0.53*X2</f>
        <v>576.64</v>
      </c>
      <c r="G348" s="295">
        <f t="shared" ref="G348:G352" si="935">+F348*$X$1</f>
        <v>576.64</v>
      </c>
      <c r="H348" s="441"/>
      <c r="I348" s="441"/>
      <c r="J348" s="441"/>
      <c r="K348" s="280"/>
      <c r="L348" s="441">
        <f t="shared" ref="L348:L356" si="936">F348+160</f>
        <v>736.64</v>
      </c>
      <c r="M348" s="280">
        <f t="shared" ref="M348:M357" si="937">+L348*$X$1</f>
        <v>736.64</v>
      </c>
      <c r="N348" s="441">
        <f t="shared" ref="N348:N356" si="938">F348+100</f>
        <v>676.64</v>
      </c>
      <c r="O348" s="280">
        <f t="shared" ref="O348:O356" si="939">+N348*$X$1</f>
        <v>676.64</v>
      </c>
      <c r="P348" s="441">
        <f t="shared" ref="P348:P356" si="940">F348+75</f>
        <v>651.64</v>
      </c>
      <c r="Q348" s="280">
        <f t="shared" ref="Q348:Q357" si="941">+P348*$X$1</f>
        <v>651.64</v>
      </c>
      <c r="R348" s="441">
        <f t="shared" ref="R348:R356" si="942">F348+65</f>
        <v>641.64</v>
      </c>
      <c r="S348" s="280">
        <f t="shared" ref="S348:S356" si="943">+R348*$X$1</f>
        <v>641.64</v>
      </c>
      <c r="T348" s="100">
        <f t="shared" ref="T348:T356" si="944">F348+50</f>
        <v>626.64</v>
      </c>
      <c r="U348" s="295">
        <f t="shared" ref="U348:U357" si="945">+T348*$X$1</f>
        <v>626.64</v>
      </c>
      <c r="V348" s="100">
        <f t="shared" ref="V348:V356" si="946">F348+38</f>
        <v>614.64</v>
      </c>
      <c r="W348" s="295">
        <f t="shared" ref="W348:W357" si="947">+V348*$X$1</f>
        <v>614.64</v>
      </c>
      <c r="X348" s="129"/>
      <c r="Y348" s="129"/>
      <c r="Z348" s="129"/>
      <c r="AA348" s="129"/>
      <c r="AB348" s="386" t="s">
        <v>228</v>
      </c>
    </row>
    <row r="349" spans="1:31" ht="12.6" customHeight="1" x14ac:dyDescent="0.2">
      <c r="A349" s="102"/>
      <c r="B349" s="659" t="s">
        <v>322</v>
      </c>
      <c r="C349" s="721"/>
      <c r="D349" s="721"/>
      <c r="E349" s="721"/>
      <c r="F349" s="365">
        <f>0.52*X2</f>
        <v>565.76</v>
      </c>
      <c r="G349" s="252">
        <f t="shared" ref="G349:G353" si="948">+F349*$X$1</f>
        <v>565.76</v>
      </c>
      <c r="H349" s="610"/>
      <c r="I349" s="610"/>
      <c r="J349" s="610"/>
      <c r="K349" s="296"/>
      <c r="L349" s="610">
        <f t="shared" si="936"/>
        <v>725.76</v>
      </c>
      <c r="M349" s="279">
        <f t="shared" si="937"/>
        <v>725.76</v>
      </c>
      <c r="N349" s="610">
        <f t="shared" si="938"/>
        <v>665.76</v>
      </c>
      <c r="O349" s="279">
        <f t="shared" si="939"/>
        <v>665.76</v>
      </c>
      <c r="P349" s="610">
        <f t="shared" si="940"/>
        <v>640.76</v>
      </c>
      <c r="Q349" s="279">
        <f t="shared" si="941"/>
        <v>640.76</v>
      </c>
      <c r="R349" s="610">
        <f t="shared" si="942"/>
        <v>630.76</v>
      </c>
      <c r="S349" s="279">
        <f t="shared" si="943"/>
        <v>630.76</v>
      </c>
      <c r="T349" s="101">
        <f t="shared" si="944"/>
        <v>615.76</v>
      </c>
      <c r="U349" s="252">
        <f t="shared" si="945"/>
        <v>615.76</v>
      </c>
      <c r="V349" s="101">
        <f t="shared" si="946"/>
        <v>603.76</v>
      </c>
      <c r="W349" s="252">
        <f t="shared" si="947"/>
        <v>603.76</v>
      </c>
      <c r="X349" s="129"/>
      <c r="Y349" s="129"/>
      <c r="Z349" s="129"/>
      <c r="AA349" s="129"/>
      <c r="AB349" s="386" t="s">
        <v>229</v>
      </c>
    </row>
    <row r="350" spans="1:31" ht="12.6" customHeight="1" x14ac:dyDescent="0.2">
      <c r="A350" s="102"/>
      <c r="B350" s="647" t="s">
        <v>846</v>
      </c>
      <c r="C350" s="712"/>
      <c r="D350" s="712"/>
      <c r="E350" s="712"/>
      <c r="F350" s="366">
        <f>0.52*X2</f>
        <v>565.76</v>
      </c>
      <c r="G350" s="295">
        <f t="shared" ref="G350" si="949">+F350*$X$1</f>
        <v>565.76</v>
      </c>
      <c r="H350" s="441"/>
      <c r="I350" s="441"/>
      <c r="J350" s="441"/>
      <c r="K350" s="309"/>
      <c r="L350" s="441">
        <f t="shared" si="936"/>
        <v>725.76</v>
      </c>
      <c r="M350" s="280">
        <f t="shared" si="937"/>
        <v>725.76</v>
      </c>
      <c r="N350" s="441">
        <f t="shared" si="938"/>
        <v>665.76</v>
      </c>
      <c r="O350" s="280">
        <f t="shared" si="939"/>
        <v>665.76</v>
      </c>
      <c r="P350" s="441">
        <f t="shared" si="940"/>
        <v>640.76</v>
      </c>
      <c r="Q350" s="280">
        <f t="shared" si="941"/>
        <v>640.76</v>
      </c>
      <c r="R350" s="441">
        <f t="shared" si="942"/>
        <v>630.76</v>
      </c>
      <c r="S350" s="280">
        <f t="shared" si="943"/>
        <v>630.76</v>
      </c>
      <c r="T350" s="100">
        <f t="shared" si="944"/>
        <v>615.76</v>
      </c>
      <c r="U350" s="295">
        <f t="shared" si="945"/>
        <v>615.76</v>
      </c>
      <c r="V350" s="100">
        <f t="shared" si="946"/>
        <v>603.76</v>
      </c>
      <c r="W350" s="295">
        <f t="shared" si="947"/>
        <v>603.76</v>
      </c>
      <c r="X350" s="129"/>
      <c r="Y350" s="129"/>
      <c r="Z350" s="129"/>
      <c r="AA350" s="129"/>
      <c r="AB350" s="492" t="s">
        <v>845</v>
      </c>
    </row>
    <row r="351" spans="1:31" ht="12.6" customHeight="1" x14ac:dyDescent="0.2">
      <c r="A351" s="102"/>
      <c r="B351" s="718" t="s">
        <v>622</v>
      </c>
      <c r="C351" s="751"/>
      <c r="D351" s="751"/>
      <c r="E351" s="752"/>
      <c r="F351" s="365">
        <f>0.68*X2</f>
        <v>739.84</v>
      </c>
      <c r="G351" s="252">
        <f t="shared" si="948"/>
        <v>739.84</v>
      </c>
      <c r="H351" s="610"/>
      <c r="I351" s="610"/>
      <c r="J351" s="610"/>
      <c r="K351" s="279"/>
      <c r="L351" s="610">
        <f t="shared" si="936"/>
        <v>899.84</v>
      </c>
      <c r="M351" s="279">
        <f t="shared" si="937"/>
        <v>899.84</v>
      </c>
      <c r="N351" s="610">
        <f t="shared" si="938"/>
        <v>839.84</v>
      </c>
      <c r="O351" s="279">
        <f t="shared" si="939"/>
        <v>839.84</v>
      </c>
      <c r="P351" s="610">
        <f t="shared" si="940"/>
        <v>814.84</v>
      </c>
      <c r="Q351" s="279">
        <f t="shared" si="941"/>
        <v>814.84</v>
      </c>
      <c r="R351" s="610">
        <f t="shared" si="942"/>
        <v>804.84</v>
      </c>
      <c r="S351" s="279">
        <f t="shared" si="943"/>
        <v>804.84</v>
      </c>
      <c r="T351" s="101">
        <f t="shared" si="944"/>
        <v>789.84</v>
      </c>
      <c r="U351" s="252">
        <f t="shared" si="945"/>
        <v>789.84</v>
      </c>
      <c r="V351" s="101">
        <f t="shared" si="946"/>
        <v>777.84</v>
      </c>
      <c r="W351" s="252">
        <f t="shared" si="947"/>
        <v>777.84</v>
      </c>
      <c r="X351" s="644"/>
      <c r="Y351" s="644"/>
      <c r="Z351" s="644"/>
      <c r="AA351" s="658"/>
      <c r="AB351" s="386" t="s">
        <v>626</v>
      </c>
      <c r="AC351" s="64"/>
      <c r="AE351" s="85"/>
    </row>
    <row r="352" spans="1:31" ht="12.6" customHeight="1" x14ac:dyDescent="0.2">
      <c r="A352" s="102"/>
      <c r="B352" s="722" t="s">
        <v>230</v>
      </c>
      <c r="C352" s="723"/>
      <c r="D352" s="723"/>
      <c r="E352" s="724"/>
      <c r="F352" s="366">
        <f>0.75*X2</f>
        <v>816</v>
      </c>
      <c r="G352" s="295">
        <f t="shared" si="935"/>
        <v>816</v>
      </c>
      <c r="H352" s="441"/>
      <c r="I352" s="441"/>
      <c r="J352" s="441"/>
      <c r="K352" s="280"/>
      <c r="L352" s="441">
        <f t="shared" si="936"/>
        <v>976</v>
      </c>
      <c r="M352" s="280">
        <f t="shared" si="937"/>
        <v>976</v>
      </c>
      <c r="N352" s="441">
        <f t="shared" si="938"/>
        <v>916</v>
      </c>
      <c r="O352" s="280">
        <f t="shared" si="939"/>
        <v>916</v>
      </c>
      <c r="P352" s="441">
        <f t="shared" si="940"/>
        <v>891</v>
      </c>
      <c r="Q352" s="280">
        <f t="shared" si="941"/>
        <v>891</v>
      </c>
      <c r="R352" s="441">
        <f t="shared" si="942"/>
        <v>881</v>
      </c>
      <c r="S352" s="280">
        <f t="shared" si="943"/>
        <v>881</v>
      </c>
      <c r="T352" s="100">
        <f t="shared" si="944"/>
        <v>866</v>
      </c>
      <c r="U352" s="295">
        <f t="shared" si="945"/>
        <v>866</v>
      </c>
      <c r="V352" s="100">
        <f t="shared" si="946"/>
        <v>854</v>
      </c>
      <c r="W352" s="295">
        <f t="shared" si="947"/>
        <v>854</v>
      </c>
      <c r="X352" s="644"/>
      <c r="Y352" s="644"/>
      <c r="Z352" s="644"/>
      <c r="AA352" s="658"/>
      <c r="AB352" s="386" t="s">
        <v>231</v>
      </c>
      <c r="AC352" s="64"/>
      <c r="AE352" s="85"/>
    </row>
    <row r="353" spans="1:29" ht="12.6" customHeight="1" x14ac:dyDescent="0.2">
      <c r="A353" s="95"/>
      <c r="B353" s="718" t="s">
        <v>232</v>
      </c>
      <c r="C353" s="966"/>
      <c r="D353" s="966"/>
      <c r="E353" s="967"/>
      <c r="F353" s="365">
        <f>0.745*X2</f>
        <v>810.56</v>
      </c>
      <c r="G353" s="252">
        <f t="shared" si="948"/>
        <v>810.56</v>
      </c>
      <c r="H353" s="610"/>
      <c r="I353" s="610"/>
      <c r="J353" s="610"/>
      <c r="K353" s="279"/>
      <c r="L353" s="610">
        <f t="shared" si="936"/>
        <v>970.56</v>
      </c>
      <c r="M353" s="279">
        <f t="shared" si="937"/>
        <v>970.56</v>
      </c>
      <c r="N353" s="610">
        <f t="shared" si="938"/>
        <v>910.56</v>
      </c>
      <c r="O353" s="279">
        <f t="shared" si="939"/>
        <v>910.56</v>
      </c>
      <c r="P353" s="610">
        <f t="shared" si="940"/>
        <v>885.56</v>
      </c>
      <c r="Q353" s="279">
        <f t="shared" si="941"/>
        <v>885.56</v>
      </c>
      <c r="R353" s="610">
        <f t="shared" si="942"/>
        <v>875.56</v>
      </c>
      <c r="S353" s="279">
        <f t="shared" si="943"/>
        <v>875.56</v>
      </c>
      <c r="T353" s="101">
        <f t="shared" si="944"/>
        <v>860.56</v>
      </c>
      <c r="U353" s="252">
        <f t="shared" si="945"/>
        <v>860.56</v>
      </c>
      <c r="V353" s="101">
        <f t="shared" si="946"/>
        <v>848.56</v>
      </c>
      <c r="W353" s="252">
        <f t="shared" si="947"/>
        <v>848.56</v>
      </c>
      <c r="X353" s="166"/>
      <c r="Y353" s="129"/>
      <c r="Z353" s="129"/>
      <c r="AA353" s="129"/>
      <c r="AB353" s="386">
        <v>2203</v>
      </c>
      <c r="AC353" s="224"/>
    </row>
    <row r="354" spans="1:29" ht="12.6" customHeight="1" x14ac:dyDescent="0.2">
      <c r="A354" s="95"/>
      <c r="B354" s="667" t="s">
        <v>233</v>
      </c>
      <c r="C354" s="672"/>
      <c r="D354" s="672"/>
      <c r="E354" s="672"/>
      <c r="F354" s="366">
        <f>0.79*X2</f>
        <v>859.52</v>
      </c>
      <c r="G354" s="295">
        <f>+F354*$X$1</f>
        <v>859.52</v>
      </c>
      <c r="H354" s="441"/>
      <c r="I354" s="441"/>
      <c r="J354" s="441"/>
      <c r="K354" s="280"/>
      <c r="L354" s="441">
        <f t="shared" si="936"/>
        <v>1019.52</v>
      </c>
      <c r="M354" s="280">
        <f t="shared" si="937"/>
        <v>1019.52</v>
      </c>
      <c r="N354" s="441">
        <f t="shared" si="938"/>
        <v>959.52</v>
      </c>
      <c r="O354" s="280">
        <f t="shared" si="939"/>
        <v>959.52</v>
      </c>
      <c r="P354" s="441">
        <f t="shared" si="940"/>
        <v>934.52</v>
      </c>
      <c r="Q354" s="280">
        <f t="shared" si="941"/>
        <v>934.52</v>
      </c>
      <c r="R354" s="441">
        <f t="shared" si="942"/>
        <v>924.52</v>
      </c>
      <c r="S354" s="280">
        <f t="shared" si="943"/>
        <v>924.52</v>
      </c>
      <c r="T354" s="100">
        <f t="shared" si="944"/>
        <v>909.52</v>
      </c>
      <c r="U354" s="295">
        <f t="shared" si="945"/>
        <v>909.52</v>
      </c>
      <c r="V354" s="100">
        <f t="shared" si="946"/>
        <v>897.52</v>
      </c>
      <c r="W354" s="295">
        <f t="shared" si="947"/>
        <v>897.52</v>
      </c>
      <c r="X354" s="167"/>
      <c r="Y354" s="132"/>
      <c r="Z354" s="132"/>
      <c r="AA354" s="135"/>
      <c r="AB354" s="386">
        <v>2205</v>
      </c>
      <c r="AC354" s="64"/>
    </row>
    <row r="355" spans="1:29" ht="12.6" customHeight="1" x14ac:dyDescent="0.2">
      <c r="A355" s="95"/>
      <c r="B355" s="659" t="s">
        <v>234</v>
      </c>
      <c r="C355" s="721"/>
      <c r="D355" s="721"/>
      <c r="E355" s="721"/>
      <c r="F355" s="365">
        <f>0.49*X2</f>
        <v>533.12</v>
      </c>
      <c r="G355" s="252">
        <f>+F355*$X$1</f>
        <v>533.12</v>
      </c>
      <c r="H355" s="610"/>
      <c r="I355" s="610"/>
      <c r="J355" s="610"/>
      <c r="K355" s="279"/>
      <c r="L355" s="610">
        <f t="shared" si="936"/>
        <v>693.12</v>
      </c>
      <c r="M355" s="279">
        <f t="shared" si="937"/>
        <v>693.12</v>
      </c>
      <c r="N355" s="610">
        <f t="shared" si="938"/>
        <v>633.12</v>
      </c>
      <c r="O355" s="279">
        <f t="shared" si="939"/>
        <v>633.12</v>
      </c>
      <c r="P355" s="610">
        <f t="shared" si="940"/>
        <v>608.12</v>
      </c>
      <c r="Q355" s="279">
        <f t="shared" si="941"/>
        <v>608.12</v>
      </c>
      <c r="R355" s="610">
        <f t="shared" si="942"/>
        <v>598.12</v>
      </c>
      <c r="S355" s="279">
        <f t="shared" si="943"/>
        <v>598.12</v>
      </c>
      <c r="T355" s="101">
        <f t="shared" si="944"/>
        <v>583.12</v>
      </c>
      <c r="U355" s="252">
        <f t="shared" si="945"/>
        <v>583.12</v>
      </c>
      <c r="V355" s="101">
        <f t="shared" si="946"/>
        <v>571.12</v>
      </c>
      <c r="W355" s="252">
        <f t="shared" si="947"/>
        <v>571.12</v>
      </c>
      <c r="X355" s="132"/>
      <c r="Y355" s="132"/>
      <c r="Z355" s="132"/>
      <c r="AA355" s="135"/>
      <c r="AB355" s="386">
        <v>2207</v>
      </c>
    </row>
    <row r="356" spans="1:29" ht="12.6" customHeight="1" x14ac:dyDescent="0.2">
      <c r="A356" s="95"/>
      <c r="B356" s="647" t="s">
        <v>235</v>
      </c>
      <c r="C356" s="712"/>
      <c r="D356" s="712"/>
      <c r="E356" s="712"/>
      <c r="F356" s="366">
        <f>0.42*X2</f>
        <v>456.96</v>
      </c>
      <c r="G356" s="336">
        <f>+F356*$X$1</f>
        <v>456.96</v>
      </c>
      <c r="H356" s="93"/>
      <c r="I356" s="93"/>
      <c r="J356" s="93"/>
      <c r="K356" s="282"/>
      <c r="L356" s="441">
        <f t="shared" si="936"/>
        <v>616.96</v>
      </c>
      <c r="M356" s="280">
        <f t="shared" si="937"/>
        <v>616.96</v>
      </c>
      <c r="N356" s="441">
        <f t="shared" si="938"/>
        <v>556.96</v>
      </c>
      <c r="O356" s="280">
        <f t="shared" si="939"/>
        <v>556.96</v>
      </c>
      <c r="P356" s="441">
        <f t="shared" si="940"/>
        <v>531.96</v>
      </c>
      <c r="Q356" s="280">
        <f t="shared" si="941"/>
        <v>531.96</v>
      </c>
      <c r="R356" s="441">
        <f t="shared" si="942"/>
        <v>521.96</v>
      </c>
      <c r="S356" s="280">
        <f t="shared" si="943"/>
        <v>521.96</v>
      </c>
      <c r="T356" s="100">
        <f t="shared" si="944"/>
        <v>506.96</v>
      </c>
      <c r="U356" s="295">
        <f t="shared" si="945"/>
        <v>506.96</v>
      </c>
      <c r="V356" s="100">
        <f t="shared" si="946"/>
        <v>494.96</v>
      </c>
      <c r="W356" s="295">
        <f t="shared" si="947"/>
        <v>494.96</v>
      </c>
      <c r="X356" s="132"/>
      <c r="Y356" s="132"/>
      <c r="Z356" s="132"/>
      <c r="AA356" s="135"/>
      <c r="AB356" s="386">
        <v>2209</v>
      </c>
    </row>
    <row r="357" spans="1:29" ht="12.6" customHeight="1" x14ac:dyDescent="0.2">
      <c r="A357" s="95"/>
      <c r="B357" s="713" t="s">
        <v>236</v>
      </c>
      <c r="C357" s="714"/>
      <c r="D357" s="714"/>
      <c r="E357" s="714"/>
      <c r="F357" s="365">
        <f>4.17*X2</f>
        <v>4536.96</v>
      </c>
      <c r="G357" s="279">
        <f t="shared" ref="G357" si="950">+F357*$X$1</f>
        <v>4536.96</v>
      </c>
      <c r="H357" s="610">
        <f t="shared" ref="H357" si="951">F357+600</f>
        <v>5136.96</v>
      </c>
      <c r="I357" s="279">
        <f t="shared" ref="I357" si="952">+H357*$X$1</f>
        <v>5136.96</v>
      </c>
      <c r="J357" s="610">
        <f t="shared" ref="J357" si="953">F357+200</f>
        <v>4736.96</v>
      </c>
      <c r="K357" s="279">
        <f t="shared" ref="K357" si="954">+J357*$X$1</f>
        <v>4736.96</v>
      </c>
      <c r="L357" s="610">
        <f>F357+150</f>
        <v>4686.96</v>
      </c>
      <c r="M357" s="279">
        <f t="shared" si="937"/>
        <v>4686.96</v>
      </c>
      <c r="N357" s="610">
        <f>F357+110</f>
        <v>4646.96</v>
      </c>
      <c r="O357" s="279">
        <f>+N357*$X$1</f>
        <v>4646.96</v>
      </c>
      <c r="P357" s="610">
        <f>F357+90</f>
        <v>4626.96</v>
      </c>
      <c r="Q357" s="279">
        <f t="shared" si="941"/>
        <v>4626.96</v>
      </c>
      <c r="R357" s="610">
        <f>F357+70</f>
        <v>4606.96</v>
      </c>
      <c r="S357" s="279">
        <f>+R357*$X$1</f>
        <v>4606.96</v>
      </c>
      <c r="T357" s="610">
        <f>F357+56</f>
        <v>4592.96</v>
      </c>
      <c r="U357" s="279">
        <f t="shared" si="945"/>
        <v>4592.96</v>
      </c>
      <c r="V357" s="610">
        <f>F357+49</f>
        <v>4585.96</v>
      </c>
      <c r="W357" s="279">
        <f t="shared" si="947"/>
        <v>4585.96</v>
      </c>
      <c r="X357" s="657"/>
      <c r="Y357" s="644"/>
      <c r="Z357" s="644"/>
      <c r="AA357" s="658"/>
      <c r="AB357" s="386">
        <v>2216</v>
      </c>
      <c r="AC357" s="64"/>
    </row>
    <row r="358" spans="1:29" ht="12.6" customHeight="1" x14ac:dyDescent="0.2">
      <c r="A358" s="102"/>
      <c r="B358" s="749" t="s">
        <v>354</v>
      </c>
      <c r="C358" s="750"/>
      <c r="D358" s="750"/>
      <c r="E358" s="750"/>
      <c r="F358" s="517">
        <v>1350</v>
      </c>
      <c r="G358" s="513">
        <f>+F358*$X$1</f>
        <v>1350</v>
      </c>
      <c r="H358" s="607">
        <f t="shared" ref="H358" si="955">F358+600</f>
        <v>1950</v>
      </c>
      <c r="I358" s="513">
        <f t="shared" ref="I358" si="956">+H358*$X$1</f>
        <v>1950</v>
      </c>
      <c r="J358" s="607">
        <f t="shared" ref="J358" si="957">F358+200</f>
        <v>1550</v>
      </c>
      <c r="K358" s="513">
        <f t="shared" ref="K358" si="958">+J358*$X$1</f>
        <v>1550</v>
      </c>
      <c r="L358" s="607">
        <f>F358+150</f>
        <v>1500</v>
      </c>
      <c r="M358" s="513">
        <f t="shared" ref="M358" si="959">+L358*$X$1</f>
        <v>1500</v>
      </c>
      <c r="N358" s="607">
        <f>F358+110</f>
        <v>1460</v>
      </c>
      <c r="O358" s="513">
        <f>+N358*$X$1</f>
        <v>1460</v>
      </c>
      <c r="P358" s="515"/>
      <c r="Q358" s="702" t="s">
        <v>148</v>
      </c>
      <c r="R358" s="703"/>
      <c r="S358" s="703"/>
      <c r="T358" s="703"/>
      <c r="U358" s="703"/>
      <c r="V358" s="703"/>
      <c r="W358" s="704"/>
      <c r="X358" s="657"/>
      <c r="Y358" s="644"/>
      <c r="Z358" s="644"/>
      <c r="AA358" s="658"/>
      <c r="AB358" s="386">
        <v>2222</v>
      </c>
    </row>
    <row r="359" spans="1:29" ht="12.6" customHeight="1" x14ac:dyDescent="0.2">
      <c r="A359" s="18"/>
      <c r="B359" s="718" t="s">
        <v>676</v>
      </c>
      <c r="C359" s="719"/>
      <c r="D359" s="719"/>
      <c r="E359" s="720"/>
      <c r="F359" s="370">
        <f>0.59*X2</f>
        <v>641.91999999999996</v>
      </c>
      <c r="G359" s="279">
        <f t="shared" ref="G359" si="960">+F359*$X$1</f>
        <v>641.91999999999996</v>
      </c>
      <c r="H359" s="273"/>
      <c r="I359" s="273"/>
      <c r="J359" s="610"/>
      <c r="K359" s="610"/>
      <c r="L359" s="610">
        <f t="shared" ref="L359:L361" si="961">F359+160</f>
        <v>801.92</v>
      </c>
      <c r="M359" s="279">
        <f t="shared" ref="M359:M362" si="962">+L359*$X$1</f>
        <v>801.92</v>
      </c>
      <c r="N359" s="610">
        <f t="shared" ref="N359:N361" si="963">F359+100</f>
        <v>741.92</v>
      </c>
      <c r="O359" s="279">
        <f t="shared" ref="O359:O362" si="964">+N359*$X$1</f>
        <v>741.92</v>
      </c>
      <c r="P359" s="610">
        <f t="shared" ref="P359:P361" si="965">F359+75</f>
        <v>716.92</v>
      </c>
      <c r="Q359" s="279">
        <f t="shared" ref="Q359:Q362" si="966">+P359*$X$1</f>
        <v>716.92</v>
      </c>
      <c r="R359" s="610">
        <f t="shared" ref="R359:R361" si="967">F359+65</f>
        <v>706.92</v>
      </c>
      <c r="S359" s="279">
        <f t="shared" ref="S359:S362" si="968">+R359*$X$1</f>
        <v>706.92</v>
      </c>
      <c r="T359" s="101">
        <f t="shared" ref="T359:T361" si="969">F359+50</f>
        <v>691.92</v>
      </c>
      <c r="U359" s="252">
        <f t="shared" ref="U359:U362" si="970">+T359*$X$1</f>
        <v>691.92</v>
      </c>
      <c r="V359" s="101">
        <f t="shared" ref="V359:V361" si="971">F359+38</f>
        <v>679.92</v>
      </c>
      <c r="W359" s="252">
        <f t="shared" ref="W359:W361" si="972">+V359*$X$1</f>
        <v>679.92</v>
      </c>
      <c r="X359" s="426"/>
      <c r="Y359" s="425"/>
      <c r="Z359" s="425"/>
      <c r="AA359" s="426"/>
      <c r="AB359" s="386">
        <v>2231</v>
      </c>
      <c r="AC359" s="64"/>
    </row>
    <row r="360" spans="1:29" ht="12.6" customHeight="1" x14ac:dyDescent="0.2">
      <c r="A360" s="18"/>
      <c r="B360" s="722" t="s">
        <v>688</v>
      </c>
      <c r="C360" s="726"/>
      <c r="D360" s="726"/>
      <c r="E360" s="727"/>
      <c r="F360" s="369">
        <f>0.57*X2</f>
        <v>620.16</v>
      </c>
      <c r="G360" s="280">
        <f t="shared" ref="G360" si="973">+F360*$X$1</f>
        <v>620.16</v>
      </c>
      <c r="H360" s="272"/>
      <c r="I360" s="272"/>
      <c r="J360" s="441"/>
      <c r="K360" s="441"/>
      <c r="L360" s="441">
        <f t="shared" si="961"/>
        <v>780.16</v>
      </c>
      <c r="M360" s="280">
        <f t="shared" si="962"/>
        <v>780.16</v>
      </c>
      <c r="N360" s="441">
        <f t="shared" si="963"/>
        <v>720.16</v>
      </c>
      <c r="O360" s="280">
        <f t="shared" si="964"/>
        <v>720.16</v>
      </c>
      <c r="P360" s="441">
        <f t="shared" si="965"/>
        <v>695.16</v>
      </c>
      <c r="Q360" s="280">
        <f t="shared" si="966"/>
        <v>695.16</v>
      </c>
      <c r="R360" s="441">
        <f t="shared" si="967"/>
        <v>685.16</v>
      </c>
      <c r="S360" s="280">
        <f t="shared" si="968"/>
        <v>685.16</v>
      </c>
      <c r="T360" s="100">
        <f t="shared" si="969"/>
        <v>670.16</v>
      </c>
      <c r="U360" s="295">
        <f t="shared" si="970"/>
        <v>670.16</v>
      </c>
      <c r="V360" s="100">
        <f t="shared" si="971"/>
        <v>658.16</v>
      </c>
      <c r="W360" s="295">
        <f t="shared" si="972"/>
        <v>658.16</v>
      </c>
      <c r="X360" s="431"/>
      <c r="Y360" s="430"/>
      <c r="Z360" s="430"/>
      <c r="AA360" s="431"/>
      <c r="AB360" s="386">
        <v>2232</v>
      </c>
      <c r="AC360" s="64"/>
    </row>
    <row r="361" spans="1:29" ht="12.6" customHeight="1" x14ac:dyDescent="0.2">
      <c r="A361" s="18"/>
      <c r="B361" s="718" t="s">
        <v>760</v>
      </c>
      <c r="C361" s="719"/>
      <c r="D361" s="719"/>
      <c r="E361" s="720"/>
      <c r="F361" s="370">
        <f>0.98*X2</f>
        <v>1066.24</v>
      </c>
      <c r="G361" s="279">
        <f t="shared" ref="G361" si="974">+F361*$X$1</f>
        <v>1066.24</v>
      </c>
      <c r="H361" s="273"/>
      <c r="I361" s="273"/>
      <c r="J361" s="610"/>
      <c r="K361" s="610"/>
      <c r="L361" s="610">
        <f t="shared" si="961"/>
        <v>1226.24</v>
      </c>
      <c r="M361" s="279">
        <f t="shared" si="962"/>
        <v>1226.24</v>
      </c>
      <c r="N361" s="610">
        <f t="shared" si="963"/>
        <v>1166.24</v>
      </c>
      <c r="O361" s="279">
        <f t="shared" si="964"/>
        <v>1166.24</v>
      </c>
      <c r="P361" s="610">
        <f t="shared" si="965"/>
        <v>1141.24</v>
      </c>
      <c r="Q361" s="279">
        <f t="shared" si="966"/>
        <v>1141.24</v>
      </c>
      <c r="R361" s="610">
        <f t="shared" si="967"/>
        <v>1131.24</v>
      </c>
      <c r="S361" s="279">
        <f t="shared" si="968"/>
        <v>1131.24</v>
      </c>
      <c r="T361" s="101">
        <f t="shared" si="969"/>
        <v>1116.24</v>
      </c>
      <c r="U361" s="252">
        <f t="shared" si="970"/>
        <v>1116.24</v>
      </c>
      <c r="V361" s="101">
        <f t="shared" si="971"/>
        <v>1104.24</v>
      </c>
      <c r="W361" s="252">
        <f t="shared" si="972"/>
        <v>1104.24</v>
      </c>
      <c r="X361" s="431"/>
      <c r="Y361" s="430"/>
      <c r="Z361" s="430"/>
      <c r="AA361" s="431"/>
      <c r="AB361" s="386">
        <v>2233</v>
      </c>
      <c r="AC361" s="64"/>
    </row>
    <row r="362" spans="1:29" ht="12.6" customHeight="1" x14ac:dyDescent="0.2">
      <c r="A362" s="95"/>
      <c r="B362" s="749" t="s">
        <v>761</v>
      </c>
      <c r="C362" s="980"/>
      <c r="D362" s="980"/>
      <c r="E362" s="980"/>
      <c r="F362" s="517">
        <f>0.4*X2</f>
        <v>435.20000000000005</v>
      </c>
      <c r="G362" s="513">
        <f t="shared" ref="G362:G372" si="975">+F362*$X$1</f>
        <v>435.20000000000005</v>
      </c>
      <c r="H362" s="607"/>
      <c r="I362" s="513"/>
      <c r="J362" s="607"/>
      <c r="K362" s="513"/>
      <c r="L362" s="607">
        <f>F362+240</f>
        <v>675.2</v>
      </c>
      <c r="M362" s="513">
        <f t="shared" si="962"/>
        <v>675.2</v>
      </c>
      <c r="N362" s="607">
        <f>F362+160</f>
        <v>595.20000000000005</v>
      </c>
      <c r="O362" s="513">
        <f t="shared" si="964"/>
        <v>595.20000000000005</v>
      </c>
      <c r="P362" s="607">
        <f>F362+120</f>
        <v>555.20000000000005</v>
      </c>
      <c r="Q362" s="513">
        <f t="shared" si="966"/>
        <v>555.20000000000005</v>
      </c>
      <c r="R362" s="607">
        <f>F362+100</f>
        <v>535.20000000000005</v>
      </c>
      <c r="S362" s="513">
        <f t="shared" si="968"/>
        <v>535.20000000000005</v>
      </c>
      <c r="T362" s="631">
        <f>F362+80</f>
        <v>515.20000000000005</v>
      </c>
      <c r="U362" s="630">
        <f t="shared" si="970"/>
        <v>515.20000000000005</v>
      </c>
      <c r="V362" s="631"/>
      <c r="W362" s="630"/>
      <c r="X362" s="136"/>
      <c r="Y362" s="132"/>
      <c r="Z362" s="132"/>
      <c r="AA362" s="135"/>
      <c r="AB362" s="386">
        <v>2234</v>
      </c>
    </row>
    <row r="363" spans="1:29" ht="12.6" customHeight="1" x14ac:dyDescent="0.2">
      <c r="A363" s="95"/>
      <c r="B363" s="659" t="s">
        <v>762</v>
      </c>
      <c r="C363" s="728"/>
      <c r="D363" s="728"/>
      <c r="E363" s="728"/>
      <c r="F363" s="365">
        <f>0.56*X2</f>
        <v>609.28000000000009</v>
      </c>
      <c r="G363" s="279">
        <f t="shared" si="975"/>
        <v>609.28000000000009</v>
      </c>
      <c r="H363" s="273"/>
      <c r="I363" s="331"/>
      <c r="J363" s="610"/>
      <c r="K363" s="279"/>
      <c r="L363" s="610">
        <f>F363+240</f>
        <v>849.28000000000009</v>
      </c>
      <c r="M363" s="279">
        <f t="shared" ref="M363:M369" si="976">+L363*$X$1</f>
        <v>849.28000000000009</v>
      </c>
      <c r="N363" s="610">
        <f>F363+160</f>
        <v>769.28000000000009</v>
      </c>
      <c r="O363" s="279">
        <f t="shared" ref="O363:O375" si="977">+N363*$X$1</f>
        <v>769.28000000000009</v>
      </c>
      <c r="P363" s="610">
        <f>F363+120</f>
        <v>729.28000000000009</v>
      </c>
      <c r="Q363" s="279">
        <f t="shared" ref="Q363:Q375" si="978">+P363*$X$1</f>
        <v>729.28000000000009</v>
      </c>
      <c r="R363" s="610">
        <f>F363+100</f>
        <v>709.28000000000009</v>
      </c>
      <c r="S363" s="279">
        <f t="shared" ref="S363:S375" si="979">+R363*$X$1</f>
        <v>709.28000000000009</v>
      </c>
      <c r="T363" s="101">
        <f>F363+80</f>
        <v>689.28000000000009</v>
      </c>
      <c r="U363" s="252">
        <f t="shared" ref="U363:U370" si="980">+T363*$X$1</f>
        <v>689.28000000000009</v>
      </c>
      <c r="V363" s="101">
        <f>F363+63</f>
        <v>672.28000000000009</v>
      </c>
      <c r="W363" s="252">
        <f t="shared" ref="W363:W364" si="981">+V363*$X$1</f>
        <v>672.28000000000009</v>
      </c>
      <c r="X363" s="136"/>
      <c r="Y363" s="132"/>
      <c r="Z363" s="132"/>
      <c r="AA363" s="135"/>
      <c r="AB363" s="386" t="s">
        <v>237</v>
      </c>
    </row>
    <row r="364" spans="1:29" ht="12.6" customHeight="1" x14ac:dyDescent="0.2">
      <c r="A364" s="18"/>
      <c r="B364" s="722" t="s">
        <v>801</v>
      </c>
      <c r="C364" s="726"/>
      <c r="D364" s="726"/>
      <c r="E364" s="727"/>
      <c r="F364" s="369">
        <f>0.372*X2</f>
        <v>404.73599999999999</v>
      </c>
      <c r="G364" s="280">
        <f t="shared" si="975"/>
        <v>404.73599999999999</v>
      </c>
      <c r="H364" s="272"/>
      <c r="I364" s="272"/>
      <c r="J364" s="441"/>
      <c r="K364" s="441"/>
      <c r="L364" s="441">
        <f t="shared" ref="L364" si="982">F364+160</f>
        <v>564.73599999999999</v>
      </c>
      <c r="M364" s="280">
        <f t="shared" ref="M364" si="983">+L364*$X$1</f>
        <v>564.73599999999999</v>
      </c>
      <c r="N364" s="441">
        <f t="shared" ref="N364" si="984">F364+100</f>
        <v>504.73599999999999</v>
      </c>
      <c r="O364" s="280">
        <f t="shared" ref="O364" si="985">+N364*$X$1</f>
        <v>504.73599999999999</v>
      </c>
      <c r="P364" s="441">
        <f t="shared" ref="P364" si="986">F364+75</f>
        <v>479.73599999999999</v>
      </c>
      <c r="Q364" s="280">
        <f t="shared" ref="Q364" si="987">+P364*$X$1</f>
        <v>479.73599999999999</v>
      </c>
      <c r="R364" s="441">
        <f t="shared" ref="R364" si="988">F364+65</f>
        <v>469.73599999999999</v>
      </c>
      <c r="S364" s="280">
        <f t="shared" ref="S364" si="989">+R364*$X$1</f>
        <v>469.73599999999999</v>
      </c>
      <c r="T364" s="100">
        <f t="shared" ref="T364" si="990">F364+50</f>
        <v>454.73599999999999</v>
      </c>
      <c r="U364" s="295">
        <f t="shared" ref="U364" si="991">+T364*$X$1</f>
        <v>454.73599999999999</v>
      </c>
      <c r="V364" s="100">
        <f t="shared" ref="V364" si="992">F364+38</f>
        <v>442.73599999999999</v>
      </c>
      <c r="W364" s="295">
        <f t="shared" si="981"/>
        <v>442.73599999999999</v>
      </c>
      <c r="X364" s="449"/>
      <c r="Y364" s="450"/>
      <c r="Z364" s="450"/>
      <c r="AA364" s="449"/>
      <c r="AB364" s="386">
        <v>2235</v>
      </c>
      <c r="AC364" s="64"/>
    </row>
    <row r="365" spans="1:29" ht="12.6" customHeight="1" x14ac:dyDescent="0.2">
      <c r="A365" s="18"/>
      <c r="B365" s="718" t="s">
        <v>843</v>
      </c>
      <c r="C365" s="719"/>
      <c r="D365" s="719"/>
      <c r="E365" s="720"/>
      <c r="F365" s="370">
        <f>0.71*X2</f>
        <v>772.48</v>
      </c>
      <c r="G365" s="279">
        <f t="shared" ref="G365" si="993">+F365*$X$1</f>
        <v>772.48</v>
      </c>
      <c r="H365" s="273"/>
      <c r="I365" s="273"/>
      <c r="J365" s="610"/>
      <c r="K365" s="610"/>
      <c r="L365" s="610">
        <f t="shared" ref="L365:L369" si="994">F365+160</f>
        <v>932.48</v>
      </c>
      <c r="M365" s="279">
        <f t="shared" si="976"/>
        <v>932.48</v>
      </c>
      <c r="N365" s="610">
        <f t="shared" ref="N365:N370" si="995">F365+100</f>
        <v>872.48</v>
      </c>
      <c r="O365" s="279">
        <f t="shared" si="977"/>
        <v>872.48</v>
      </c>
      <c r="P365" s="610">
        <f t="shared" ref="P365:P370" si="996">F365+75</f>
        <v>847.48</v>
      </c>
      <c r="Q365" s="279">
        <f t="shared" si="978"/>
        <v>847.48</v>
      </c>
      <c r="R365" s="610">
        <f t="shared" ref="R365:R370" si="997">F365+65</f>
        <v>837.48</v>
      </c>
      <c r="S365" s="279">
        <f t="shared" si="979"/>
        <v>837.48</v>
      </c>
      <c r="T365" s="101">
        <f t="shared" ref="T365:T370" si="998">F365+50</f>
        <v>822.48</v>
      </c>
      <c r="U365" s="252">
        <f t="shared" si="980"/>
        <v>822.48</v>
      </c>
      <c r="V365" s="101">
        <f t="shared" ref="V365:V370" si="999">F365+38</f>
        <v>810.48</v>
      </c>
      <c r="W365" s="252">
        <f t="shared" ref="W365:W370" si="1000">+V365*$X$1</f>
        <v>810.48</v>
      </c>
      <c r="X365" s="489"/>
      <c r="Y365" s="490"/>
      <c r="Z365" s="490"/>
      <c r="AA365" s="489"/>
      <c r="AB365" s="386">
        <v>2236</v>
      </c>
      <c r="AC365" s="64"/>
    </row>
    <row r="366" spans="1:29" ht="12.6" customHeight="1" x14ac:dyDescent="0.2">
      <c r="A366" s="95"/>
      <c r="B366" s="647" t="s">
        <v>238</v>
      </c>
      <c r="C366" s="648"/>
      <c r="D366" s="648"/>
      <c r="E366" s="648"/>
      <c r="F366" s="366">
        <f>0.42*X2</f>
        <v>456.96</v>
      </c>
      <c r="G366" s="280">
        <f t="shared" si="975"/>
        <v>456.96</v>
      </c>
      <c r="H366" s="272"/>
      <c r="I366" s="332"/>
      <c r="J366" s="441"/>
      <c r="K366" s="280"/>
      <c r="L366" s="441">
        <f t="shared" si="994"/>
        <v>616.96</v>
      </c>
      <c r="M366" s="280">
        <f t="shared" si="976"/>
        <v>616.96</v>
      </c>
      <c r="N366" s="441">
        <f t="shared" si="995"/>
        <v>556.96</v>
      </c>
      <c r="O366" s="280">
        <f t="shared" si="977"/>
        <v>556.96</v>
      </c>
      <c r="P366" s="441">
        <f t="shared" si="996"/>
        <v>531.96</v>
      </c>
      <c r="Q366" s="280">
        <f t="shared" si="978"/>
        <v>531.96</v>
      </c>
      <c r="R366" s="441">
        <f t="shared" si="997"/>
        <v>521.96</v>
      </c>
      <c r="S366" s="280">
        <f t="shared" si="979"/>
        <v>521.96</v>
      </c>
      <c r="T366" s="100">
        <f t="shared" si="998"/>
        <v>506.96</v>
      </c>
      <c r="U366" s="295">
        <f t="shared" si="980"/>
        <v>506.96</v>
      </c>
      <c r="V366" s="100">
        <f t="shared" si="999"/>
        <v>494.96</v>
      </c>
      <c r="W366" s="295">
        <f t="shared" si="1000"/>
        <v>494.96</v>
      </c>
      <c r="X366" s="136"/>
      <c r="Y366" s="132"/>
      <c r="Z366" s="132"/>
      <c r="AA366" s="135"/>
      <c r="AB366" s="386">
        <v>2238</v>
      </c>
    </row>
    <row r="367" spans="1:29" ht="12.6" customHeight="1" x14ac:dyDescent="0.2">
      <c r="A367" s="102"/>
      <c r="B367" s="664" t="s">
        <v>239</v>
      </c>
      <c r="C367" s="680"/>
      <c r="D367" s="680"/>
      <c r="E367" s="681"/>
      <c r="F367" s="365">
        <f>0.428*X2</f>
        <v>465.66399999999999</v>
      </c>
      <c r="G367" s="279">
        <f t="shared" si="975"/>
        <v>465.66399999999999</v>
      </c>
      <c r="H367" s="273"/>
      <c r="I367" s="331"/>
      <c r="J367" s="610"/>
      <c r="K367" s="279"/>
      <c r="L367" s="610">
        <f t="shared" si="994"/>
        <v>625.66399999999999</v>
      </c>
      <c r="M367" s="279">
        <f t="shared" si="976"/>
        <v>625.66399999999999</v>
      </c>
      <c r="N367" s="610">
        <f t="shared" si="995"/>
        <v>565.66399999999999</v>
      </c>
      <c r="O367" s="279">
        <f t="shared" si="977"/>
        <v>565.66399999999999</v>
      </c>
      <c r="P367" s="610">
        <f t="shared" si="996"/>
        <v>540.66399999999999</v>
      </c>
      <c r="Q367" s="279">
        <f t="shared" si="978"/>
        <v>540.66399999999999</v>
      </c>
      <c r="R367" s="610">
        <f t="shared" si="997"/>
        <v>530.66399999999999</v>
      </c>
      <c r="S367" s="279">
        <f t="shared" si="979"/>
        <v>530.66399999999999</v>
      </c>
      <c r="T367" s="101">
        <f t="shared" si="998"/>
        <v>515.66399999999999</v>
      </c>
      <c r="U367" s="252">
        <f t="shared" si="980"/>
        <v>515.66399999999999</v>
      </c>
      <c r="V367" s="101">
        <f t="shared" si="999"/>
        <v>503.66399999999999</v>
      </c>
      <c r="W367" s="252">
        <f t="shared" si="1000"/>
        <v>503.66399999999999</v>
      </c>
      <c r="X367" s="136"/>
      <c r="Y367" s="132"/>
      <c r="Z367" s="132"/>
      <c r="AA367" s="135"/>
      <c r="AB367" s="386">
        <v>2239</v>
      </c>
    </row>
    <row r="368" spans="1:29" ht="12.6" customHeight="1" x14ac:dyDescent="0.2">
      <c r="A368" s="18"/>
      <c r="B368" s="649" t="s">
        <v>959</v>
      </c>
      <c r="C368" s="650"/>
      <c r="D368" s="650"/>
      <c r="E368" s="650"/>
      <c r="F368" s="366">
        <f>0.431*X2</f>
        <v>468.928</v>
      </c>
      <c r="G368" s="280">
        <f t="shared" si="975"/>
        <v>468.928</v>
      </c>
      <c r="H368" s="272"/>
      <c r="I368" s="332"/>
      <c r="J368" s="441"/>
      <c r="K368" s="280"/>
      <c r="L368" s="441">
        <f t="shared" si="994"/>
        <v>628.928</v>
      </c>
      <c r="M368" s="280">
        <f t="shared" si="976"/>
        <v>628.928</v>
      </c>
      <c r="N368" s="441">
        <f t="shared" si="995"/>
        <v>568.928</v>
      </c>
      <c r="O368" s="280">
        <f t="shared" si="977"/>
        <v>568.928</v>
      </c>
      <c r="P368" s="441">
        <f t="shared" si="996"/>
        <v>543.928</v>
      </c>
      <c r="Q368" s="280">
        <f t="shared" si="978"/>
        <v>543.928</v>
      </c>
      <c r="R368" s="441">
        <f t="shared" si="997"/>
        <v>533.928</v>
      </c>
      <c r="S368" s="280">
        <f t="shared" si="979"/>
        <v>533.928</v>
      </c>
      <c r="T368" s="100">
        <f t="shared" si="998"/>
        <v>518.928</v>
      </c>
      <c r="U368" s="295">
        <f t="shared" si="980"/>
        <v>518.928</v>
      </c>
      <c r="V368" s="100">
        <f t="shared" si="999"/>
        <v>506.928</v>
      </c>
      <c r="W368" s="295">
        <f t="shared" si="1000"/>
        <v>506.928</v>
      </c>
      <c r="X368" s="136"/>
      <c r="Y368" s="132"/>
      <c r="Z368" s="132"/>
      <c r="AA368" s="135"/>
      <c r="AB368" s="386">
        <v>2240</v>
      </c>
    </row>
    <row r="369" spans="1:29" ht="12.6" customHeight="1" x14ac:dyDescent="0.2">
      <c r="A369" s="18"/>
      <c r="B369" s="649" t="s">
        <v>881</v>
      </c>
      <c r="C369" s="650"/>
      <c r="D369" s="650"/>
      <c r="E369" s="650"/>
      <c r="F369" s="365">
        <f>0.34*X2</f>
        <v>369.92</v>
      </c>
      <c r="G369" s="279">
        <f t="shared" ref="G369" si="1001">+F369*$X$1</f>
        <v>369.92</v>
      </c>
      <c r="H369" s="273"/>
      <c r="I369" s="331"/>
      <c r="J369" s="610"/>
      <c r="K369" s="279"/>
      <c r="L369" s="610">
        <f t="shared" si="994"/>
        <v>529.92000000000007</v>
      </c>
      <c r="M369" s="279">
        <f t="shared" si="976"/>
        <v>529.92000000000007</v>
      </c>
      <c r="N369" s="610">
        <f t="shared" si="995"/>
        <v>469.92</v>
      </c>
      <c r="O369" s="279">
        <f t="shared" si="977"/>
        <v>469.92</v>
      </c>
      <c r="P369" s="610">
        <f t="shared" si="996"/>
        <v>444.92</v>
      </c>
      <c r="Q369" s="279">
        <f t="shared" si="978"/>
        <v>444.92</v>
      </c>
      <c r="R369" s="610">
        <f t="shared" si="997"/>
        <v>434.92</v>
      </c>
      <c r="S369" s="279">
        <f t="shared" si="979"/>
        <v>434.92</v>
      </c>
      <c r="T369" s="101">
        <f t="shared" si="998"/>
        <v>419.92</v>
      </c>
      <c r="U369" s="252">
        <f t="shared" si="980"/>
        <v>419.92</v>
      </c>
      <c r="V369" s="101">
        <f t="shared" si="999"/>
        <v>407.92</v>
      </c>
      <c r="W369" s="252">
        <f t="shared" si="1000"/>
        <v>407.92</v>
      </c>
      <c r="X369" s="136"/>
      <c r="Y369" s="132"/>
      <c r="Z369" s="132"/>
      <c r="AA369" s="135"/>
      <c r="AB369" s="386" t="s">
        <v>894</v>
      </c>
    </row>
    <row r="370" spans="1:29" ht="12.6" customHeight="1" x14ac:dyDescent="0.2">
      <c r="A370" s="18"/>
      <c r="B370" s="647" t="s">
        <v>807</v>
      </c>
      <c r="C370" s="648"/>
      <c r="D370" s="648"/>
      <c r="E370" s="648"/>
      <c r="F370" s="366">
        <f>0.22*X2</f>
        <v>239.36</v>
      </c>
      <c r="G370" s="280">
        <f t="shared" ref="G370:G371" si="1002">+F370*$X$1</f>
        <v>239.36</v>
      </c>
      <c r="H370" s="272"/>
      <c r="I370" s="332"/>
      <c r="J370" s="441"/>
      <c r="K370" s="280"/>
      <c r="L370" s="441"/>
      <c r="M370" s="280"/>
      <c r="N370" s="441">
        <f t="shared" si="995"/>
        <v>339.36</v>
      </c>
      <c r="O370" s="280">
        <f t="shared" si="977"/>
        <v>339.36</v>
      </c>
      <c r="P370" s="441">
        <f t="shared" si="996"/>
        <v>314.36</v>
      </c>
      <c r="Q370" s="280">
        <f t="shared" si="978"/>
        <v>314.36</v>
      </c>
      <c r="R370" s="441">
        <f t="shared" si="997"/>
        <v>304.36</v>
      </c>
      <c r="S370" s="280">
        <f t="shared" si="979"/>
        <v>304.36</v>
      </c>
      <c r="T370" s="100">
        <f t="shared" si="998"/>
        <v>289.36</v>
      </c>
      <c r="U370" s="295">
        <f t="shared" si="980"/>
        <v>289.36</v>
      </c>
      <c r="V370" s="100">
        <f t="shared" si="999"/>
        <v>277.36</v>
      </c>
      <c r="W370" s="295">
        <f t="shared" si="1000"/>
        <v>277.36</v>
      </c>
      <c r="X370" s="136"/>
      <c r="Y370" s="132"/>
      <c r="Z370" s="132"/>
      <c r="AA370" s="135"/>
      <c r="AB370" s="386">
        <v>2241</v>
      </c>
    </row>
    <row r="371" spans="1:29" ht="12.6" customHeight="1" x14ac:dyDescent="0.2">
      <c r="A371" s="18"/>
      <c r="B371" s="659" t="s">
        <v>808</v>
      </c>
      <c r="C371" s="660"/>
      <c r="D371" s="660"/>
      <c r="E371" s="660"/>
      <c r="F371" s="365">
        <f>0.35*X2</f>
        <v>380.79999999999995</v>
      </c>
      <c r="G371" s="279">
        <f t="shared" si="1002"/>
        <v>380.79999999999995</v>
      </c>
      <c r="H371" s="273"/>
      <c r="I371" s="331"/>
      <c r="J371" s="610"/>
      <c r="K371" s="279"/>
      <c r="L371" s="610">
        <f t="shared" ref="L371:L375" si="1003">F371+160</f>
        <v>540.79999999999995</v>
      </c>
      <c r="M371" s="279">
        <f t="shared" ref="M371:M375" si="1004">+L371*$X$1</f>
        <v>540.79999999999995</v>
      </c>
      <c r="N371" s="610">
        <f t="shared" ref="N371:N375" si="1005">F371+100</f>
        <v>480.79999999999995</v>
      </c>
      <c r="O371" s="279">
        <f t="shared" si="977"/>
        <v>480.79999999999995</v>
      </c>
      <c r="P371" s="610">
        <f t="shared" ref="P371:P375" si="1006">F371+75</f>
        <v>455.79999999999995</v>
      </c>
      <c r="Q371" s="279">
        <f t="shared" si="978"/>
        <v>455.79999999999995</v>
      </c>
      <c r="R371" s="610">
        <f t="shared" ref="R371:R375" si="1007">F371+65</f>
        <v>445.79999999999995</v>
      </c>
      <c r="S371" s="279">
        <f t="shared" si="979"/>
        <v>445.79999999999995</v>
      </c>
      <c r="T371" s="101">
        <f t="shared" ref="T371:T375" si="1008">F371+50</f>
        <v>430.79999999999995</v>
      </c>
      <c r="U371" s="252">
        <f t="shared" ref="U371:U375" si="1009">+T371*$X$1</f>
        <v>430.79999999999995</v>
      </c>
      <c r="V371" s="101">
        <f t="shared" ref="V371:V375" si="1010">F371+38</f>
        <v>418.79999999999995</v>
      </c>
      <c r="W371" s="252">
        <f t="shared" ref="W371:W375" si="1011">+V371*$X$1</f>
        <v>418.79999999999995</v>
      </c>
      <c r="X371" s="136"/>
      <c r="Y371" s="132"/>
      <c r="Z371" s="132"/>
      <c r="AA371" s="135"/>
      <c r="AB371" s="386">
        <v>2242</v>
      </c>
    </row>
    <row r="372" spans="1:29" ht="12.6" customHeight="1" x14ac:dyDescent="0.2">
      <c r="A372" s="95"/>
      <c r="B372" s="749" t="s">
        <v>240</v>
      </c>
      <c r="C372" s="750"/>
      <c r="D372" s="750"/>
      <c r="E372" s="750"/>
      <c r="F372" s="517">
        <f>0.26*X2</f>
        <v>282.88</v>
      </c>
      <c r="G372" s="513">
        <f t="shared" si="975"/>
        <v>282.88</v>
      </c>
      <c r="H372" s="514"/>
      <c r="I372" s="516"/>
      <c r="J372" s="607"/>
      <c r="K372" s="513"/>
      <c r="L372" s="607">
        <f t="shared" si="1003"/>
        <v>442.88</v>
      </c>
      <c r="M372" s="513">
        <f t="shared" si="1004"/>
        <v>442.88</v>
      </c>
      <c r="N372" s="607">
        <f t="shared" si="1005"/>
        <v>382.88</v>
      </c>
      <c r="O372" s="513">
        <f t="shared" si="977"/>
        <v>382.88</v>
      </c>
      <c r="P372" s="607">
        <f t="shared" si="1006"/>
        <v>357.88</v>
      </c>
      <c r="Q372" s="513">
        <f t="shared" si="978"/>
        <v>357.88</v>
      </c>
      <c r="R372" s="607">
        <f t="shared" si="1007"/>
        <v>347.88</v>
      </c>
      <c r="S372" s="513">
        <f t="shared" si="979"/>
        <v>347.88</v>
      </c>
      <c r="T372" s="631">
        <f t="shared" si="1008"/>
        <v>332.88</v>
      </c>
      <c r="U372" s="630">
        <f t="shared" si="1009"/>
        <v>332.88</v>
      </c>
      <c r="V372" s="631">
        <f t="shared" si="1010"/>
        <v>320.88</v>
      </c>
      <c r="W372" s="630">
        <f t="shared" si="1011"/>
        <v>320.88</v>
      </c>
      <c r="X372" s="136"/>
      <c r="Y372" s="132"/>
      <c r="Z372" s="132"/>
      <c r="AA372" s="135"/>
      <c r="AB372" s="386">
        <v>2244</v>
      </c>
    </row>
    <row r="373" spans="1:29" ht="12.6" customHeight="1" x14ac:dyDescent="0.2">
      <c r="A373" s="18"/>
      <c r="B373" s="659" t="s">
        <v>811</v>
      </c>
      <c r="C373" s="660"/>
      <c r="D373" s="660"/>
      <c r="E373" s="660"/>
      <c r="F373" s="365">
        <f>0.29*X2</f>
        <v>315.52</v>
      </c>
      <c r="G373" s="279">
        <f t="shared" ref="G373:G374" si="1012">+F373*$X$1</f>
        <v>315.52</v>
      </c>
      <c r="H373" s="273"/>
      <c r="I373" s="331"/>
      <c r="J373" s="610"/>
      <c r="K373" s="279"/>
      <c r="L373" s="610">
        <f t="shared" si="1003"/>
        <v>475.52</v>
      </c>
      <c r="M373" s="279">
        <f t="shared" si="1004"/>
        <v>475.52</v>
      </c>
      <c r="N373" s="610">
        <f t="shared" si="1005"/>
        <v>415.52</v>
      </c>
      <c r="O373" s="279">
        <f t="shared" si="977"/>
        <v>415.52</v>
      </c>
      <c r="P373" s="610">
        <f t="shared" si="1006"/>
        <v>390.52</v>
      </c>
      <c r="Q373" s="279">
        <f t="shared" si="978"/>
        <v>390.52</v>
      </c>
      <c r="R373" s="610">
        <f t="shared" si="1007"/>
        <v>380.52</v>
      </c>
      <c r="S373" s="279">
        <f t="shared" si="979"/>
        <v>380.52</v>
      </c>
      <c r="T373" s="101">
        <f t="shared" si="1008"/>
        <v>365.52</v>
      </c>
      <c r="U373" s="252">
        <f t="shared" si="1009"/>
        <v>365.52</v>
      </c>
      <c r="V373" s="101">
        <f t="shared" si="1010"/>
        <v>353.52</v>
      </c>
      <c r="W373" s="252">
        <f t="shared" si="1011"/>
        <v>353.52</v>
      </c>
      <c r="X373" s="136"/>
      <c r="Y373" s="132"/>
      <c r="Z373" s="132"/>
      <c r="AA373" s="135"/>
      <c r="AB373" s="386">
        <v>2245</v>
      </c>
    </row>
    <row r="374" spans="1:29" ht="12.6" customHeight="1" x14ac:dyDescent="0.2">
      <c r="A374" s="18"/>
      <c r="B374" s="647" t="s">
        <v>810</v>
      </c>
      <c r="C374" s="648"/>
      <c r="D374" s="648"/>
      <c r="E374" s="648"/>
      <c r="F374" s="366">
        <f>0.3*X2</f>
        <v>326.39999999999998</v>
      </c>
      <c r="G374" s="280">
        <f t="shared" si="1012"/>
        <v>326.39999999999998</v>
      </c>
      <c r="H374" s="272"/>
      <c r="I374" s="332"/>
      <c r="J374" s="441"/>
      <c r="K374" s="280"/>
      <c r="L374" s="441">
        <f t="shared" si="1003"/>
        <v>486.4</v>
      </c>
      <c r="M374" s="280">
        <f t="shared" si="1004"/>
        <v>486.4</v>
      </c>
      <c r="N374" s="441">
        <f t="shared" si="1005"/>
        <v>426.4</v>
      </c>
      <c r="O374" s="280">
        <f t="shared" si="977"/>
        <v>426.4</v>
      </c>
      <c r="P374" s="441">
        <f t="shared" si="1006"/>
        <v>401.4</v>
      </c>
      <c r="Q374" s="280">
        <f t="shared" si="978"/>
        <v>401.4</v>
      </c>
      <c r="R374" s="441">
        <f t="shared" si="1007"/>
        <v>391.4</v>
      </c>
      <c r="S374" s="280">
        <f t="shared" si="979"/>
        <v>391.4</v>
      </c>
      <c r="T374" s="100">
        <f t="shared" si="1008"/>
        <v>376.4</v>
      </c>
      <c r="U374" s="295">
        <f t="shared" si="1009"/>
        <v>376.4</v>
      </c>
      <c r="V374" s="100">
        <f t="shared" si="1010"/>
        <v>364.4</v>
      </c>
      <c r="W374" s="295">
        <f t="shared" si="1011"/>
        <v>364.4</v>
      </c>
      <c r="X374" s="136"/>
      <c r="Y374" s="132"/>
      <c r="Z374" s="132"/>
      <c r="AA374" s="135"/>
      <c r="AB374" s="386" t="s">
        <v>809</v>
      </c>
    </row>
    <row r="375" spans="1:29" ht="12.6" customHeight="1" x14ac:dyDescent="0.2">
      <c r="A375" s="95"/>
      <c r="B375" s="659" t="s">
        <v>507</v>
      </c>
      <c r="C375" s="660"/>
      <c r="D375" s="660"/>
      <c r="E375" s="660"/>
      <c r="F375" s="320">
        <v>1395</v>
      </c>
      <c r="G375" s="279">
        <f>+F375*$X$1</f>
        <v>1395</v>
      </c>
      <c r="H375" s="273"/>
      <c r="I375" s="331"/>
      <c r="J375" s="610"/>
      <c r="K375" s="279"/>
      <c r="L375" s="610">
        <f t="shared" si="1003"/>
        <v>1555</v>
      </c>
      <c r="M375" s="279">
        <f t="shared" si="1004"/>
        <v>1555</v>
      </c>
      <c r="N375" s="610">
        <f t="shared" si="1005"/>
        <v>1495</v>
      </c>
      <c r="O375" s="279">
        <f t="shared" si="977"/>
        <v>1495</v>
      </c>
      <c r="P375" s="610">
        <f t="shared" si="1006"/>
        <v>1470</v>
      </c>
      <c r="Q375" s="279">
        <f t="shared" si="978"/>
        <v>1470</v>
      </c>
      <c r="R375" s="610">
        <f t="shared" si="1007"/>
        <v>1460</v>
      </c>
      <c r="S375" s="279">
        <f t="shared" si="979"/>
        <v>1460</v>
      </c>
      <c r="T375" s="101">
        <f t="shared" si="1008"/>
        <v>1445</v>
      </c>
      <c r="U375" s="252">
        <f t="shared" si="1009"/>
        <v>1445</v>
      </c>
      <c r="V375" s="101">
        <f t="shared" si="1010"/>
        <v>1433</v>
      </c>
      <c r="W375" s="252">
        <f t="shared" si="1011"/>
        <v>1433</v>
      </c>
      <c r="X375" s="136"/>
      <c r="Y375" s="132"/>
      <c r="Z375" s="132"/>
      <c r="AA375" s="135"/>
      <c r="AB375" s="386">
        <v>2246</v>
      </c>
    </row>
    <row r="376" spans="1:29" ht="12.6" customHeight="1" x14ac:dyDescent="0.2">
      <c r="A376" s="18"/>
      <c r="B376" s="647" t="s">
        <v>821</v>
      </c>
      <c r="C376" s="648"/>
      <c r="D376" s="648"/>
      <c r="E376" s="648"/>
      <c r="F376" s="605">
        <f>2.7*X2</f>
        <v>2937.6000000000004</v>
      </c>
      <c r="G376" s="280">
        <f t="shared" ref="G376" si="1013">+F376*$X$1</f>
        <v>2937.6000000000004</v>
      </c>
      <c r="H376" s="272"/>
      <c r="I376" s="332"/>
      <c r="J376" s="441">
        <f>F376+210</f>
        <v>3147.6000000000004</v>
      </c>
      <c r="K376" s="280">
        <f t="shared" ref="K376" si="1014">+J376*$X$1</f>
        <v>3147.6000000000004</v>
      </c>
      <c r="L376" s="441">
        <f t="shared" ref="L376:L385" si="1015">F376+160</f>
        <v>3097.6000000000004</v>
      </c>
      <c r="M376" s="280">
        <f t="shared" ref="M376:M385" si="1016">+L376*$X$1</f>
        <v>3097.6000000000004</v>
      </c>
      <c r="N376" s="441">
        <f t="shared" ref="N376:N385" si="1017">F376+100</f>
        <v>3037.6000000000004</v>
      </c>
      <c r="O376" s="280">
        <f t="shared" ref="O376:O385" si="1018">+N376*$X$1</f>
        <v>3037.6000000000004</v>
      </c>
      <c r="P376" s="441">
        <f t="shared" ref="P376:P385" si="1019">F376+75</f>
        <v>3012.6000000000004</v>
      </c>
      <c r="Q376" s="280">
        <f t="shared" ref="Q376:Q385" si="1020">+P376*$X$1</f>
        <v>3012.6000000000004</v>
      </c>
      <c r="R376" s="441">
        <f t="shared" ref="R376:R385" si="1021">F376+65</f>
        <v>3002.6000000000004</v>
      </c>
      <c r="S376" s="280">
        <f t="shared" ref="S376:S385" si="1022">+R376*$X$1</f>
        <v>3002.6000000000004</v>
      </c>
      <c r="T376" s="100">
        <f t="shared" ref="T376:T385" si="1023">F376+50</f>
        <v>2987.6000000000004</v>
      </c>
      <c r="U376" s="295">
        <f t="shared" ref="U376:U385" si="1024">+T376*$X$1</f>
        <v>2987.6000000000004</v>
      </c>
      <c r="V376" s="100">
        <f t="shared" ref="V376:V385" si="1025">F376+38</f>
        <v>2975.6000000000004</v>
      </c>
      <c r="W376" s="295">
        <f t="shared" ref="W376:W385" si="1026">+V376*$X$1</f>
        <v>2975.6000000000004</v>
      </c>
      <c r="X376" s="136"/>
      <c r="Y376" s="132"/>
      <c r="Z376" s="132"/>
      <c r="AA376" s="135"/>
      <c r="AB376" s="386">
        <v>2247</v>
      </c>
    </row>
    <row r="377" spans="1:29" ht="12.6" customHeight="1" x14ac:dyDescent="0.2">
      <c r="A377" s="18"/>
      <c r="B377" s="664" t="s">
        <v>461</v>
      </c>
      <c r="C377" s="708"/>
      <c r="D377" s="708"/>
      <c r="E377" s="709"/>
      <c r="F377" s="370">
        <f>0.467*X2</f>
        <v>508.096</v>
      </c>
      <c r="G377" s="279">
        <f t="shared" ref="G377:G381" si="1027">+F377*$X$1</f>
        <v>508.096</v>
      </c>
      <c r="H377" s="273"/>
      <c r="I377" s="331"/>
      <c r="J377" s="610"/>
      <c r="K377" s="279"/>
      <c r="L377" s="610">
        <f t="shared" si="1015"/>
        <v>668.096</v>
      </c>
      <c r="M377" s="279">
        <f t="shared" si="1016"/>
        <v>668.096</v>
      </c>
      <c r="N377" s="610">
        <f t="shared" si="1017"/>
        <v>608.096</v>
      </c>
      <c r="O377" s="279">
        <f t="shared" si="1018"/>
        <v>608.096</v>
      </c>
      <c r="P377" s="610">
        <f t="shared" si="1019"/>
        <v>583.096</v>
      </c>
      <c r="Q377" s="279">
        <f t="shared" si="1020"/>
        <v>583.096</v>
      </c>
      <c r="R377" s="610">
        <f t="shared" si="1021"/>
        <v>573.096</v>
      </c>
      <c r="S377" s="279">
        <f t="shared" si="1022"/>
        <v>573.096</v>
      </c>
      <c r="T377" s="101">
        <f t="shared" si="1023"/>
        <v>558.096</v>
      </c>
      <c r="U377" s="252">
        <f t="shared" si="1024"/>
        <v>558.096</v>
      </c>
      <c r="V377" s="101">
        <f t="shared" si="1025"/>
        <v>546.096</v>
      </c>
      <c r="W377" s="252">
        <f t="shared" si="1026"/>
        <v>546.096</v>
      </c>
      <c r="X377" s="129"/>
      <c r="Y377" s="129"/>
      <c r="Z377" s="129"/>
      <c r="AA377" s="129"/>
      <c r="AB377" s="400">
        <v>2251</v>
      </c>
    </row>
    <row r="378" spans="1:29" ht="12.6" customHeight="1" x14ac:dyDescent="0.2">
      <c r="A378" s="18"/>
      <c r="B378" s="661" t="s">
        <v>669</v>
      </c>
      <c r="C378" s="662"/>
      <c r="D378" s="662"/>
      <c r="E378" s="663"/>
      <c r="F378" s="369">
        <f>0.467*X2</f>
        <v>508.096</v>
      </c>
      <c r="G378" s="280">
        <f t="shared" si="1027"/>
        <v>508.096</v>
      </c>
      <c r="H378" s="272"/>
      <c r="I378" s="332"/>
      <c r="J378" s="441"/>
      <c r="K378" s="280"/>
      <c r="L378" s="441">
        <f t="shared" si="1015"/>
        <v>668.096</v>
      </c>
      <c r="M378" s="280">
        <f t="shared" si="1016"/>
        <v>668.096</v>
      </c>
      <c r="N378" s="441">
        <f t="shared" si="1017"/>
        <v>608.096</v>
      </c>
      <c r="O378" s="280">
        <f t="shared" si="1018"/>
        <v>608.096</v>
      </c>
      <c r="P378" s="441">
        <f t="shared" si="1019"/>
        <v>583.096</v>
      </c>
      <c r="Q378" s="280">
        <f t="shared" si="1020"/>
        <v>583.096</v>
      </c>
      <c r="R378" s="441">
        <f t="shared" si="1021"/>
        <v>573.096</v>
      </c>
      <c r="S378" s="280">
        <f t="shared" si="1022"/>
        <v>573.096</v>
      </c>
      <c r="T378" s="100">
        <f t="shared" si="1023"/>
        <v>558.096</v>
      </c>
      <c r="U378" s="295">
        <f t="shared" si="1024"/>
        <v>558.096</v>
      </c>
      <c r="V378" s="100">
        <f t="shared" si="1025"/>
        <v>546.096</v>
      </c>
      <c r="W378" s="295">
        <f t="shared" si="1026"/>
        <v>546.096</v>
      </c>
      <c r="X378" s="129"/>
      <c r="Y378" s="129"/>
      <c r="Z378" s="129"/>
      <c r="AA378" s="129"/>
      <c r="AB378" s="386">
        <v>2252</v>
      </c>
    </row>
    <row r="379" spans="1:29" ht="12.6" customHeight="1" x14ac:dyDescent="0.2">
      <c r="A379" s="102"/>
      <c r="B379" s="664" t="s">
        <v>241</v>
      </c>
      <c r="C379" s="665"/>
      <c r="D379" s="665"/>
      <c r="E379" s="666"/>
      <c r="F379" s="365">
        <f>0.35*X2</f>
        <v>380.79999999999995</v>
      </c>
      <c r="G379" s="279">
        <f t="shared" si="1027"/>
        <v>380.79999999999995</v>
      </c>
      <c r="H379" s="273"/>
      <c r="I379" s="331"/>
      <c r="J379" s="610"/>
      <c r="K379" s="279"/>
      <c r="L379" s="610">
        <f t="shared" si="1015"/>
        <v>540.79999999999995</v>
      </c>
      <c r="M379" s="279">
        <f t="shared" si="1016"/>
        <v>540.79999999999995</v>
      </c>
      <c r="N379" s="610">
        <f t="shared" si="1017"/>
        <v>480.79999999999995</v>
      </c>
      <c r="O379" s="279">
        <f t="shared" si="1018"/>
        <v>480.79999999999995</v>
      </c>
      <c r="P379" s="610">
        <f t="shared" si="1019"/>
        <v>455.79999999999995</v>
      </c>
      <c r="Q379" s="279">
        <f t="shared" si="1020"/>
        <v>455.79999999999995</v>
      </c>
      <c r="R379" s="610">
        <f t="shared" si="1021"/>
        <v>445.79999999999995</v>
      </c>
      <c r="S379" s="279">
        <f t="shared" si="1022"/>
        <v>445.79999999999995</v>
      </c>
      <c r="T379" s="101">
        <f t="shared" si="1023"/>
        <v>430.79999999999995</v>
      </c>
      <c r="U379" s="252">
        <f t="shared" si="1024"/>
        <v>430.79999999999995</v>
      </c>
      <c r="V379" s="101">
        <f t="shared" si="1025"/>
        <v>418.79999999999995</v>
      </c>
      <c r="W379" s="252">
        <f t="shared" si="1026"/>
        <v>418.79999999999995</v>
      </c>
      <c r="X379" s="166"/>
      <c r="Y379" s="129"/>
      <c r="Z379" s="129"/>
      <c r="AA379" s="145"/>
      <c r="AB379" s="386">
        <v>2254</v>
      </c>
      <c r="AC379" s="64"/>
    </row>
    <row r="380" spans="1:29" ht="12.6" customHeight="1" x14ac:dyDescent="0.2">
      <c r="A380" s="102"/>
      <c r="B380" s="661" t="s">
        <v>473</v>
      </c>
      <c r="C380" s="790"/>
      <c r="D380" s="790"/>
      <c r="E380" s="791"/>
      <c r="F380" s="366">
        <f>0.37*X2</f>
        <v>402.56</v>
      </c>
      <c r="G380" s="280">
        <f t="shared" si="1027"/>
        <v>402.56</v>
      </c>
      <c r="H380" s="272"/>
      <c r="I380" s="332"/>
      <c r="J380" s="441"/>
      <c r="K380" s="280"/>
      <c r="L380" s="441">
        <f t="shared" si="1015"/>
        <v>562.55999999999995</v>
      </c>
      <c r="M380" s="280">
        <f t="shared" si="1016"/>
        <v>562.55999999999995</v>
      </c>
      <c r="N380" s="441">
        <f t="shared" si="1017"/>
        <v>502.56</v>
      </c>
      <c r="O380" s="280">
        <f t="shared" si="1018"/>
        <v>502.56</v>
      </c>
      <c r="P380" s="441">
        <f t="shared" si="1019"/>
        <v>477.56</v>
      </c>
      <c r="Q380" s="280">
        <f t="shared" si="1020"/>
        <v>477.56</v>
      </c>
      <c r="R380" s="441">
        <f t="shared" si="1021"/>
        <v>467.56</v>
      </c>
      <c r="S380" s="280">
        <f t="shared" si="1022"/>
        <v>467.56</v>
      </c>
      <c r="T380" s="100">
        <f t="shared" si="1023"/>
        <v>452.56</v>
      </c>
      <c r="U380" s="295">
        <f t="shared" si="1024"/>
        <v>452.56</v>
      </c>
      <c r="V380" s="100">
        <f t="shared" si="1025"/>
        <v>440.56</v>
      </c>
      <c r="W380" s="295">
        <f t="shared" si="1026"/>
        <v>440.56</v>
      </c>
      <c r="X380" s="166"/>
      <c r="Y380" s="129"/>
      <c r="Z380" s="129"/>
      <c r="AA380" s="145"/>
      <c r="AB380" s="386" t="s">
        <v>498</v>
      </c>
      <c r="AC380" s="64"/>
    </row>
    <row r="381" spans="1:29" ht="12.6" customHeight="1" x14ac:dyDescent="0.2">
      <c r="A381" s="102"/>
      <c r="B381" s="669" t="s">
        <v>242</v>
      </c>
      <c r="C381" s="670"/>
      <c r="D381" s="670"/>
      <c r="E381" s="671"/>
      <c r="F381" s="513">
        <v>430</v>
      </c>
      <c r="G381" s="513">
        <f t="shared" si="1027"/>
        <v>430</v>
      </c>
      <c r="H381" s="514"/>
      <c r="I381" s="516"/>
      <c r="J381" s="607"/>
      <c r="K381" s="513"/>
      <c r="L381" s="607">
        <f t="shared" si="1015"/>
        <v>590</v>
      </c>
      <c r="M381" s="513">
        <f t="shared" si="1016"/>
        <v>590</v>
      </c>
      <c r="N381" s="607">
        <f t="shared" si="1017"/>
        <v>530</v>
      </c>
      <c r="O381" s="513">
        <f t="shared" si="1018"/>
        <v>530</v>
      </c>
      <c r="P381" s="607">
        <f t="shared" si="1019"/>
        <v>505</v>
      </c>
      <c r="Q381" s="513">
        <f t="shared" si="1020"/>
        <v>505</v>
      </c>
      <c r="R381" s="607">
        <f t="shared" si="1021"/>
        <v>495</v>
      </c>
      <c r="S381" s="513">
        <f t="shared" si="1022"/>
        <v>495</v>
      </c>
      <c r="T381" s="631">
        <f t="shared" si="1023"/>
        <v>480</v>
      </c>
      <c r="U381" s="630">
        <f t="shared" si="1024"/>
        <v>480</v>
      </c>
      <c r="V381" s="631">
        <f t="shared" si="1025"/>
        <v>468</v>
      </c>
      <c r="W381" s="630">
        <f t="shared" si="1026"/>
        <v>468</v>
      </c>
      <c r="X381" s="166"/>
      <c r="Y381" s="129"/>
      <c r="Z381" s="129"/>
      <c r="AA381" s="129"/>
      <c r="AB381" s="386">
        <v>2255</v>
      </c>
      <c r="AC381" s="64"/>
    </row>
    <row r="382" spans="1:29" ht="12.6" customHeight="1" x14ac:dyDescent="0.2">
      <c r="A382" s="95"/>
      <c r="B382" s="649" t="s">
        <v>873</v>
      </c>
      <c r="C382" s="650"/>
      <c r="D382" s="650"/>
      <c r="E382" s="650"/>
      <c r="F382" s="366">
        <f>1.75*X2</f>
        <v>1904</v>
      </c>
      <c r="G382" s="280">
        <f t="shared" ref="G382" si="1028">+F382*$X$1</f>
        <v>1904</v>
      </c>
      <c r="H382" s="272"/>
      <c r="I382" s="332"/>
      <c r="J382" s="441"/>
      <c r="K382" s="280"/>
      <c r="L382" s="441">
        <f t="shared" si="1015"/>
        <v>2064</v>
      </c>
      <c r="M382" s="280">
        <f t="shared" si="1016"/>
        <v>2064</v>
      </c>
      <c r="N382" s="441">
        <f t="shared" si="1017"/>
        <v>2004</v>
      </c>
      <c r="O382" s="280">
        <f t="shared" si="1018"/>
        <v>2004</v>
      </c>
      <c r="P382" s="441">
        <f t="shared" si="1019"/>
        <v>1979</v>
      </c>
      <c r="Q382" s="280">
        <f t="shared" si="1020"/>
        <v>1979</v>
      </c>
      <c r="R382" s="441">
        <f t="shared" si="1021"/>
        <v>1969</v>
      </c>
      <c r="S382" s="280">
        <f t="shared" si="1022"/>
        <v>1969</v>
      </c>
      <c r="T382" s="100">
        <f t="shared" si="1023"/>
        <v>1954</v>
      </c>
      <c r="U382" s="295">
        <f t="shared" si="1024"/>
        <v>1954</v>
      </c>
      <c r="V382" s="100">
        <f t="shared" si="1025"/>
        <v>1942</v>
      </c>
      <c r="W382" s="295">
        <f t="shared" si="1026"/>
        <v>1942</v>
      </c>
      <c r="X382" s="136"/>
      <c r="Y382" s="132"/>
      <c r="Z382" s="132"/>
      <c r="AA382" s="135"/>
      <c r="AB382" s="386">
        <v>2258</v>
      </c>
    </row>
    <row r="383" spans="1:29" ht="12.6" customHeight="1" x14ac:dyDescent="0.2">
      <c r="A383" s="18"/>
      <c r="B383" s="705" t="s">
        <v>651</v>
      </c>
      <c r="C383" s="875"/>
      <c r="D383" s="875"/>
      <c r="E383" s="875"/>
      <c r="F383" s="365">
        <f>0.52*X2</f>
        <v>565.76</v>
      </c>
      <c r="G383" s="279">
        <f t="shared" ref="G383" si="1029">+F383*$X$1</f>
        <v>565.76</v>
      </c>
      <c r="H383" s="610"/>
      <c r="I383" s="279"/>
      <c r="J383" s="610"/>
      <c r="K383" s="279"/>
      <c r="L383" s="610">
        <f t="shared" si="1015"/>
        <v>725.76</v>
      </c>
      <c r="M383" s="279">
        <f t="shared" si="1016"/>
        <v>725.76</v>
      </c>
      <c r="N383" s="610">
        <f t="shared" si="1017"/>
        <v>665.76</v>
      </c>
      <c r="O383" s="279">
        <f t="shared" si="1018"/>
        <v>665.76</v>
      </c>
      <c r="P383" s="610">
        <f t="shared" si="1019"/>
        <v>640.76</v>
      </c>
      <c r="Q383" s="279">
        <f t="shared" si="1020"/>
        <v>640.76</v>
      </c>
      <c r="R383" s="610">
        <f t="shared" si="1021"/>
        <v>630.76</v>
      </c>
      <c r="S383" s="279">
        <f t="shared" si="1022"/>
        <v>630.76</v>
      </c>
      <c r="T383" s="101">
        <f t="shared" si="1023"/>
        <v>615.76</v>
      </c>
      <c r="U383" s="252">
        <f t="shared" si="1024"/>
        <v>615.76</v>
      </c>
      <c r="V383" s="101">
        <f t="shared" si="1025"/>
        <v>603.76</v>
      </c>
      <c r="W383" s="252">
        <f t="shared" si="1026"/>
        <v>603.76</v>
      </c>
      <c r="X383" s="644"/>
      <c r="Y383" s="679"/>
      <c r="Z383" s="679"/>
      <c r="AA383" s="658"/>
      <c r="AB383" s="386">
        <v>2260</v>
      </c>
      <c r="AC383" s="64"/>
    </row>
    <row r="384" spans="1:29" ht="12.6" customHeight="1" x14ac:dyDescent="0.2">
      <c r="A384" s="18"/>
      <c r="B384" s="667" t="s">
        <v>632</v>
      </c>
      <c r="C384" s="682"/>
      <c r="D384" s="682"/>
      <c r="E384" s="682"/>
      <c r="F384" s="366">
        <f>0.6*X2</f>
        <v>652.79999999999995</v>
      </c>
      <c r="G384" s="280">
        <f t="shared" ref="G384:G385" si="1030">+F384*$X$1</f>
        <v>652.79999999999995</v>
      </c>
      <c r="H384" s="441"/>
      <c r="I384" s="280"/>
      <c r="J384" s="441"/>
      <c r="K384" s="280"/>
      <c r="L384" s="441">
        <f t="shared" si="1015"/>
        <v>812.8</v>
      </c>
      <c r="M384" s="280">
        <f t="shared" si="1016"/>
        <v>812.8</v>
      </c>
      <c r="N384" s="441">
        <f t="shared" si="1017"/>
        <v>752.8</v>
      </c>
      <c r="O384" s="280">
        <f t="shared" si="1018"/>
        <v>752.8</v>
      </c>
      <c r="P384" s="441">
        <f t="shared" si="1019"/>
        <v>727.8</v>
      </c>
      <c r="Q384" s="280">
        <f t="shared" si="1020"/>
        <v>727.8</v>
      </c>
      <c r="R384" s="441">
        <f t="shared" si="1021"/>
        <v>717.8</v>
      </c>
      <c r="S384" s="280">
        <f t="shared" si="1022"/>
        <v>717.8</v>
      </c>
      <c r="T384" s="100">
        <f t="shared" si="1023"/>
        <v>702.8</v>
      </c>
      <c r="U384" s="295">
        <f t="shared" si="1024"/>
        <v>702.8</v>
      </c>
      <c r="V384" s="100">
        <f t="shared" si="1025"/>
        <v>690.8</v>
      </c>
      <c r="W384" s="295">
        <f t="shared" si="1026"/>
        <v>690.8</v>
      </c>
      <c r="X384" s="644"/>
      <c r="Y384" s="679"/>
      <c r="Z384" s="679"/>
      <c r="AA384" s="658"/>
      <c r="AB384" s="386">
        <v>2261</v>
      </c>
      <c r="AC384" s="64"/>
    </row>
    <row r="385" spans="1:34" ht="12.6" customHeight="1" x14ac:dyDescent="0.2">
      <c r="A385" s="18"/>
      <c r="B385" s="705" t="s">
        <v>653</v>
      </c>
      <c r="C385" s="875"/>
      <c r="D385" s="875"/>
      <c r="E385" s="875"/>
      <c r="F385" s="365">
        <f>0.58*X2</f>
        <v>631.04</v>
      </c>
      <c r="G385" s="279">
        <f t="shared" si="1030"/>
        <v>631.04</v>
      </c>
      <c r="H385" s="610"/>
      <c r="I385" s="279"/>
      <c r="J385" s="610"/>
      <c r="K385" s="279"/>
      <c r="L385" s="610">
        <f t="shared" si="1015"/>
        <v>791.04</v>
      </c>
      <c r="M385" s="279">
        <f t="shared" si="1016"/>
        <v>791.04</v>
      </c>
      <c r="N385" s="610">
        <f t="shared" si="1017"/>
        <v>731.04</v>
      </c>
      <c r="O385" s="279">
        <f t="shared" si="1018"/>
        <v>731.04</v>
      </c>
      <c r="P385" s="610">
        <f t="shared" si="1019"/>
        <v>706.04</v>
      </c>
      <c r="Q385" s="279">
        <f t="shared" si="1020"/>
        <v>706.04</v>
      </c>
      <c r="R385" s="610">
        <f t="shared" si="1021"/>
        <v>696.04</v>
      </c>
      <c r="S385" s="279">
        <f t="shared" si="1022"/>
        <v>696.04</v>
      </c>
      <c r="T385" s="101">
        <f t="shared" si="1023"/>
        <v>681.04</v>
      </c>
      <c r="U385" s="252">
        <f t="shared" si="1024"/>
        <v>681.04</v>
      </c>
      <c r="V385" s="101">
        <f t="shared" si="1025"/>
        <v>669.04</v>
      </c>
      <c r="W385" s="252">
        <f t="shared" si="1026"/>
        <v>669.04</v>
      </c>
      <c r="X385" s="644"/>
      <c r="Y385" s="679"/>
      <c r="Z385" s="679"/>
      <c r="AA385" s="658"/>
      <c r="AB385" s="386">
        <v>2262</v>
      </c>
      <c r="AC385" s="64"/>
    </row>
    <row r="386" spans="1:34" ht="12.6" customHeight="1" x14ac:dyDescent="0.2">
      <c r="A386" s="18"/>
      <c r="B386" s="667" t="s">
        <v>652</v>
      </c>
      <c r="C386" s="682"/>
      <c r="D386" s="682"/>
      <c r="E386" s="682"/>
      <c r="F386" s="366">
        <f>0.81*X2</f>
        <v>881.28000000000009</v>
      </c>
      <c r="G386" s="280">
        <f t="shared" ref="G386" si="1031">+F386*$X$1</f>
        <v>881.28000000000009</v>
      </c>
      <c r="H386" s="441"/>
      <c r="I386" s="280"/>
      <c r="J386" s="441"/>
      <c r="K386" s="280"/>
      <c r="L386" s="441">
        <f t="shared" ref="L386" si="1032">F386+160</f>
        <v>1041.2800000000002</v>
      </c>
      <c r="M386" s="280">
        <f t="shared" ref="M386:M387" si="1033">+L386*$X$1</f>
        <v>1041.2800000000002</v>
      </c>
      <c r="N386" s="441">
        <f t="shared" ref="N386" si="1034">F386+100</f>
        <v>981.28000000000009</v>
      </c>
      <c r="O386" s="280">
        <f t="shared" ref="O386" si="1035">+N386*$X$1</f>
        <v>981.28000000000009</v>
      </c>
      <c r="P386" s="441">
        <f t="shared" ref="P386" si="1036">F386+75</f>
        <v>956.28000000000009</v>
      </c>
      <c r="Q386" s="280">
        <f t="shared" ref="Q386" si="1037">+P386*$X$1</f>
        <v>956.28000000000009</v>
      </c>
      <c r="R386" s="441">
        <f t="shared" ref="R386" si="1038">F386+65</f>
        <v>946.28000000000009</v>
      </c>
      <c r="S386" s="280">
        <f t="shared" ref="S386" si="1039">+R386*$X$1</f>
        <v>946.28000000000009</v>
      </c>
      <c r="T386" s="100">
        <f t="shared" ref="T386" si="1040">F386+50</f>
        <v>931.28000000000009</v>
      </c>
      <c r="U386" s="295">
        <f t="shared" ref="U386" si="1041">+T386*$X$1</f>
        <v>931.28000000000009</v>
      </c>
      <c r="V386" s="100">
        <f t="shared" ref="V386" si="1042">F386+38</f>
        <v>919.28000000000009</v>
      </c>
      <c r="W386" s="295">
        <f t="shared" ref="W386" si="1043">+V386*$X$1</f>
        <v>919.28000000000009</v>
      </c>
      <c r="X386" s="644"/>
      <c r="Y386" s="679"/>
      <c r="Z386" s="679"/>
      <c r="AA386" s="658"/>
      <c r="AB386" s="386">
        <v>2266</v>
      </c>
      <c r="AC386" s="64"/>
    </row>
    <row r="387" spans="1:34" ht="12.6" customHeight="1" x14ac:dyDescent="0.2">
      <c r="A387" s="18"/>
      <c r="B387" s="683" t="s">
        <v>243</v>
      </c>
      <c r="C387" s="684"/>
      <c r="D387" s="684"/>
      <c r="E387" s="684"/>
      <c r="F387" s="506">
        <f>1.96*X2</f>
        <v>2132.48</v>
      </c>
      <c r="G387" s="279">
        <f t="shared" ref="G387:G388" si="1044">+F387*$X$1</f>
        <v>2132.48</v>
      </c>
      <c r="H387" s="610">
        <f>F387+650</f>
        <v>2782.48</v>
      </c>
      <c r="I387" s="279">
        <f t="shared" ref="I387" si="1045">+H387*$X$1</f>
        <v>2782.48</v>
      </c>
      <c r="J387" s="610">
        <f>F387+230</f>
        <v>2362.48</v>
      </c>
      <c r="K387" s="279">
        <f t="shared" ref="K387" si="1046">+J387*$X$1</f>
        <v>2362.48</v>
      </c>
      <c r="L387" s="610">
        <f>F387+190</f>
        <v>2322.48</v>
      </c>
      <c r="M387" s="279">
        <f t="shared" si="1033"/>
        <v>2322.48</v>
      </c>
      <c r="N387" s="610"/>
      <c r="O387" s="279"/>
      <c r="P387" s="610"/>
      <c r="Q387" s="279"/>
      <c r="R387" s="610"/>
      <c r="S387" s="279"/>
      <c r="T387" s="610"/>
      <c r="U387" s="279"/>
      <c r="V387" s="610"/>
      <c r="W387" s="279"/>
      <c r="X387" s="644"/>
      <c r="Y387" s="679"/>
      <c r="Z387" s="679"/>
      <c r="AA387" s="658"/>
      <c r="AB387" s="386">
        <v>2268</v>
      </c>
      <c r="AC387" s="64"/>
    </row>
    <row r="388" spans="1:34" ht="12.6" customHeight="1" x14ac:dyDescent="0.2">
      <c r="A388" s="18"/>
      <c r="B388" s="667" t="s">
        <v>244</v>
      </c>
      <c r="C388" s="672"/>
      <c r="D388" s="672"/>
      <c r="E388" s="672"/>
      <c r="F388" s="366">
        <f>0.443*X2</f>
        <v>481.98399999999998</v>
      </c>
      <c r="G388" s="280">
        <f t="shared" si="1044"/>
        <v>481.98399999999998</v>
      </c>
      <c r="H388" s="272"/>
      <c r="I388" s="272"/>
      <c r="J388" s="441"/>
      <c r="K388" s="441"/>
      <c r="L388" s="441">
        <f t="shared" ref="L388:L393" si="1047">F388+160</f>
        <v>641.98399999999992</v>
      </c>
      <c r="M388" s="280">
        <f t="shared" ref="M388:M393" si="1048">+L388*$X$1</f>
        <v>641.98399999999992</v>
      </c>
      <c r="N388" s="441">
        <f t="shared" ref="N388:N393" si="1049">F388+100</f>
        <v>581.98399999999992</v>
      </c>
      <c r="O388" s="280">
        <f t="shared" ref="O388:O393" si="1050">+N388*$X$1</f>
        <v>581.98399999999992</v>
      </c>
      <c r="P388" s="441">
        <f t="shared" ref="P388:P393" si="1051">F388+75</f>
        <v>556.98399999999992</v>
      </c>
      <c r="Q388" s="280">
        <f t="shared" ref="Q388:Q393" si="1052">+P388*$X$1</f>
        <v>556.98399999999992</v>
      </c>
      <c r="R388" s="441">
        <f t="shared" ref="R388:R393" si="1053">F388+65</f>
        <v>546.98399999999992</v>
      </c>
      <c r="S388" s="280">
        <f t="shared" ref="S388:S393" si="1054">+R388*$X$1</f>
        <v>546.98399999999992</v>
      </c>
      <c r="T388" s="100">
        <f t="shared" ref="T388:T393" si="1055">F388+50</f>
        <v>531.98399999999992</v>
      </c>
      <c r="U388" s="295">
        <f t="shared" ref="U388:U393" si="1056">+T388*$X$1</f>
        <v>531.98399999999992</v>
      </c>
      <c r="V388" s="100">
        <f t="shared" ref="V388:V393" si="1057">F388+38</f>
        <v>519.98399999999992</v>
      </c>
      <c r="W388" s="295">
        <f t="shared" ref="W388:W393" si="1058">+V388*$X$1</f>
        <v>519.98399999999992</v>
      </c>
      <c r="X388" s="172"/>
      <c r="Y388" s="174"/>
      <c r="Z388" s="174"/>
      <c r="AA388" s="172"/>
      <c r="AB388" s="386">
        <v>2270</v>
      </c>
      <c r="AC388" s="64"/>
    </row>
    <row r="389" spans="1:34" ht="12.6" customHeight="1" x14ac:dyDescent="0.2">
      <c r="A389" s="18"/>
      <c r="B389" s="642" t="s">
        <v>919</v>
      </c>
      <c r="C389" s="707"/>
      <c r="D389" s="707"/>
      <c r="E389" s="707"/>
      <c r="F389" s="365">
        <f>0.44*X2</f>
        <v>478.72</v>
      </c>
      <c r="G389" s="279">
        <f t="shared" ref="G389" si="1059">+F389*$X$1</f>
        <v>478.72</v>
      </c>
      <c r="H389" s="273"/>
      <c r="I389" s="273"/>
      <c r="J389" s="610"/>
      <c r="K389" s="610"/>
      <c r="L389" s="610">
        <f t="shared" si="1047"/>
        <v>638.72</v>
      </c>
      <c r="M389" s="279">
        <f t="shared" si="1048"/>
        <v>638.72</v>
      </c>
      <c r="N389" s="610">
        <f t="shared" si="1049"/>
        <v>578.72</v>
      </c>
      <c r="O389" s="279">
        <f t="shared" si="1050"/>
        <v>578.72</v>
      </c>
      <c r="P389" s="610">
        <f t="shared" si="1051"/>
        <v>553.72</v>
      </c>
      <c r="Q389" s="279">
        <f t="shared" si="1052"/>
        <v>553.72</v>
      </c>
      <c r="R389" s="610">
        <f t="shared" si="1053"/>
        <v>543.72</v>
      </c>
      <c r="S389" s="279">
        <f t="shared" si="1054"/>
        <v>543.72</v>
      </c>
      <c r="T389" s="101">
        <f t="shared" si="1055"/>
        <v>528.72</v>
      </c>
      <c r="U389" s="252">
        <f t="shared" si="1056"/>
        <v>528.72</v>
      </c>
      <c r="V389" s="101">
        <f t="shared" si="1057"/>
        <v>516.72</v>
      </c>
      <c r="W389" s="252">
        <f t="shared" si="1058"/>
        <v>516.72</v>
      </c>
      <c r="X389" s="542"/>
      <c r="Y389" s="540"/>
      <c r="Z389" s="540"/>
      <c r="AA389" s="542"/>
      <c r="AB389" s="386">
        <v>2271</v>
      </c>
      <c r="AC389" s="64"/>
    </row>
    <row r="390" spans="1:34" ht="12.6" customHeight="1" x14ac:dyDescent="0.2">
      <c r="A390" s="18"/>
      <c r="B390" s="642" t="s">
        <v>920</v>
      </c>
      <c r="C390" s="707"/>
      <c r="D390" s="707"/>
      <c r="E390" s="707"/>
      <c r="F390" s="366">
        <f>0.65*X2</f>
        <v>707.2</v>
      </c>
      <c r="G390" s="280">
        <f t="shared" ref="G390" si="1060">+F390*$X$1</f>
        <v>707.2</v>
      </c>
      <c r="H390" s="272"/>
      <c r="I390" s="272"/>
      <c r="J390" s="441"/>
      <c r="K390" s="441"/>
      <c r="L390" s="441">
        <f t="shared" si="1047"/>
        <v>867.2</v>
      </c>
      <c r="M390" s="280">
        <f t="shared" si="1048"/>
        <v>867.2</v>
      </c>
      <c r="N390" s="441">
        <f t="shared" si="1049"/>
        <v>807.2</v>
      </c>
      <c r="O390" s="280">
        <f t="shared" si="1050"/>
        <v>807.2</v>
      </c>
      <c r="P390" s="441">
        <f t="shared" si="1051"/>
        <v>782.2</v>
      </c>
      <c r="Q390" s="280">
        <f t="shared" si="1052"/>
        <v>782.2</v>
      </c>
      <c r="R390" s="441">
        <f t="shared" si="1053"/>
        <v>772.2</v>
      </c>
      <c r="S390" s="280">
        <f t="shared" si="1054"/>
        <v>772.2</v>
      </c>
      <c r="T390" s="100">
        <f t="shared" si="1055"/>
        <v>757.2</v>
      </c>
      <c r="U390" s="295">
        <f t="shared" si="1056"/>
        <v>757.2</v>
      </c>
      <c r="V390" s="100">
        <f t="shared" si="1057"/>
        <v>745.2</v>
      </c>
      <c r="W390" s="295">
        <f t="shared" si="1058"/>
        <v>745.2</v>
      </c>
      <c r="X390" s="542"/>
      <c r="Y390" s="540"/>
      <c r="Z390" s="540"/>
      <c r="AA390" s="542"/>
      <c r="AB390" s="386">
        <v>2272</v>
      </c>
      <c r="AC390" s="64"/>
    </row>
    <row r="391" spans="1:34" ht="12.6" customHeight="1" x14ac:dyDescent="0.2">
      <c r="A391" s="18"/>
      <c r="B391" s="705" t="s">
        <v>245</v>
      </c>
      <c r="C391" s="706"/>
      <c r="D391" s="706"/>
      <c r="E391" s="706"/>
      <c r="F391" s="365">
        <f>0.59*X2</f>
        <v>641.91999999999996</v>
      </c>
      <c r="G391" s="279">
        <f>+F391*$X$1</f>
        <v>641.91999999999996</v>
      </c>
      <c r="H391" s="273"/>
      <c r="I391" s="273"/>
      <c r="J391" s="610"/>
      <c r="K391" s="610"/>
      <c r="L391" s="610">
        <f t="shared" si="1047"/>
        <v>801.92</v>
      </c>
      <c r="M391" s="279">
        <f t="shared" si="1048"/>
        <v>801.92</v>
      </c>
      <c r="N391" s="610">
        <f t="shared" si="1049"/>
        <v>741.92</v>
      </c>
      <c r="O391" s="279">
        <f t="shared" si="1050"/>
        <v>741.92</v>
      </c>
      <c r="P391" s="610">
        <f t="shared" si="1051"/>
        <v>716.92</v>
      </c>
      <c r="Q391" s="279">
        <f t="shared" si="1052"/>
        <v>716.92</v>
      </c>
      <c r="R391" s="610">
        <f t="shared" si="1053"/>
        <v>706.92</v>
      </c>
      <c r="S391" s="279">
        <f t="shared" si="1054"/>
        <v>706.92</v>
      </c>
      <c r="T391" s="101">
        <f t="shared" si="1055"/>
        <v>691.92</v>
      </c>
      <c r="U391" s="252">
        <f t="shared" si="1056"/>
        <v>691.92</v>
      </c>
      <c r="V391" s="101">
        <f t="shared" si="1057"/>
        <v>679.92</v>
      </c>
      <c r="W391" s="252">
        <f t="shared" si="1058"/>
        <v>679.92</v>
      </c>
      <c r="X391" s="172"/>
      <c r="Y391" s="174"/>
      <c r="Z391" s="174"/>
      <c r="AA391" s="172"/>
      <c r="AB391" s="386">
        <v>2275</v>
      </c>
      <c r="AC391" s="64"/>
    </row>
    <row r="392" spans="1:34" ht="12.6" customHeight="1" x14ac:dyDescent="0.2">
      <c r="A392" s="18"/>
      <c r="B392" s="667" t="s">
        <v>598</v>
      </c>
      <c r="C392" s="668"/>
      <c r="D392" s="668"/>
      <c r="E392" s="668"/>
      <c r="F392" s="366">
        <f>0.57*X2</f>
        <v>620.16</v>
      </c>
      <c r="G392" s="280">
        <f t="shared" ref="G392:G393" si="1061">+F392*$X$1</f>
        <v>620.16</v>
      </c>
      <c r="H392" s="272"/>
      <c r="I392" s="272"/>
      <c r="J392" s="441"/>
      <c r="K392" s="441"/>
      <c r="L392" s="441">
        <f t="shared" si="1047"/>
        <v>780.16</v>
      </c>
      <c r="M392" s="280">
        <f t="shared" si="1048"/>
        <v>780.16</v>
      </c>
      <c r="N392" s="441">
        <f t="shared" si="1049"/>
        <v>720.16</v>
      </c>
      <c r="O392" s="280">
        <f t="shared" si="1050"/>
        <v>720.16</v>
      </c>
      <c r="P392" s="441">
        <f t="shared" si="1051"/>
        <v>695.16</v>
      </c>
      <c r="Q392" s="280">
        <f t="shared" si="1052"/>
        <v>695.16</v>
      </c>
      <c r="R392" s="441">
        <f t="shared" si="1053"/>
        <v>685.16</v>
      </c>
      <c r="S392" s="280">
        <f t="shared" si="1054"/>
        <v>685.16</v>
      </c>
      <c r="T392" s="100">
        <f t="shared" si="1055"/>
        <v>670.16</v>
      </c>
      <c r="U392" s="295">
        <f t="shared" si="1056"/>
        <v>670.16</v>
      </c>
      <c r="V392" s="100">
        <f t="shared" si="1057"/>
        <v>658.16</v>
      </c>
      <c r="W392" s="295">
        <f t="shared" si="1058"/>
        <v>658.16</v>
      </c>
      <c r="X392" s="222"/>
      <c r="Y392" s="223"/>
      <c r="Z392" s="223"/>
      <c r="AA392" s="222"/>
      <c r="AB392" s="386">
        <v>2279</v>
      </c>
      <c r="AC392" s="64"/>
    </row>
    <row r="393" spans="1:34" ht="12.6" customHeight="1" x14ac:dyDescent="0.2">
      <c r="A393" s="18"/>
      <c r="B393" s="705" t="s">
        <v>246</v>
      </c>
      <c r="C393" s="706"/>
      <c r="D393" s="706"/>
      <c r="E393" s="706"/>
      <c r="F393" s="365">
        <f>0.484*X2</f>
        <v>526.59199999999998</v>
      </c>
      <c r="G393" s="279">
        <f t="shared" si="1061"/>
        <v>526.59199999999998</v>
      </c>
      <c r="H393" s="273"/>
      <c r="I393" s="273"/>
      <c r="J393" s="610"/>
      <c r="K393" s="610"/>
      <c r="L393" s="610">
        <f t="shared" si="1047"/>
        <v>686.59199999999998</v>
      </c>
      <c r="M393" s="279">
        <f t="shared" si="1048"/>
        <v>686.59199999999998</v>
      </c>
      <c r="N393" s="610">
        <f t="shared" si="1049"/>
        <v>626.59199999999998</v>
      </c>
      <c r="O393" s="279">
        <f t="shared" si="1050"/>
        <v>626.59199999999998</v>
      </c>
      <c r="P393" s="610">
        <f t="shared" si="1051"/>
        <v>601.59199999999998</v>
      </c>
      <c r="Q393" s="279">
        <f t="shared" si="1052"/>
        <v>601.59199999999998</v>
      </c>
      <c r="R393" s="610">
        <f t="shared" si="1053"/>
        <v>591.59199999999998</v>
      </c>
      <c r="S393" s="279">
        <f t="shared" si="1054"/>
        <v>591.59199999999998</v>
      </c>
      <c r="T393" s="101">
        <f t="shared" si="1055"/>
        <v>576.59199999999998</v>
      </c>
      <c r="U393" s="252">
        <f t="shared" si="1056"/>
        <v>576.59199999999998</v>
      </c>
      <c r="V393" s="101">
        <f t="shared" si="1057"/>
        <v>564.59199999999998</v>
      </c>
      <c r="W393" s="252">
        <f t="shared" si="1058"/>
        <v>564.59199999999998</v>
      </c>
      <c r="X393" s="172"/>
      <c r="Y393" s="174"/>
      <c r="Z393" s="174"/>
      <c r="AA393" s="172"/>
      <c r="AB393" s="386">
        <v>2280</v>
      </c>
      <c r="AC393" s="64"/>
    </row>
    <row r="394" spans="1:34" ht="12.6" customHeight="1" x14ac:dyDescent="0.2">
      <c r="A394" s="18"/>
      <c r="B394" s="667" t="s">
        <v>467</v>
      </c>
      <c r="C394" s="668"/>
      <c r="D394" s="668"/>
      <c r="E394" s="668"/>
      <c r="F394" s="366">
        <f>0.41*X2</f>
        <v>446.08</v>
      </c>
      <c r="G394" s="280">
        <f t="shared" ref="G394" si="1062">+F394*$X$1</f>
        <v>446.08</v>
      </c>
      <c r="H394" s="272"/>
      <c r="I394" s="272"/>
      <c r="J394" s="441"/>
      <c r="K394" s="441"/>
      <c r="L394" s="441">
        <f>F394+160</f>
        <v>606.07999999999993</v>
      </c>
      <c r="M394" s="280">
        <f>+L394*$X$1</f>
        <v>606.07999999999993</v>
      </c>
      <c r="N394" s="441">
        <f>F394+100</f>
        <v>546.07999999999993</v>
      </c>
      <c r="O394" s="280">
        <f>+N394*$X$1</f>
        <v>546.07999999999993</v>
      </c>
      <c r="P394" s="441">
        <f>F394+75</f>
        <v>521.07999999999993</v>
      </c>
      <c r="Q394" s="280">
        <f>+P394*$X$1</f>
        <v>521.07999999999993</v>
      </c>
      <c r="R394" s="441">
        <f>F394+65</f>
        <v>511.08</v>
      </c>
      <c r="S394" s="280">
        <f>+R394*$X$1</f>
        <v>511.08</v>
      </c>
      <c r="T394" s="100">
        <f>F394+50</f>
        <v>496.08</v>
      </c>
      <c r="U394" s="295">
        <f>+T394*$X$1</f>
        <v>496.08</v>
      </c>
      <c r="V394" s="100">
        <f>F394+38</f>
        <v>484.08</v>
      </c>
      <c r="W394" s="295">
        <f>+V394*$X$1</f>
        <v>484.08</v>
      </c>
      <c r="X394" s="172"/>
      <c r="Y394" s="174"/>
      <c r="Z394" s="174"/>
      <c r="AA394" s="172"/>
      <c r="AB394" s="386">
        <v>2281</v>
      </c>
      <c r="AC394" s="64"/>
    </row>
    <row r="395" spans="1:34" ht="12.6" customHeight="1" x14ac:dyDescent="0.2">
      <c r="A395" s="18"/>
      <c r="B395" s="664" t="s">
        <v>862</v>
      </c>
      <c r="C395" s="708"/>
      <c r="D395" s="708"/>
      <c r="E395" s="709"/>
      <c r="F395" s="370">
        <f>0.61*X2</f>
        <v>663.68</v>
      </c>
      <c r="G395" s="279">
        <f t="shared" ref="G395" si="1063">+F395*$X$1</f>
        <v>663.68</v>
      </c>
      <c r="H395" s="273"/>
      <c r="I395" s="331"/>
      <c r="J395" s="610"/>
      <c r="K395" s="279"/>
      <c r="L395" s="610">
        <f>F395+160</f>
        <v>823.68</v>
      </c>
      <c r="M395" s="279">
        <f>+L395*$X$1</f>
        <v>823.68</v>
      </c>
      <c r="N395" s="610">
        <f>F395+100</f>
        <v>763.68</v>
      </c>
      <c r="O395" s="279">
        <f>+N395*$X$1</f>
        <v>763.68</v>
      </c>
      <c r="P395" s="610">
        <f>F395+75</f>
        <v>738.68</v>
      </c>
      <c r="Q395" s="279">
        <f>+P395*$X$1</f>
        <v>738.68</v>
      </c>
      <c r="R395" s="610">
        <f>F395+65</f>
        <v>728.68</v>
      </c>
      <c r="S395" s="279">
        <f>+R395*$X$1</f>
        <v>728.68</v>
      </c>
      <c r="T395" s="101">
        <f>F395+50</f>
        <v>713.68</v>
      </c>
      <c r="U395" s="252">
        <f>+T395*$X$1</f>
        <v>713.68</v>
      </c>
      <c r="V395" s="101">
        <f>F395+38</f>
        <v>701.68</v>
      </c>
      <c r="W395" s="252">
        <f>+V395*$X$1</f>
        <v>701.68</v>
      </c>
      <c r="X395" s="129"/>
      <c r="Y395" s="129"/>
      <c r="Z395" s="129"/>
      <c r="AA395" s="129"/>
      <c r="AB395" s="386">
        <v>2282</v>
      </c>
    </row>
    <row r="396" spans="1:34" s="4" customFormat="1" ht="12.6" customHeight="1" x14ac:dyDescent="0.2">
      <c r="A396" s="19"/>
      <c r="B396" s="16"/>
      <c r="C396" s="12"/>
      <c r="D396" s="12"/>
      <c r="E396" s="12"/>
      <c r="F396" s="57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9"/>
      <c r="B397" s="16"/>
      <c r="C397" s="12"/>
      <c r="D397" s="12"/>
      <c r="E397" s="12"/>
      <c r="F397" s="57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s="4" customFormat="1" ht="12.6" customHeight="1" x14ac:dyDescent="0.2">
      <c r="A398" s="19"/>
      <c r="B398" s="16"/>
      <c r="C398" s="12"/>
      <c r="D398" s="12"/>
      <c r="E398" s="12"/>
      <c r="F398" s="57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34" ht="15.75" customHeight="1" x14ac:dyDescent="0.2">
      <c r="A399" s="18"/>
      <c r="B399" s="745" t="s">
        <v>11</v>
      </c>
      <c r="C399" s="690" t="s">
        <v>12</v>
      </c>
      <c r="D399" s="691"/>
      <c r="E399" s="691"/>
      <c r="F399" s="685" t="s">
        <v>13</v>
      </c>
      <c r="G399" s="685" t="s">
        <v>13</v>
      </c>
      <c r="H399" s="692" t="s">
        <v>794</v>
      </c>
      <c r="I399" s="692"/>
      <c r="J399" s="693"/>
      <c r="K399" s="693"/>
      <c r="L399" s="693"/>
      <c r="M399" s="693"/>
      <c r="N399" s="693"/>
      <c r="O399" s="693"/>
      <c r="P399" s="693"/>
      <c r="Q399" s="693"/>
      <c r="R399" s="693"/>
      <c r="S399" s="693"/>
      <c r="T399" s="693"/>
      <c r="U399" s="693"/>
      <c r="V399" s="693"/>
      <c r="W399" s="693"/>
      <c r="X399" s="729" t="s">
        <v>14</v>
      </c>
      <c r="Y399" s="729"/>
      <c r="Z399" s="729"/>
      <c r="AA399" s="729"/>
      <c r="AB399" s="798" t="s">
        <v>15</v>
      </c>
      <c r="AE399" s="63"/>
      <c r="AF399" s="760" t="s">
        <v>3</v>
      </c>
      <c r="AG399" s="761"/>
      <c r="AH399" s="761"/>
    </row>
    <row r="400" spans="1:34" ht="12" customHeight="1" x14ac:dyDescent="0.2">
      <c r="A400" s="18"/>
      <c r="B400" s="745"/>
      <c r="C400" s="691"/>
      <c r="D400" s="691"/>
      <c r="E400" s="691"/>
      <c r="F400" s="686"/>
      <c r="G400" s="686"/>
      <c r="H400" s="460"/>
      <c r="I400" s="452" t="s">
        <v>285</v>
      </c>
      <c r="J400" s="454"/>
      <c r="K400" s="452" t="s">
        <v>17</v>
      </c>
      <c r="L400" s="455"/>
      <c r="M400" s="455" t="s">
        <v>18</v>
      </c>
      <c r="N400" s="455"/>
      <c r="O400" s="452" t="s">
        <v>19</v>
      </c>
      <c r="P400" s="455"/>
      <c r="Q400" s="455" t="s">
        <v>286</v>
      </c>
      <c r="R400" s="455"/>
      <c r="S400" s="455" t="s">
        <v>20</v>
      </c>
      <c r="T400" s="455"/>
      <c r="U400" s="455" t="s">
        <v>21</v>
      </c>
      <c r="V400" s="455"/>
      <c r="W400" s="455" t="s">
        <v>22</v>
      </c>
      <c r="X400" s="729"/>
      <c r="Y400" s="729"/>
      <c r="Z400" s="729"/>
      <c r="AA400" s="729"/>
      <c r="AB400" s="799"/>
    </row>
    <row r="401" spans="1:29" ht="12.6" customHeight="1" x14ac:dyDescent="0.2">
      <c r="A401" s="18"/>
      <c r="B401" s="661" t="s">
        <v>861</v>
      </c>
      <c r="C401" s="662"/>
      <c r="D401" s="662"/>
      <c r="E401" s="663"/>
      <c r="F401" s="369">
        <f>0.57*X2</f>
        <v>620.16</v>
      </c>
      <c r="G401" s="280">
        <f>+F401*$X$1</f>
        <v>620.16</v>
      </c>
      <c r="H401" s="272"/>
      <c r="I401" s="332"/>
      <c r="J401" s="441"/>
      <c r="K401" s="280"/>
      <c r="L401" s="441">
        <f t="shared" ref="L401" si="1064">F401+160</f>
        <v>780.16</v>
      </c>
      <c r="M401" s="280">
        <f t="shared" ref="M401" si="1065">+L401*$X$1</f>
        <v>780.16</v>
      </c>
      <c r="N401" s="441">
        <f t="shared" ref="N401" si="1066">F401+100</f>
        <v>720.16</v>
      </c>
      <c r="O401" s="280">
        <f t="shared" ref="O401" si="1067">+N401*$X$1</f>
        <v>720.16</v>
      </c>
      <c r="P401" s="441">
        <f t="shared" ref="P401" si="1068">F401+75</f>
        <v>695.16</v>
      </c>
      <c r="Q401" s="280">
        <f t="shared" ref="Q401" si="1069">+P401*$X$1</f>
        <v>695.16</v>
      </c>
      <c r="R401" s="441">
        <f t="shared" ref="R401" si="1070">F401+65</f>
        <v>685.16</v>
      </c>
      <c r="S401" s="280">
        <f t="shared" ref="S401" si="1071">+R401*$X$1</f>
        <v>685.16</v>
      </c>
      <c r="T401" s="100">
        <f t="shared" ref="T401" si="1072">F401+50</f>
        <v>670.16</v>
      </c>
      <c r="U401" s="295">
        <f t="shared" ref="U401" si="1073">+T401*$X$1</f>
        <v>670.16</v>
      </c>
      <c r="V401" s="100">
        <f t="shared" ref="V401" si="1074">F401+38</f>
        <v>658.16</v>
      </c>
      <c r="W401" s="295">
        <f t="shared" ref="W401" si="1075">+V401*$X$1</f>
        <v>658.16</v>
      </c>
      <c r="X401" s="129"/>
      <c r="Y401" s="129"/>
      <c r="Z401" s="129"/>
      <c r="AA401" s="129"/>
      <c r="AB401" s="386">
        <v>2283</v>
      </c>
    </row>
    <row r="402" spans="1:29" ht="12.6" customHeight="1" x14ac:dyDescent="0.2">
      <c r="A402" s="18"/>
      <c r="B402" s="705" t="s">
        <v>328</v>
      </c>
      <c r="C402" s="706"/>
      <c r="D402" s="706"/>
      <c r="E402" s="706"/>
      <c r="F402" s="365">
        <f>0.64*X2</f>
        <v>696.32</v>
      </c>
      <c r="G402" s="279">
        <f>+F402*$X$1</f>
        <v>696.32</v>
      </c>
      <c r="H402" s="273"/>
      <c r="I402" s="273"/>
      <c r="J402" s="610"/>
      <c r="K402" s="610"/>
      <c r="L402" s="610">
        <f t="shared" ref="L402:L413" si="1076">F402+160</f>
        <v>856.32</v>
      </c>
      <c r="M402" s="279">
        <f t="shared" ref="M402:M418" si="1077">+L402*$X$1</f>
        <v>856.32</v>
      </c>
      <c r="N402" s="610">
        <f t="shared" ref="N402:N413" si="1078">F402+100</f>
        <v>796.32</v>
      </c>
      <c r="O402" s="279">
        <f t="shared" ref="O402:O413" si="1079">+N402*$X$1</f>
        <v>796.32</v>
      </c>
      <c r="P402" s="610">
        <f t="shared" ref="P402:P413" si="1080">F402+75</f>
        <v>771.32</v>
      </c>
      <c r="Q402" s="279">
        <f t="shared" ref="Q402:Q418" si="1081">+P402*$X$1</f>
        <v>771.32</v>
      </c>
      <c r="R402" s="610">
        <f t="shared" ref="R402:R413" si="1082">F402+65</f>
        <v>761.32</v>
      </c>
      <c r="S402" s="279">
        <f t="shared" ref="S402:S413" si="1083">+R402*$X$1</f>
        <v>761.32</v>
      </c>
      <c r="T402" s="101">
        <f t="shared" ref="T402:T413" si="1084">F402+50</f>
        <v>746.32</v>
      </c>
      <c r="U402" s="252">
        <f t="shared" ref="U402:U418" si="1085">+T402*$X$1</f>
        <v>746.32</v>
      </c>
      <c r="V402" s="101">
        <f t="shared" ref="V402:V413" si="1086">F402+38</f>
        <v>734.32</v>
      </c>
      <c r="W402" s="252">
        <f t="shared" ref="W402:W418" si="1087">+V402*$X$1</f>
        <v>734.32</v>
      </c>
      <c r="X402" s="185"/>
      <c r="Y402" s="184"/>
      <c r="Z402" s="184"/>
      <c r="AA402" s="185"/>
      <c r="AB402" s="386">
        <v>2285</v>
      </c>
      <c r="AC402" s="64"/>
    </row>
    <row r="403" spans="1:29" ht="12.6" customHeight="1" x14ac:dyDescent="0.2">
      <c r="A403" s="18"/>
      <c r="B403" s="667" t="s">
        <v>329</v>
      </c>
      <c r="C403" s="668"/>
      <c r="D403" s="668"/>
      <c r="E403" s="668"/>
      <c r="F403" s="366">
        <f>0.356*X2</f>
        <v>387.32799999999997</v>
      </c>
      <c r="G403" s="280">
        <f>+F403*$X$1</f>
        <v>387.32799999999997</v>
      </c>
      <c r="H403" s="272"/>
      <c r="I403" s="272"/>
      <c r="J403" s="441"/>
      <c r="K403" s="441"/>
      <c r="L403" s="441">
        <f t="shared" si="1076"/>
        <v>547.32799999999997</v>
      </c>
      <c r="M403" s="280">
        <f t="shared" si="1077"/>
        <v>547.32799999999997</v>
      </c>
      <c r="N403" s="441">
        <f t="shared" si="1078"/>
        <v>487.32799999999997</v>
      </c>
      <c r="O403" s="280">
        <f t="shared" si="1079"/>
        <v>487.32799999999997</v>
      </c>
      <c r="P403" s="441">
        <f t="shared" si="1080"/>
        <v>462.32799999999997</v>
      </c>
      <c r="Q403" s="280">
        <f t="shared" si="1081"/>
        <v>462.32799999999997</v>
      </c>
      <c r="R403" s="441">
        <f t="shared" si="1082"/>
        <v>452.32799999999997</v>
      </c>
      <c r="S403" s="280">
        <f t="shared" si="1083"/>
        <v>452.32799999999997</v>
      </c>
      <c r="T403" s="100">
        <f t="shared" si="1084"/>
        <v>437.32799999999997</v>
      </c>
      <c r="U403" s="295">
        <f t="shared" si="1085"/>
        <v>437.32799999999997</v>
      </c>
      <c r="V403" s="100">
        <f t="shared" si="1086"/>
        <v>425.32799999999997</v>
      </c>
      <c r="W403" s="295">
        <f t="shared" si="1087"/>
        <v>425.32799999999997</v>
      </c>
      <c r="X403" s="186"/>
      <c r="Y403" s="187"/>
      <c r="Z403" s="187"/>
      <c r="AA403" s="186"/>
      <c r="AB403" s="386">
        <v>2286</v>
      </c>
      <c r="AC403" s="64"/>
    </row>
    <row r="404" spans="1:29" ht="12.6" customHeight="1" x14ac:dyDescent="0.2">
      <c r="A404" s="18"/>
      <c r="B404" s="640" t="s">
        <v>366</v>
      </c>
      <c r="C404" s="641"/>
      <c r="D404" s="641"/>
      <c r="E404" s="641"/>
      <c r="F404" s="370">
        <f>0.51*X2</f>
        <v>554.88</v>
      </c>
      <c r="G404" s="296">
        <f t="shared" ref="G404:G406" si="1088">+F404*$X$1</f>
        <v>554.88</v>
      </c>
      <c r="H404" s="461"/>
      <c r="I404" s="461"/>
      <c r="J404" s="101"/>
      <c r="K404" s="101"/>
      <c r="L404" s="610">
        <f t="shared" si="1076"/>
        <v>714.88</v>
      </c>
      <c r="M404" s="279">
        <f t="shared" si="1077"/>
        <v>714.88</v>
      </c>
      <c r="N404" s="610">
        <f t="shared" si="1078"/>
        <v>654.88</v>
      </c>
      <c r="O404" s="279">
        <f t="shared" si="1079"/>
        <v>654.88</v>
      </c>
      <c r="P404" s="610">
        <f t="shared" si="1080"/>
        <v>629.88</v>
      </c>
      <c r="Q404" s="279">
        <f t="shared" si="1081"/>
        <v>629.88</v>
      </c>
      <c r="R404" s="610">
        <f t="shared" si="1082"/>
        <v>619.88</v>
      </c>
      <c r="S404" s="279">
        <f t="shared" si="1083"/>
        <v>619.88</v>
      </c>
      <c r="T404" s="101">
        <f t="shared" si="1084"/>
        <v>604.88</v>
      </c>
      <c r="U404" s="252">
        <f t="shared" si="1085"/>
        <v>604.88</v>
      </c>
      <c r="V404" s="101">
        <f t="shared" si="1086"/>
        <v>592.88</v>
      </c>
      <c r="W404" s="252">
        <f t="shared" si="1087"/>
        <v>592.88</v>
      </c>
      <c r="X404" s="217"/>
      <c r="Y404" s="216"/>
      <c r="Z404" s="216"/>
      <c r="AA404" s="217"/>
      <c r="AB404" s="386">
        <v>2287</v>
      </c>
      <c r="AC404" s="64"/>
    </row>
    <row r="405" spans="1:29" ht="12.6" customHeight="1" x14ac:dyDescent="0.2">
      <c r="A405" s="18"/>
      <c r="B405" s="673" t="s">
        <v>375</v>
      </c>
      <c r="C405" s="674"/>
      <c r="D405" s="674"/>
      <c r="E405" s="675"/>
      <c r="F405" s="366">
        <f>1.01*X2</f>
        <v>1098.8800000000001</v>
      </c>
      <c r="G405" s="280">
        <f t="shared" si="1088"/>
        <v>1098.8800000000001</v>
      </c>
      <c r="H405" s="272"/>
      <c r="I405" s="272"/>
      <c r="J405" s="441"/>
      <c r="K405" s="441"/>
      <c r="L405" s="441">
        <f t="shared" si="1076"/>
        <v>1258.8800000000001</v>
      </c>
      <c r="M405" s="280">
        <f t="shared" si="1077"/>
        <v>1258.8800000000001</v>
      </c>
      <c r="N405" s="441">
        <f t="shared" si="1078"/>
        <v>1198.8800000000001</v>
      </c>
      <c r="O405" s="280">
        <f t="shared" si="1079"/>
        <v>1198.8800000000001</v>
      </c>
      <c r="P405" s="441">
        <f t="shared" si="1080"/>
        <v>1173.8800000000001</v>
      </c>
      <c r="Q405" s="280">
        <f t="shared" si="1081"/>
        <v>1173.8800000000001</v>
      </c>
      <c r="R405" s="441">
        <f t="shared" si="1082"/>
        <v>1163.8800000000001</v>
      </c>
      <c r="S405" s="280">
        <f t="shared" si="1083"/>
        <v>1163.8800000000001</v>
      </c>
      <c r="T405" s="100">
        <f t="shared" si="1084"/>
        <v>1148.8800000000001</v>
      </c>
      <c r="U405" s="295">
        <f t="shared" si="1085"/>
        <v>1148.8800000000001</v>
      </c>
      <c r="V405" s="100">
        <f t="shared" si="1086"/>
        <v>1136.8800000000001</v>
      </c>
      <c r="W405" s="295">
        <f t="shared" si="1087"/>
        <v>1136.8800000000001</v>
      </c>
      <c r="X405" s="218"/>
      <c r="Y405" s="219"/>
      <c r="Z405" s="219"/>
      <c r="AA405" s="218"/>
      <c r="AB405" s="386">
        <v>2289</v>
      </c>
      <c r="AC405" s="64"/>
    </row>
    <row r="406" spans="1:29" ht="12.6" customHeight="1" x14ac:dyDescent="0.2">
      <c r="A406" s="18"/>
      <c r="B406" s="718" t="s">
        <v>675</v>
      </c>
      <c r="C406" s="719"/>
      <c r="D406" s="719"/>
      <c r="E406" s="720"/>
      <c r="F406" s="370">
        <f>0.73*X2</f>
        <v>794.24</v>
      </c>
      <c r="G406" s="279">
        <f t="shared" si="1088"/>
        <v>794.24</v>
      </c>
      <c r="H406" s="273"/>
      <c r="I406" s="273"/>
      <c r="J406" s="610"/>
      <c r="K406" s="610"/>
      <c r="L406" s="610">
        <f t="shared" si="1076"/>
        <v>954.24</v>
      </c>
      <c r="M406" s="279">
        <f t="shared" si="1077"/>
        <v>954.24</v>
      </c>
      <c r="N406" s="610">
        <f t="shared" si="1078"/>
        <v>894.24</v>
      </c>
      <c r="O406" s="279">
        <f t="shared" si="1079"/>
        <v>894.24</v>
      </c>
      <c r="P406" s="610">
        <f t="shared" si="1080"/>
        <v>869.24</v>
      </c>
      <c r="Q406" s="279">
        <f t="shared" si="1081"/>
        <v>869.24</v>
      </c>
      <c r="R406" s="610">
        <f t="shared" si="1082"/>
        <v>859.24</v>
      </c>
      <c r="S406" s="279">
        <f t="shared" si="1083"/>
        <v>859.24</v>
      </c>
      <c r="T406" s="101">
        <f t="shared" si="1084"/>
        <v>844.24</v>
      </c>
      <c r="U406" s="252">
        <f t="shared" si="1085"/>
        <v>844.24</v>
      </c>
      <c r="V406" s="101">
        <f t="shared" si="1086"/>
        <v>832.24</v>
      </c>
      <c r="W406" s="252">
        <f t="shared" si="1087"/>
        <v>832.24</v>
      </c>
      <c r="X406" s="423"/>
      <c r="Y406" s="424"/>
      <c r="Z406" s="424"/>
      <c r="AA406" s="423"/>
      <c r="AB406" s="386">
        <v>2290</v>
      </c>
      <c r="AC406" s="64"/>
    </row>
    <row r="407" spans="1:29" ht="12.6" customHeight="1" x14ac:dyDescent="0.2">
      <c r="A407" s="18"/>
      <c r="B407" s="722" t="s">
        <v>466</v>
      </c>
      <c r="C407" s="726"/>
      <c r="D407" s="726"/>
      <c r="E407" s="727"/>
      <c r="F407" s="369">
        <f>0.54*X2</f>
        <v>587.52</v>
      </c>
      <c r="G407" s="280">
        <f t="shared" ref="G407" si="1089">+F407*$X$1</f>
        <v>587.52</v>
      </c>
      <c r="H407" s="272"/>
      <c r="I407" s="272"/>
      <c r="J407" s="441"/>
      <c r="K407" s="441"/>
      <c r="L407" s="441">
        <f t="shared" si="1076"/>
        <v>747.52</v>
      </c>
      <c r="M407" s="280">
        <f t="shared" si="1077"/>
        <v>747.52</v>
      </c>
      <c r="N407" s="441">
        <f t="shared" si="1078"/>
        <v>687.52</v>
      </c>
      <c r="O407" s="280">
        <f t="shared" si="1079"/>
        <v>687.52</v>
      </c>
      <c r="P407" s="441">
        <f t="shared" si="1080"/>
        <v>662.52</v>
      </c>
      <c r="Q407" s="280">
        <f t="shared" si="1081"/>
        <v>662.52</v>
      </c>
      <c r="R407" s="441">
        <f t="shared" si="1082"/>
        <v>652.52</v>
      </c>
      <c r="S407" s="280">
        <f t="shared" si="1083"/>
        <v>652.52</v>
      </c>
      <c r="T407" s="100">
        <f t="shared" si="1084"/>
        <v>637.52</v>
      </c>
      <c r="U407" s="295">
        <f t="shared" si="1085"/>
        <v>637.52</v>
      </c>
      <c r="V407" s="100">
        <f t="shared" si="1086"/>
        <v>625.52</v>
      </c>
      <c r="W407" s="295">
        <f t="shared" si="1087"/>
        <v>625.52</v>
      </c>
      <c r="X407" s="245"/>
      <c r="Y407" s="249"/>
      <c r="Z407" s="249"/>
      <c r="AA407" s="245"/>
      <c r="AB407" s="386">
        <v>2291</v>
      </c>
      <c r="AC407" s="64"/>
    </row>
    <row r="408" spans="1:29" ht="12.6" customHeight="1" x14ac:dyDescent="0.2">
      <c r="A408" s="18"/>
      <c r="B408" s="718" t="s">
        <v>599</v>
      </c>
      <c r="C408" s="719"/>
      <c r="D408" s="719"/>
      <c r="E408" s="720"/>
      <c r="F408" s="370">
        <f>0.36*X2</f>
        <v>391.68</v>
      </c>
      <c r="G408" s="279">
        <f t="shared" ref="G408" si="1090">+F408*$X$1</f>
        <v>391.68</v>
      </c>
      <c r="H408" s="273"/>
      <c r="I408" s="273"/>
      <c r="J408" s="610"/>
      <c r="K408" s="610"/>
      <c r="L408" s="610">
        <f t="shared" si="1076"/>
        <v>551.68000000000006</v>
      </c>
      <c r="M408" s="279">
        <f t="shared" si="1077"/>
        <v>551.68000000000006</v>
      </c>
      <c r="N408" s="610">
        <f t="shared" si="1078"/>
        <v>491.68</v>
      </c>
      <c r="O408" s="279">
        <f t="shared" si="1079"/>
        <v>491.68</v>
      </c>
      <c r="P408" s="610">
        <f t="shared" si="1080"/>
        <v>466.68</v>
      </c>
      <c r="Q408" s="279">
        <f t="shared" si="1081"/>
        <v>466.68</v>
      </c>
      <c r="R408" s="610">
        <f t="shared" si="1082"/>
        <v>456.68</v>
      </c>
      <c r="S408" s="279">
        <f t="shared" si="1083"/>
        <v>456.68</v>
      </c>
      <c r="T408" s="101">
        <f t="shared" si="1084"/>
        <v>441.68</v>
      </c>
      <c r="U408" s="252">
        <f t="shared" si="1085"/>
        <v>441.68</v>
      </c>
      <c r="V408" s="101">
        <f t="shared" si="1086"/>
        <v>429.68</v>
      </c>
      <c r="W408" s="252">
        <f t="shared" si="1087"/>
        <v>429.68</v>
      </c>
      <c r="X408" s="250"/>
      <c r="Y408" s="251"/>
      <c r="Z408" s="251"/>
      <c r="AA408" s="250"/>
      <c r="AB408" s="386">
        <v>2292</v>
      </c>
      <c r="AC408" s="64"/>
    </row>
    <row r="409" spans="1:29" ht="12.6" customHeight="1" x14ac:dyDescent="0.2">
      <c r="A409" s="18"/>
      <c r="B409" s="722" t="s">
        <v>484</v>
      </c>
      <c r="C409" s="726"/>
      <c r="D409" s="726"/>
      <c r="E409" s="727"/>
      <c r="F409" s="369">
        <f>0.89*X2</f>
        <v>968.32</v>
      </c>
      <c r="G409" s="280">
        <f t="shared" ref="G409" si="1091">+F409*$X$1</f>
        <v>968.32</v>
      </c>
      <c r="H409" s="272"/>
      <c r="I409" s="272"/>
      <c r="J409" s="441"/>
      <c r="K409" s="441"/>
      <c r="L409" s="441">
        <f t="shared" si="1076"/>
        <v>1128.3200000000002</v>
      </c>
      <c r="M409" s="280">
        <f t="shared" si="1077"/>
        <v>1128.3200000000002</v>
      </c>
      <c r="N409" s="441">
        <f t="shared" si="1078"/>
        <v>1068.3200000000002</v>
      </c>
      <c r="O409" s="280">
        <f t="shared" si="1079"/>
        <v>1068.3200000000002</v>
      </c>
      <c r="P409" s="441">
        <f t="shared" si="1080"/>
        <v>1043.3200000000002</v>
      </c>
      <c r="Q409" s="280">
        <f t="shared" si="1081"/>
        <v>1043.3200000000002</v>
      </c>
      <c r="R409" s="441">
        <f t="shared" si="1082"/>
        <v>1033.3200000000002</v>
      </c>
      <c r="S409" s="280">
        <f t="shared" si="1083"/>
        <v>1033.3200000000002</v>
      </c>
      <c r="T409" s="100">
        <f t="shared" si="1084"/>
        <v>1018.32</v>
      </c>
      <c r="U409" s="295">
        <f t="shared" si="1085"/>
        <v>1018.32</v>
      </c>
      <c r="V409" s="100">
        <f t="shared" si="1086"/>
        <v>1006.32</v>
      </c>
      <c r="W409" s="295">
        <f t="shared" si="1087"/>
        <v>1006.32</v>
      </c>
      <c r="X409" s="253"/>
      <c r="Y409" s="254"/>
      <c r="Z409" s="254"/>
      <c r="AA409" s="253"/>
      <c r="AB409" s="386">
        <v>2293</v>
      </c>
      <c r="AC409" s="64"/>
    </row>
    <row r="410" spans="1:29" ht="12.6" customHeight="1" x14ac:dyDescent="0.2">
      <c r="A410" s="18"/>
      <c r="B410" s="718" t="s">
        <v>542</v>
      </c>
      <c r="C410" s="719"/>
      <c r="D410" s="719"/>
      <c r="E410" s="720"/>
      <c r="F410" s="491">
        <v>380</v>
      </c>
      <c r="G410" s="279">
        <f t="shared" ref="G410" si="1092">+F410*$X$1</f>
        <v>380</v>
      </c>
      <c r="H410" s="273"/>
      <c r="I410" s="273"/>
      <c r="J410" s="610"/>
      <c r="K410" s="610"/>
      <c r="L410" s="610">
        <f t="shared" si="1076"/>
        <v>540</v>
      </c>
      <c r="M410" s="279">
        <f t="shared" si="1077"/>
        <v>540</v>
      </c>
      <c r="N410" s="610">
        <f t="shared" si="1078"/>
        <v>480</v>
      </c>
      <c r="O410" s="279">
        <f t="shared" si="1079"/>
        <v>480</v>
      </c>
      <c r="P410" s="610">
        <f t="shared" si="1080"/>
        <v>455</v>
      </c>
      <c r="Q410" s="279">
        <f t="shared" si="1081"/>
        <v>455</v>
      </c>
      <c r="R410" s="610">
        <f t="shared" si="1082"/>
        <v>445</v>
      </c>
      <c r="S410" s="279">
        <f t="shared" si="1083"/>
        <v>445</v>
      </c>
      <c r="T410" s="101">
        <f t="shared" si="1084"/>
        <v>430</v>
      </c>
      <c r="U410" s="252">
        <f t="shared" si="1085"/>
        <v>430</v>
      </c>
      <c r="V410" s="101">
        <f t="shared" si="1086"/>
        <v>418</v>
      </c>
      <c r="W410" s="252">
        <f t="shared" si="1087"/>
        <v>418</v>
      </c>
      <c r="X410" s="317"/>
      <c r="Y410" s="318"/>
      <c r="Z410" s="318"/>
      <c r="AA410" s="317"/>
      <c r="AB410" s="386">
        <v>2294</v>
      </c>
      <c r="AC410" s="64"/>
    </row>
    <row r="411" spans="1:29" ht="12.6" customHeight="1" x14ac:dyDescent="0.2">
      <c r="A411" s="18"/>
      <c r="B411" s="722" t="s">
        <v>423</v>
      </c>
      <c r="C411" s="726"/>
      <c r="D411" s="726"/>
      <c r="E411" s="727"/>
      <c r="F411" s="369">
        <f>0.7*X2</f>
        <v>761.59999999999991</v>
      </c>
      <c r="G411" s="280">
        <f t="shared" ref="G411" si="1093">+F411*$X$1</f>
        <v>761.59999999999991</v>
      </c>
      <c r="H411" s="272"/>
      <c r="I411" s="272"/>
      <c r="J411" s="441"/>
      <c r="K411" s="441"/>
      <c r="L411" s="441">
        <f t="shared" si="1076"/>
        <v>921.59999999999991</v>
      </c>
      <c r="M411" s="280">
        <f t="shared" si="1077"/>
        <v>921.59999999999991</v>
      </c>
      <c r="N411" s="441">
        <f t="shared" si="1078"/>
        <v>861.59999999999991</v>
      </c>
      <c r="O411" s="280">
        <f t="shared" si="1079"/>
        <v>861.59999999999991</v>
      </c>
      <c r="P411" s="441">
        <f t="shared" si="1080"/>
        <v>836.59999999999991</v>
      </c>
      <c r="Q411" s="280">
        <f t="shared" si="1081"/>
        <v>836.59999999999991</v>
      </c>
      <c r="R411" s="441">
        <f t="shared" si="1082"/>
        <v>826.59999999999991</v>
      </c>
      <c r="S411" s="280">
        <f t="shared" si="1083"/>
        <v>826.59999999999991</v>
      </c>
      <c r="T411" s="100">
        <f t="shared" si="1084"/>
        <v>811.59999999999991</v>
      </c>
      <c r="U411" s="295">
        <f t="shared" si="1085"/>
        <v>811.59999999999991</v>
      </c>
      <c r="V411" s="100">
        <f t="shared" si="1086"/>
        <v>799.59999999999991</v>
      </c>
      <c r="W411" s="295">
        <f t="shared" si="1087"/>
        <v>799.59999999999991</v>
      </c>
      <c r="X411" s="220"/>
      <c r="Y411" s="221"/>
      <c r="Z411" s="221"/>
      <c r="AA411" s="220"/>
      <c r="AB411" s="386">
        <v>2295</v>
      </c>
      <c r="AC411" s="64"/>
    </row>
    <row r="412" spans="1:29" ht="12.6" customHeight="1" x14ac:dyDescent="0.2">
      <c r="A412" s="18"/>
      <c r="B412" s="756" t="s">
        <v>377</v>
      </c>
      <c r="C412" s="757"/>
      <c r="D412" s="757"/>
      <c r="E412" s="758"/>
      <c r="F412" s="523">
        <f>0.46*X2</f>
        <v>500.48</v>
      </c>
      <c r="G412" s="513">
        <f t="shared" ref="G412" si="1094">+F412*$X$1</f>
        <v>500.48</v>
      </c>
      <c r="H412" s="514"/>
      <c r="I412" s="514"/>
      <c r="J412" s="607"/>
      <c r="K412" s="607"/>
      <c r="L412" s="607">
        <f t="shared" si="1076"/>
        <v>660.48</v>
      </c>
      <c r="M412" s="513">
        <f t="shared" si="1077"/>
        <v>660.48</v>
      </c>
      <c r="N412" s="607">
        <f t="shared" si="1078"/>
        <v>600.48</v>
      </c>
      <c r="O412" s="513">
        <f t="shared" si="1079"/>
        <v>600.48</v>
      </c>
      <c r="P412" s="607">
        <f t="shared" si="1080"/>
        <v>575.48</v>
      </c>
      <c r="Q412" s="513">
        <f t="shared" si="1081"/>
        <v>575.48</v>
      </c>
      <c r="R412" s="607">
        <f t="shared" si="1082"/>
        <v>565.48</v>
      </c>
      <c r="S412" s="513">
        <f t="shared" si="1083"/>
        <v>565.48</v>
      </c>
      <c r="T412" s="631">
        <f t="shared" si="1084"/>
        <v>550.48</v>
      </c>
      <c r="U412" s="630">
        <f t="shared" si="1085"/>
        <v>550.48</v>
      </c>
      <c r="V412" s="631">
        <f t="shared" si="1086"/>
        <v>538.48</v>
      </c>
      <c r="W412" s="630">
        <f t="shared" si="1087"/>
        <v>538.48</v>
      </c>
      <c r="X412" s="220"/>
      <c r="Y412" s="221"/>
      <c r="Z412" s="221"/>
      <c r="AA412" s="220"/>
      <c r="AB412" s="386">
        <v>2296</v>
      </c>
      <c r="AC412" s="64"/>
    </row>
    <row r="413" spans="1:29" ht="12.6" customHeight="1" x14ac:dyDescent="0.2">
      <c r="A413" s="18"/>
      <c r="B413" s="722" t="s">
        <v>524</v>
      </c>
      <c r="C413" s="726"/>
      <c r="D413" s="726"/>
      <c r="E413" s="727"/>
      <c r="F413" s="369">
        <f>0.566*X2</f>
        <v>615.80799999999999</v>
      </c>
      <c r="G413" s="280">
        <f t="shared" ref="G413" si="1095">+F413*$X$1</f>
        <v>615.80799999999999</v>
      </c>
      <c r="H413" s="272"/>
      <c r="I413" s="272"/>
      <c r="J413" s="441"/>
      <c r="K413" s="280"/>
      <c r="L413" s="441">
        <f t="shared" si="1076"/>
        <v>775.80799999999999</v>
      </c>
      <c r="M413" s="280">
        <f t="shared" si="1077"/>
        <v>775.80799999999999</v>
      </c>
      <c r="N413" s="441">
        <f t="shared" si="1078"/>
        <v>715.80799999999999</v>
      </c>
      <c r="O413" s="280">
        <f t="shared" si="1079"/>
        <v>715.80799999999999</v>
      </c>
      <c r="P413" s="441">
        <f t="shared" si="1080"/>
        <v>690.80799999999999</v>
      </c>
      <c r="Q413" s="280">
        <f t="shared" si="1081"/>
        <v>690.80799999999999</v>
      </c>
      <c r="R413" s="441">
        <f t="shared" si="1082"/>
        <v>680.80799999999999</v>
      </c>
      <c r="S413" s="280">
        <f t="shared" si="1083"/>
        <v>680.80799999999999</v>
      </c>
      <c r="T413" s="100">
        <f t="shared" si="1084"/>
        <v>665.80799999999999</v>
      </c>
      <c r="U413" s="295">
        <f t="shared" si="1085"/>
        <v>665.80799999999999</v>
      </c>
      <c r="V413" s="100">
        <f t="shared" si="1086"/>
        <v>653.80799999999999</v>
      </c>
      <c r="W413" s="295">
        <f t="shared" si="1087"/>
        <v>653.80799999999999</v>
      </c>
      <c r="X413" s="303"/>
      <c r="Y413" s="304"/>
      <c r="Z413" s="304"/>
      <c r="AA413" s="303"/>
      <c r="AB413" s="386">
        <v>2299</v>
      </c>
      <c r="AC413" s="64"/>
    </row>
    <row r="414" spans="1:29" ht="12.6" customHeight="1" x14ac:dyDescent="0.2">
      <c r="A414" s="18"/>
      <c r="B414" s="664" t="s">
        <v>871</v>
      </c>
      <c r="C414" s="680"/>
      <c r="D414" s="680"/>
      <c r="E414" s="681"/>
      <c r="F414" s="365">
        <f>1.863*X2</f>
        <v>2026.944</v>
      </c>
      <c r="G414" s="279">
        <f>+F414*$X$1</f>
        <v>2026.944</v>
      </c>
      <c r="H414" s="610">
        <f t="shared" ref="H414:H417" si="1096">F414+600</f>
        <v>2626.944</v>
      </c>
      <c r="I414" s="279">
        <f t="shared" ref="I414:I418" si="1097">+H414*$X$1</f>
        <v>2626.944</v>
      </c>
      <c r="J414" s="610">
        <f t="shared" ref="J414:J417" si="1098">F414+200</f>
        <v>2226.944</v>
      </c>
      <c r="K414" s="279">
        <f t="shared" ref="K414:K418" si="1099">+J414*$X$1</f>
        <v>2226.944</v>
      </c>
      <c r="L414" s="610">
        <f>F414+150</f>
        <v>2176.944</v>
      </c>
      <c r="M414" s="279">
        <f t="shared" si="1077"/>
        <v>2176.944</v>
      </c>
      <c r="N414" s="610">
        <f>F414+110</f>
        <v>2136.944</v>
      </c>
      <c r="O414" s="279">
        <f>+N414*$X$1</f>
        <v>2136.944</v>
      </c>
      <c r="P414" s="610">
        <f>F414+90</f>
        <v>2116.944</v>
      </c>
      <c r="Q414" s="279">
        <f t="shared" si="1081"/>
        <v>2116.944</v>
      </c>
      <c r="R414" s="610">
        <f>F414+70</f>
        <v>2096.944</v>
      </c>
      <c r="S414" s="279">
        <f>+R414*$X$1</f>
        <v>2096.944</v>
      </c>
      <c r="T414" s="610">
        <f>F414+56</f>
        <v>2082.944</v>
      </c>
      <c r="U414" s="279">
        <f t="shared" si="1085"/>
        <v>2082.944</v>
      </c>
      <c r="V414" s="610">
        <f>F414+49</f>
        <v>2075.944</v>
      </c>
      <c r="W414" s="279">
        <f t="shared" si="1087"/>
        <v>2075.944</v>
      </c>
      <c r="X414" s="657"/>
      <c r="Y414" s="679"/>
      <c r="Z414" s="679"/>
      <c r="AA414" s="658"/>
      <c r="AB414" s="386">
        <v>2310</v>
      </c>
      <c r="AC414" s="64"/>
    </row>
    <row r="415" spans="1:29" ht="12.6" customHeight="1" x14ac:dyDescent="0.2">
      <c r="A415" s="18"/>
      <c r="B415" s="667" t="s">
        <v>413</v>
      </c>
      <c r="C415" s="682"/>
      <c r="D415" s="682"/>
      <c r="E415" s="682"/>
      <c r="F415" s="366">
        <f>1.33*X2</f>
        <v>1447.04</v>
      </c>
      <c r="G415" s="280">
        <f>+F415*$X$1</f>
        <v>1447.04</v>
      </c>
      <c r="H415" s="441">
        <f t="shared" si="1096"/>
        <v>2047.04</v>
      </c>
      <c r="I415" s="280">
        <f t="shared" si="1097"/>
        <v>2047.04</v>
      </c>
      <c r="J415" s="441">
        <f t="shared" si="1098"/>
        <v>1647.04</v>
      </c>
      <c r="K415" s="280">
        <f t="shared" si="1099"/>
        <v>1647.04</v>
      </c>
      <c r="L415" s="441">
        <f>F415+150</f>
        <v>1597.04</v>
      </c>
      <c r="M415" s="280">
        <f t="shared" si="1077"/>
        <v>1597.04</v>
      </c>
      <c r="N415" s="441">
        <f>F415+110</f>
        <v>1557.04</v>
      </c>
      <c r="O415" s="280">
        <f>+N415*$X$1</f>
        <v>1557.04</v>
      </c>
      <c r="P415" s="441">
        <f>F415+90</f>
        <v>1537.04</v>
      </c>
      <c r="Q415" s="280">
        <f t="shared" si="1081"/>
        <v>1537.04</v>
      </c>
      <c r="R415" s="441">
        <f>F415+70</f>
        <v>1517.04</v>
      </c>
      <c r="S415" s="280">
        <f>+R415*$X$1</f>
        <v>1517.04</v>
      </c>
      <c r="T415" s="441">
        <f>F415+56</f>
        <v>1503.04</v>
      </c>
      <c r="U415" s="280">
        <f t="shared" si="1085"/>
        <v>1503.04</v>
      </c>
      <c r="V415" s="441">
        <f>F415+49</f>
        <v>1496.04</v>
      </c>
      <c r="W415" s="280">
        <f t="shared" si="1087"/>
        <v>1496.04</v>
      </c>
      <c r="X415" s="657"/>
      <c r="Y415" s="679"/>
      <c r="Z415" s="679"/>
      <c r="AA415" s="658"/>
      <c r="AB415" s="386">
        <v>2322</v>
      </c>
      <c r="AC415" s="64"/>
    </row>
    <row r="416" spans="1:29" ht="12.6" customHeight="1" x14ac:dyDescent="0.2">
      <c r="A416" s="18"/>
      <c r="B416" s="642" t="s">
        <v>908</v>
      </c>
      <c r="C416" s="968"/>
      <c r="D416" s="968"/>
      <c r="E416" s="968"/>
      <c r="F416" s="365">
        <f>1.33*X2</f>
        <v>1447.04</v>
      </c>
      <c r="G416" s="279">
        <f>+F416*$X$1</f>
        <v>1447.04</v>
      </c>
      <c r="H416" s="610">
        <f t="shared" si="1096"/>
        <v>2047.04</v>
      </c>
      <c r="I416" s="279">
        <f t="shared" si="1097"/>
        <v>2047.04</v>
      </c>
      <c r="J416" s="610">
        <f t="shared" si="1098"/>
        <v>1647.04</v>
      </c>
      <c r="K416" s="279">
        <f t="shared" si="1099"/>
        <v>1647.04</v>
      </c>
      <c r="L416" s="610">
        <f>F416+150</f>
        <v>1597.04</v>
      </c>
      <c r="M416" s="279">
        <f t="shared" si="1077"/>
        <v>1597.04</v>
      </c>
      <c r="N416" s="610">
        <f>F416+110</f>
        <v>1557.04</v>
      </c>
      <c r="O416" s="279">
        <f>+N416*$X$1</f>
        <v>1557.04</v>
      </c>
      <c r="P416" s="610">
        <f>F416+90</f>
        <v>1537.04</v>
      </c>
      <c r="Q416" s="279">
        <f t="shared" si="1081"/>
        <v>1537.04</v>
      </c>
      <c r="R416" s="610">
        <f>F416+70</f>
        <v>1517.04</v>
      </c>
      <c r="S416" s="279">
        <f>+R416*$X$1</f>
        <v>1517.04</v>
      </c>
      <c r="T416" s="610">
        <f>F416+56</f>
        <v>1503.04</v>
      </c>
      <c r="U416" s="279">
        <f t="shared" si="1085"/>
        <v>1503.04</v>
      </c>
      <c r="V416" s="610">
        <f>F416+49</f>
        <v>1496.04</v>
      </c>
      <c r="W416" s="279">
        <f t="shared" si="1087"/>
        <v>1496.04</v>
      </c>
      <c r="X416" s="657"/>
      <c r="Y416" s="679"/>
      <c r="Z416" s="679"/>
      <c r="AA416" s="658"/>
      <c r="AB416" s="386" t="s">
        <v>930</v>
      </c>
      <c r="AC416" s="64"/>
    </row>
    <row r="417" spans="1:29" ht="12.6" customHeight="1" x14ac:dyDescent="0.2">
      <c r="A417" s="18"/>
      <c r="B417" s="667" t="s">
        <v>824</v>
      </c>
      <c r="C417" s="682"/>
      <c r="D417" s="682"/>
      <c r="E417" s="682"/>
      <c r="F417" s="366">
        <f>1.71*X2</f>
        <v>1860.48</v>
      </c>
      <c r="G417" s="280">
        <f>+F417*$X$1</f>
        <v>1860.48</v>
      </c>
      <c r="H417" s="441">
        <f t="shared" si="1096"/>
        <v>2460.48</v>
      </c>
      <c r="I417" s="280">
        <f t="shared" si="1097"/>
        <v>2460.48</v>
      </c>
      <c r="J417" s="441">
        <f t="shared" si="1098"/>
        <v>2060.48</v>
      </c>
      <c r="K417" s="280">
        <f t="shared" si="1099"/>
        <v>2060.48</v>
      </c>
      <c r="L417" s="441">
        <f>F417+150</f>
        <v>2010.48</v>
      </c>
      <c r="M417" s="280">
        <f t="shared" si="1077"/>
        <v>2010.48</v>
      </c>
      <c r="N417" s="441">
        <f>F417+110</f>
        <v>1970.48</v>
      </c>
      <c r="O417" s="280">
        <f>+N417*$X$1</f>
        <v>1970.48</v>
      </c>
      <c r="P417" s="441">
        <f>F417+90</f>
        <v>1950.48</v>
      </c>
      <c r="Q417" s="280">
        <f t="shared" si="1081"/>
        <v>1950.48</v>
      </c>
      <c r="R417" s="441">
        <f>F417+70</f>
        <v>1930.48</v>
      </c>
      <c r="S417" s="280">
        <f>+R417*$X$1</f>
        <v>1930.48</v>
      </c>
      <c r="T417" s="441">
        <f>F417+56</f>
        <v>1916.48</v>
      </c>
      <c r="U417" s="280">
        <f t="shared" si="1085"/>
        <v>1916.48</v>
      </c>
      <c r="V417" s="441">
        <f>F417+49</f>
        <v>1909.48</v>
      </c>
      <c r="W417" s="280">
        <f t="shared" si="1087"/>
        <v>1909.48</v>
      </c>
      <c r="X417" s="657"/>
      <c r="Y417" s="679"/>
      <c r="Z417" s="679"/>
      <c r="AA417" s="658"/>
      <c r="AB417" s="386">
        <v>2327</v>
      </c>
      <c r="AC417" s="64"/>
    </row>
    <row r="418" spans="1:29" ht="12.6" customHeight="1" x14ac:dyDescent="0.2">
      <c r="A418" s="18"/>
      <c r="B418" s="664" t="s">
        <v>247</v>
      </c>
      <c r="C418" s="665"/>
      <c r="D418" s="665"/>
      <c r="E418" s="666"/>
      <c r="F418" s="365">
        <f>3.407*X2</f>
        <v>3706.8159999999998</v>
      </c>
      <c r="G418" s="279">
        <f>+F418*$X$1</f>
        <v>3706.8159999999998</v>
      </c>
      <c r="H418" s="610">
        <f>F418+650</f>
        <v>4356.8159999999998</v>
      </c>
      <c r="I418" s="279">
        <f t="shared" si="1097"/>
        <v>4356.8159999999998</v>
      </c>
      <c r="J418" s="610">
        <f>F418+230</f>
        <v>3936.8159999999998</v>
      </c>
      <c r="K418" s="279">
        <f t="shared" si="1099"/>
        <v>3936.8159999999998</v>
      </c>
      <c r="L418" s="610">
        <f>F418+190</f>
        <v>3896.8159999999998</v>
      </c>
      <c r="M418" s="279">
        <f t="shared" si="1077"/>
        <v>3896.8159999999998</v>
      </c>
      <c r="N418" s="610">
        <f>F418+150</f>
        <v>3856.8159999999998</v>
      </c>
      <c r="O418" s="279">
        <f t="shared" ref="O418" si="1100">+N418*$X$1</f>
        <v>3856.8159999999998</v>
      </c>
      <c r="P418" s="610">
        <f>F418+130</f>
        <v>3836.8159999999998</v>
      </c>
      <c r="Q418" s="279">
        <f t="shared" si="1081"/>
        <v>3836.8159999999998</v>
      </c>
      <c r="R418" s="610">
        <f>F418+110</f>
        <v>3816.8159999999998</v>
      </c>
      <c r="S418" s="279">
        <f t="shared" ref="S418" si="1101">+R418*$X$1</f>
        <v>3816.8159999999998</v>
      </c>
      <c r="T418" s="610">
        <f>F418+90</f>
        <v>3796.8159999999998</v>
      </c>
      <c r="U418" s="279">
        <f t="shared" si="1085"/>
        <v>3796.8159999999998</v>
      </c>
      <c r="V418" s="610">
        <f>F418+70</f>
        <v>3776.8159999999998</v>
      </c>
      <c r="W418" s="279">
        <f t="shared" si="1087"/>
        <v>3776.8159999999998</v>
      </c>
      <c r="X418" s="657"/>
      <c r="Y418" s="679"/>
      <c r="Z418" s="679"/>
      <c r="AA418" s="658"/>
      <c r="AB418" s="386">
        <v>2330</v>
      </c>
      <c r="AC418" s="64"/>
    </row>
    <row r="419" spans="1:29" ht="12.6" customHeight="1" x14ac:dyDescent="0.2">
      <c r="A419" s="102"/>
      <c r="B419" s="676" t="s">
        <v>896</v>
      </c>
      <c r="C419" s="677"/>
      <c r="D419" s="677"/>
      <c r="E419" s="678"/>
      <c r="F419" s="366">
        <f>1.3*X2</f>
        <v>1414.4</v>
      </c>
      <c r="G419" s="280">
        <f t="shared" ref="G419" si="1102">+F419*$X$1</f>
        <v>1414.4</v>
      </c>
      <c r="H419" s="441">
        <f>F419+650</f>
        <v>2064.4</v>
      </c>
      <c r="I419" s="280">
        <f t="shared" ref="I419" si="1103">+H419*$X$1</f>
        <v>2064.4</v>
      </c>
      <c r="J419" s="441">
        <f>F419+230</f>
        <v>1644.4</v>
      </c>
      <c r="K419" s="280">
        <f t="shared" ref="K419" si="1104">+J419*$X$1</f>
        <v>1644.4</v>
      </c>
      <c r="L419" s="441">
        <f>F419+190</f>
        <v>1604.4</v>
      </c>
      <c r="M419" s="280">
        <f t="shared" ref="M419" si="1105">+L419*$X$1</f>
        <v>1604.4</v>
      </c>
      <c r="N419" s="441">
        <f>F419+150</f>
        <v>1564.4</v>
      </c>
      <c r="O419" s="280">
        <f t="shared" ref="O419" si="1106">+N419*$X$1</f>
        <v>1564.4</v>
      </c>
      <c r="P419" s="441">
        <f>F419+130</f>
        <v>1544.4</v>
      </c>
      <c r="Q419" s="280">
        <f t="shared" ref="Q419" si="1107">+P419*$X$1</f>
        <v>1544.4</v>
      </c>
      <c r="R419" s="441">
        <f>F419+110</f>
        <v>1524.4</v>
      </c>
      <c r="S419" s="280">
        <f t="shared" ref="S419" si="1108">+R419*$X$1</f>
        <v>1524.4</v>
      </c>
      <c r="T419" s="441">
        <f>F419+90</f>
        <v>1504.4</v>
      </c>
      <c r="U419" s="280">
        <f t="shared" ref="U419" si="1109">+T419*$X$1</f>
        <v>1504.4</v>
      </c>
      <c r="V419" s="441">
        <f>F419+70</f>
        <v>1484.4</v>
      </c>
      <c r="W419" s="280">
        <f t="shared" ref="W419" si="1110">+V419*$X$1</f>
        <v>1484.4</v>
      </c>
      <c r="X419" s="657"/>
      <c r="Y419" s="679"/>
      <c r="Z419" s="679"/>
      <c r="AA419" s="658"/>
      <c r="AB419" s="386">
        <v>2331</v>
      </c>
      <c r="AC419" s="64"/>
    </row>
    <row r="420" spans="1:29" ht="12.6" customHeight="1" x14ac:dyDescent="0.2">
      <c r="A420" s="102"/>
      <c r="B420" s="676" t="s">
        <v>890</v>
      </c>
      <c r="C420" s="677"/>
      <c r="D420" s="677"/>
      <c r="E420" s="678"/>
      <c r="F420" s="561">
        <f>5.4*X2</f>
        <v>5875.2000000000007</v>
      </c>
      <c r="G420" s="279">
        <f t="shared" ref="G420" si="1111">+F420*$X$1</f>
        <v>5875.2000000000007</v>
      </c>
      <c r="H420" s="610">
        <f>F420+800</f>
        <v>6675.2000000000007</v>
      </c>
      <c r="I420" s="279">
        <f t="shared" ref="I420:I422" si="1112">+H420*$X$1</f>
        <v>6675.2000000000007</v>
      </c>
      <c r="J420" s="610">
        <f>F420+350</f>
        <v>6225.2000000000007</v>
      </c>
      <c r="K420" s="279">
        <f t="shared" ref="K420:K422" si="1113">+J420*$X$1</f>
        <v>6225.2000000000007</v>
      </c>
      <c r="L420" s="610">
        <f>F420+290</f>
        <v>6165.2000000000007</v>
      </c>
      <c r="M420" s="279">
        <f t="shared" ref="M420:M422" si="1114">+L420*$X$1</f>
        <v>6165.2000000000007</v>
      </c>
      <c r="N420" s="610">
        <f>F420+230</f>
        <v>6105.2000000000007</v>
      </c>
      <c r="O420" s="279">
        <f t="shared" ref="O420:O422" si="1115">+N420*$X$1</f>
        <v>6105.2000000000007</v>
      </c>
      <c r="P420" s="610">
        <f>F420+200</f>
        <v>6075.2000000000007</v>
      </c>
      <c r="Q420" s="279">
        <f t="shared" ref="Q420:Q422" si="1116">+P420*$X$1</f>
        <v>6075.2000000000007</v>
      </c>
      <c r="R420" s="610">
        <f>F420+170</f>
        <v>6045.2000000000007</v>
      </c>
      <c r="S420" s="279">
        <f t="shared" ref="S420:S422" si="1117">+R420*$X$1</f>
        <v>6045.2000000000007</v>
      </c>
      <c r="T420" s="610">
        <f>F420+140</f>
        <v>6015.2000000000007</v>
      </c>
      <c r="U420" s="279">
        <f t="shared" ref="U420:U422" si="1118">+T420*$X$1</f>
        <v>6015.2000000000007</v>
      </c>
      <c r="V420" s="610">
        <f>F420+105</f>
        <v>5980.2000000000007</v>
      </c>
      <c r="W420" s="279">
        <f t="shared" ref="W420:W422" si="1119">+V420*$X$1</f>
        <v>5980.2000000000007</v>
      </c>
      <c r="X420" s="657"/>
      <c r="Y420" s="679"/>
      <c r="Z420" s="679"/>
      <c r="AA420" s="658"/>
      <c r="AB420" s="386">
        <v>2332</v>
      </c>
      <c r="AC420" s="64"/>
    </row>
    <row r="421" spans="1:29" ht="12.6" customHeight="1" x14ac:dyDescent="0.2">
      <c r="A421" s="102"/>
      <c r="B421" s="661" t="s">
        <v>378</v>
      </c>
      <c r="C421" s="694"/>
      <c r="D421" s="694"/>
      <c r="E421" s="695"/>
      <c r="F421" s="366">
        <f>1.2*X2</f>
        <v>1305.5999999999999</v>
      </c>
      <c r="G421" s="280">
        <f t="shared" ref="G421" si="1120">+F421*$X$1</f>
        <v>1305.5999999999999</v>
      </c>
      <c r="H421" s="441">
        <f>F421+650</f>
        <v>1955.6</v>
      </c>
      <c r="I421" s="280">
        <f t="shared" si="1112"/>
        <v>1955.6</v>
      </c>
      <c r="J421" s="441">
        <f>F421+230</f>
        <v>1535.6</v>
      </c>
      <c r="K421" s="280">
        <f t="shared" si="1113"/>
        <v>1535.6</v>
      </c>
      <c r="L421" s="441">
        <f>F421+190</f>
        <v>1495.6</v>
      </c>
      <c r="M421" s="280">
        <f t="shared" si="1114"/>
        <v>1495.6</v>
      </c>
      <c r="N421" s="441">
        <f>F421+150</f>
        <v>1455.6</v>
      </c>
      <c r="O421" s="280">
        <f t="shared" si="1115"/>
        <v>1455.6</v>
      </c>
      <c r="P421" s="441">
        <f>F421+130</f>
        <v>1435.6</v>
      </c>
      <c r="Q421" s="280">
        <f t="shared" si="1116"/>
        <v>1435.6</v>
      </c>
      <c r="R421" s="441">
        <f>F421+110</f>
        <v>1415.6</v>
      </c>
      <c r="S421" s="280">
        <f t="shared" si="1117"/>
        <v>1415.6</v>
      </c>
      <c r="T421" s="441">
        <f>F421+90</f>
        <v>1395.6</v>
      </c>
      <c r="U421" s="280">
        <f t="shared" si="1118"/>
        <v>1395.6</v>
      </c>
      <c r="V421" s="441">
        <f>F421+70</f>
        <v>1375.6</v>
      </c>
      <c r="W421" s="280">
        <f t="shared" si="1119"/>
        <v>1375.6</v>
      </c>
      <c r="X421" s="657"/>
      <c r="Y421" s="679"/>
      <c r="Z421" s="679"/>
      <c r="AA421" s="658"/>
      <c r="AB421" s="386">
        <v>2334</v>
      </c>
      <c r="AC421" s="64"/>
    </row>
    <row r="422" spans="1:29" ht="12.6" customHeight="1" x14ac:dyDescent="0.2">
      <c r="A422" s="102"/>
      <c r="B422" s="808" t="s">
        <v>248</v>
      </c>
      <c r="C422" s="809"/>
      <c r="D422" s="809"/>
      <c r="E422" s="810"/>
      <c r="F422" s="370">
        <f>1.4*X2</f>
        <v>1523.1999999999998</v>
      </c>
      <c r="G422" s="296">
        <f t="shared" ref="G422" si="1121">+F422*$X$1</f>
        <v>1523.1999999999998</v>
      </c>
      <c r="H422" s="610">
        <f>F422+650</f>
        <v>2173.1999999999998</v>
      </c>
      <c r="I422" s="279">
        <f t="shared" si="1112"/>
        <v>2173.1999999999998</v>
      </c>
      <c r="J422" s="610">
        <f>F422+230</f>
        <v>1753.1999999999998</v>
      </c>
      <c r="K422" s="279">
        <f t="shared" si="1113"/>
        <v>1753.1999999999998</v>
      </c>
      <c r="L422" s="610">
        <f>F422+190</f>
        <v>1713.1999999999998</v>
      </c>
      <c r="M422" s="279">
        <f t="shared" si="1114"/>
        <v>1713.1999999999998</v>
      </c>
      <c r="N422" s="610">
        <f>F422+150</f>
        <v>1673.1999999999998</v>
      </c>
      <c r="O422" s="279">
        <f t="shared" si="1115"/>
        <v>1673.1999999999998</v>
      </c>
      <c r="P422" s="610">
        <f>F422+130</f>
        <v>1653.1999999999998</v>
      </c>
      <c r="Q422" s="279">
        <f t="shared" si="1116"/>
        <v>1653.1999999999998</v>
      </c>
      <c r="R422" s="610">
        <f>F422+110</f>
        <v>1633.1999999999998</v>
      </c>
      <c r="S422" s="279">
        <f t="shared" si="1117"/>
        <v>1633.1999999999998</v>
      </c>
      <c r="T422" s="610">
        <f>F422+90</f>
        <v>1613.1999999999998</v>
      </c>
      <c r="U422" s="279">
        <f t="shared" si="1118"/>
        <v>1613.1999999999998</v>
      </c>
      <c r="V422" s="610">
        <f>F422+70</f>
        <v>1593.1999999999998</v>
      </c>
      <c r="W422" s="279">
        <f t="shared" si="1119"/>
        <v>1593.1999999999998</v>
      </c>
      <c r="X422" s="657"/>
      <c r="Y422" s="679"/>
      <c r="Z422" s="679"/>
      <c r="AA422" s="658"/>
      <c r="AB422" s="400">
        <v>2336</v>
      </c>
      <c r="AC422" s="64"/>
    </row>
    <row r="423" spans="1:29" ht="12.6" customHeight="1" x14ac:dyDescent="0.2">
      <c r="A423" s="18"/>
      <c r="B423" s="661" t="s">
        <v>249</v>
      </c>
      <c r="C423" s="694"/>
      <c r="D423" s="694"/>
      <c r="E423" s="695"/>
      <c r="F423" s="366">
        <f>1.36*X2</f>
        <v>1479.68</v>
      </c>
      <c r="G423" s="280">
        <f>+F423*$X$1</f>
        <v>1479.68</v>
      </c>
      <c r="H423" s="441">
        <f t="shared" ref="H423" si="1122">F423+600</f>
        <v>2079.6800000000003</v>
      </c>
      <c r="I423" s="280">
        <f t="shared" ref="I423" si="1123">+H423*$X$1</f>
        <v>2079.6800000000003</v>
      </c>
      <c r="J423" s="441">
        <f t="shared" ref="J423" si="1124">F423+200</f>
        <v>1679.68</v>
      </c>
      <c r="K423" s="280">
        <f t="shared" ref="K423" si="1125">+J423*$X$1</f>
        <v>1679.68</v>
      </c>
      <c r="L423" s="441">
        <f>F423+150</f>
        <v>1629.68</v>
      </c>
      <c r="M423" s="280">
        <f t="shared" ref="M423" si="1126">+L423*$X$1</f>
        <v>1629.68</v>
      </c>
      <c r="N423" s="441">
        <f>F423+110</f>
        <v>1589.68</v>
      </c>
      <c r="O423" s="280">
        <f t="shared" ref="O423:O437" si="1127">+N423*$X$1</f>
        <v>1589.68</v>
      </c>
      <c r="P423" s="441">
        <f>F423+90</f>
        <v>1569.68</v>
      </c>
      <c r="Q423" s="280">
        <f t="shared" ref="Q423" si="1128">+P423*$X$1</f>
        <v>1569.68</v>
      </c>
      <c r="R423" s="441">
        <f>F423+70</f>
        <v>1549.68</v>
      </c>
      <c r="S423" s="280">
        <f t="shared" ref="S423:S437" si="1129">+R423*$X$1</f>
        <v>1549.68</v>
      </c>
      <c r="T423" s="441">
        <f>F423+56</f>
        <v>1535.68</v>
      </c>
      <c r="U423" s="280">
        <f t="shared" ref="U423" si="1130">+T423*$X$1</f>
        <v>1535.68</v>
      </c>
      <c r="V423" s="441">
        <f>F423+49</f>
        <v>1528.68</v>
      </c>
      <c r="W423" s="280">
        <f t="shared" ref="W423" si="1131">+V423*$X$1</f>
        <v>1528.68</v>
      </c>
      <c r="X423" s="657"/>
      <c r="Y423" s="679"/>
      <c r="Z423" s="679"/>
      <c r="AA423" s="658"/>
      <c r="AB423" s="386">
        <v>2337</v>
      </c>
      <c r="AC423" s="64"/>
    </row>
    <row r="424" spans="1:29" ht="12.6" customHeight="1" x14ac:dyDescent="0.2">
      <c r="A424" s="18"/>
      <c r="B424" s="892" t="s">
        <v>250</v>
      </c>
      <c r="C424" s="893"/>
      <c r="D424" s="893"/>
      <c r="E424" s="894"/>
      <c r="F424" s="561">
        <f>1.84*X2</f>
        <v>2001.92</v>
      </c>
      <c r="G424" s="562">
        <f t="shared" ref="G424" si="1132">+F424*$X$1</f>
        <v>2001.92</v>
      </c>
      <c r="H424" s="610">
        <f t="shared" ref="H424:H425" si="1133">F424+600</f>
        <v>2601.92</v>
      </c>
      <c r="I424" s="279">
        <f t="shared" ref="I424:I425" si="1134">+H424*$X$1</f>
        <v>2601.92</v>
      </c>
      <c r="J424" s="610">
        <f t="shared" ref="J424:J425" si="1135">F424+200</f>
        <v>2201.92</v>
      </c>
      <c r="K424" s="279">
        <f t="shared" ref="K424:K425" si="1136">+J424*$X$1</f>
        <v>2201.92</v>
      </c>
      <c r="L424" s="610">
        <f>F424+150</f>
        <v>2151.92</v>
      </c>
      <c r="M424" s="279">
        <f t="shared" ref="M424:M425" si="1137">+L424*$X$1</f>
        <v>2151.92</v>
      </c>
      <c r="N424" s="610">
        <f>F424+110</f>
        <v>2111.92</v>
      </c>
      <c r="O424" s="279">
        <f t="shared" si="1127"/>
        <v>2111.92</v>
      </c>
      <c r="P424" s="610">
        <f>F424+90</f>
        <v>2091.92</v>
      </c>
      <c r="Q424" s="279">
        <f t="shared" ref="Q424:Q425" si="1138">+P424*$X$1</f>
        <v>2091.92</v>
      </c>
      <c r="R424" s="610">
        <f>F424+70</f>
        <v>2071.92</v>
      </c>
      <c r="S424" s="279">
        <f t="shared" si="1129"/>
        <v>2071.92</v>
      </c>
      <c r="T424" s="610">
        <f>F424+56</f>
        <v>2057.92</v>
      </c>
      <c r="U424" s="279">
        <f t="shared" ref="U424:U425" si="1139">+T424*$X$1</f>
        <v>2057.92</v>
      </c>
      <c r="V424" s="610">
        <f>F424+49</f>
        <v>2050.92</v>
      </c>
      <c r="W424" s="279">
        <f t="shared" ref="W424:W425" si="1140">+V424*$X$1</f>
        <v>2050.92</v>
      </c>
      <c r="X424" s="657"/>
      <c r="Y424" s="679"/>
      <c r="Z424" s="679"/>
      <c r="AA424" s="658"/>
      <c r="AB424" s="386">
        <v>2338</v>
      </c>
      <c r="AC424" s="64"/>
    </row>
    <row r="425" spans="1:29" ht="12.6" customHeight="1" x14ac:dyDescent="0.2">
      <c r="A425" s="18"/>
      <c r="B425" s="661" t="s">
        <v>317</v>
      </c>
      <c r="C425" s="694"/>
      <c r="D425" s="694"/>
      <c r="E425" s="695"/>
      <c r="F425" s="563">
        <f>1.3*X2</f>
        <v>1414.4</v>
      </c>
      <c r="G425" s="280">
        <f>+F425*$X$1</f>
        <v>1414.4</v>
      </c>
      <c r="H425" s="441">
        <f t="shared" si="1133"/>
        <v>2014.4</v>
      </c>
      <c r="I425" s="280">
        <f t="shared" si="1134"/>
        <v>2014.4</v>
      </c>
      <c r="J425" s="441">
        <f t="shared" si="1135"/>
        <v>1614.4</v>
      </c>
      <c r="K425" s="280">
        <f t="shared" si="1136"/>
        <v>1614.4</v>
      </c>
      <c r="L425" s="441">
        <f>F425+150</f>
        <v>1564.4</v>
      </c>
      <c r="M425" s="280">
        <f t="shared" si="1137"/>
        <v>1564.4</v>
      </c>
      <c r="N425" s="441">
        <f>F425+110</f>
        <v>1524.4</v>
      </c>
      <c r="O425" s="280">
        <f t="shared" si="1127"/>
        <v>1524.4</v>
      </c>
      <c r="P425" s="441">
        <f>F425+90</f>
        <v>1504.4</v>
      </c>
      <c r="Q425" s="280">
        <f t="shared" si="1138"/>
        <v>1504.4</v>
      </c>
      <c r="R425" s="441">
        <f>F425+70</f>
        <v>1484.4</v>
      </c>
      <c r="S425" s="280">
        <f t="shared" si="1129"/>
        <v>1484.4</v>
      </c>
      <c r="T425" s="441">
        <f>F425+56</f>
        <v>1470.4</v>
      </c>
      <c r="U425" s="280">
        <f t="shared" si="1139"/>
        <v>1470.4</v>
      </c>
      <c r="V425" s="441">
        <f>F425+49</f>
        <v>1463.4</v>
      </c>
      <c r="W425" s="280">
        <f t="shared" si="1140"/>
        <v>1463.4</v>
      </c>
      <c r="X425" s="171"/>
      <c r="Y425" s="174"/>
      <c r="Z425" s="174"/>
      <c r="AA425" s="173"/>
      <c r="AB425" s="386">
        <v>2340</v>
      </c>
      <c r="AC425" s="64"/>
    </row>
    <row r="426" spans="1:29" ht="12.6" customHeight="1" x14ac:dyDescent="0.2">
      <c r="A426" s="18"/>
      <c r="B426" s="664" t="s">
        <v>918</v>
      </c>
      <c r="C426" s="680"/>
      <c r="D426" s="680"/>
      <c r="E426" s="681"/>
      <c r="F426" s="561">
        <f>6.96*X2</f>
        <v>7572.48</v>
      </c>
      <c r="G426" s="279">
        <f t="shared" ref="G426" si="1141">+F426*$X$1</f>
        <v>7572.48</v>
      </c>
      <c r="H426" s="610">
        <f>F426+800</f>
        <v>8372.48</v>
      </c>
      <c r="I426" s="279">
        <f t="shared" ref="I426" si="1142">+H426*$X$1</f>
        <v>8372.48</v>
      </c>
      <c r="J426" s="610">
        <f>F426+300</f>
        <v>7872.48</v>
      </c>
      <c r="K426" s="279">
        <f t="shared" ref="K426" si="1143">+J426*$X$1</f>
        <v>7872.48</v>
      </c>
      <c r="L426" s="610">
        <f>F426+230</f>
        <v>7802.48</v>
      </c>
      <c r="M426" s="279">
        <f t="shared" ref="M426" si="1144">+L426*$X$1</f>
        <v>7802.48</v>
      </c>
      <c r="N426" s="610">
        <f>F426+170</f>
        <v>7742.48</v>
      </c>
      <c r="O426" s="279">
        <f t="shared" si="1127"/>
        <v>7742.48</v>
      </c>
      <c r="P426" s="610">
        <f>F426+140</f>
        <v>7712.48</v>
      </c>
      <c r="Q426" s="279">
        <f t="shared" ref="Q426" si="1145">+P426*$X$1</f>
        <v>7712.48</v>
      </c>
      <c r="R426" s="610">
        <f>F426+110</f>
        <v>7682.48</v>
      </c>
      <c r="S426" s="279">
        <f t="shared" si="1129"/>
        <v>7682.48</v>
      </c>
      <c r="T426" s="610">
        <f>F426+90</f>
        <v>7662.48</v>
      </c>
      <c r="U426" s="279">
        <f t="shared" ref="U426" si="1146">+T426*$X$1</f>
        <v>7662.48</v>
      </c>
      <c r="V426" s="610">
        <f>F426+78</f>
        <v>7650.48</v>
      </c>
      <c r="W426" s="279">
        <f t="shared" ref="W426" si="1147">+V426*$X$1</f>
        <v>7650.48</v>
      </c>
      <c r="X426" s="539"/>
      <c r="Y426" s="540"/>
      <c r="Z426" s="540"/>
      <c r="AA426" s="541"/>
      <c r="AB426" s="386">
        <v>2341</v>
      </c>
      <c r="AC426" s="64"/>
    </row>
    <row r="427" spans="1:29" ht="12.6" customHeight="1" x14ac:dyDescent="0.2">
      <c r="A427" s="18"/>
      <c r="B427" s="661" t="s">
        <v>685</v>
      </c>
      <c r="C427" s="694"/>
      <c r="D427" s="694"/>
      <c r="E427" s="695"/>
      <c r="F427" s="366">
        <f>12.5*X2</f>
        <v>13600</v>
      </c>
      <c r="G427" s="280">
        <f t="shared" ref="G427" si="1148">+F427*$X$1</f>
        <v>13600</v>
      </c>
      <c r="H427" s="441">
        <f t="shared" ref="H427:H437" si="1149">F427+600</f>
        <v>14200</v>
      </c>
      <c r="I427" s="280">
        <f t="shared" ref="I427:I438" si="1150">+H427*$X$1</f>
        <v>14200</v>
      </c>
      <c r="J427" s="441">
        <f t="shared" ref="J427:J437" si="1151">F427+200</f>
        <v>13800</v>
      </c>
      <c r="K427" s="280">
        <f t="shared" ref="K427:K438" si="1152">+J427*$X$1</f>
        <v>13800</v>
      </c>
      <c r="L427" s="441">
        <f t="shared" ref="L427:L437" si="1153">F427+150</f>
        <v>13750</v>
      </c>
      <c r="M427" s="280">
        <f t="shared" ref="M427:M438" si="1154">+L427*$X$1</f>
        <v>13750</v>
      </c>
      <c r="N427" s="441">
        <f t="shared" ref="N427:N437" si="1155">F427+110</f>
        <v>13710</v>
      </c>
      <c r="O427" s="280">
        <f t="shared" si="1127"/>
        <v>13710</v>
      </c>
      <c r="P427" s="441">
        <f t="shared" ref="P427:P437" si="1156">F427+90</f>
        <v>13690</v>
      </c>
      <c r="Q427" s="280">
        <f t="shared" ref="Q427:Q438" si="1157">+P427*$X$1</f>
        <v>13690</v>
      </c>
      <c r="R427" s="441">
        <f t="shared" ref="R427:R437" si="1158">F427+70</f>
        <v>13670</v>
      </c>
      <c r="S427" s="280">
        <f t="shared" si="1129"/>
        <v>13670</v>
      </c>
      <c r="T427" s="441">
        <f t="shared" ref="T427:T437" si="1159">F427+56</f>
        <v>13656</v>
      </c>
      <c r="U427" s="280">
        <f t="shared" ref="U427:U438" si="1160">+T427*$X$1</f>
        <v>13656</v>
      </c>
      <c r="V427" s="441">
        <f t="shared" ref="V427:V437" si="1161">F427+49</f>
        <v>13649</v>
      </c>
      <c r="W427" s="280">
        <f t="shared" ref="W427:W438" si="1162">+V427*$X$1</f>
        <v>13649</v>
      </c>
      <c r="X427" s="427"/>
      <c r="Y427" s="428"/>
      <c r="Z427" s="428"/>
      <c r="AA427" s="429"/>
      <c r="AB427" s="386">
        <v>2342</v>
      </c>
      <c r="AC427" s="64"/>
    </row>
    <row r="428" spans="1:29" ht="12.6" customHeight="1" x14ac:dyDescent="0.2">
      <c r="A428" s="18"/>
      <c r="B428" s="892" t="s">
        <v>684</v>
      </c>
      <c r="C428" s="893"/>
      <c r="D428" s="893"/>
      <c r="E428" s="894"/>
      <c r="F428" s="561">
        <f>15.5*X2</f>
        <v>16864</v>
      </c>
      <c r="G428" s="562">
        <f t="shared" ref="G428" si="1163">+F428*$X$1</f>
        <v>16864</v>
      </c>
      <c r="H428" s="610">
        <f t="shared" si="1149"/>
        <v>17464</v>
      </c>
      <c r="I428" s="279">
        <f t="shared" si="1150"/>
        <v>17464</v>
      </c>
      <c r="J428" s="610">
        <f t="shared" si="1151"/>
        <v>17064</v>
      </c>
      <c r="K428" s="279">
        <f t="shared" si="1152"/>
        <v>17064</v>
      </c>
      <c r="L428" s="610">
        <f t="shared" si="1153"/>
        <v>17014</v>
      </c>
      <c r="M428" s="279">
        <f t="shared" si="1154"/>
        <v>17014</v>
      </c>
      <c r="N428" s="610">
        <f t="shared" si="1155"/>
        <v>16974</v>
      </c>
      <c r="O428" s="279">
        <f t="shared" si="1127"/>
        <v>16974</v>
      </c>
      <c r="P428" s="610">
        <f t="shared" si="1156"/>
        <v>16954</v>
      </c>
      <c r="Q428" s="279">
        <f t="shared" si="1157"/>
        <v>16954</v>
      </c>
      <c r="R428" s="610">
        <f t="shared" si="1158"/>
        <v>16934</v>
      </c>
      <c r="S428" s="279">
        <f t="shared" si="1129"/>
        <v>16934</v>
      </c>
      <c r="T428" s="610">
        <f t="shared" si="1159"/>
        <v>16920</v>
      </c>
      <c r="U428" s="279">
        <f t="shared" si="1160"/>
        <v>16920</v>
      </c>
      <c r="V428" s="610">
        <f t="shared" si="1161"/>
        <v>16913</v>
      </c>
      <c r="W428" s="279">
        <f t="shared" si="1162"/>
        <v>16913</v>
      </c>
      <c r="X428" s="427"/>
      <c r="Y428" s="428"/>
      <c r="Z428" s="428"/>
      <c r="AA428" s="429"/>
      <c r="AB428" s="386">
        <v>2343</v>
      </c>
      <c r="AC428" s="64"/>
    </row>
    <row r="429" spans="1:29" ht="12.6" customHeight="1" x14ac:dyDescent="0.2">
      <c r="A429" s="18"/>
      <c r="B429" s="676" t="s">
        <v>836</v>
      </c>
      <c r="C429" s="677"/>
      <c r="D429" s="677"/>
      <c r="E429" s="678"/>
      <c r="F429" s="366">
        <f>9.42*X2</f>
        <v>10248.959999999999</v>
      </c>
      <c r="G429" s="280">
        <f>+F429*$X$1</f>
        <v>10248.959999999999</v>
      </c>
      <c r="H429" s="441">
        <f t="shared" si="1149"/>
        <v>10848.96</v>
      </c>
      <c r="I429" s="280">
        <f t="shared" si="1150"/>
        <v>10848.96</v>
      </c>
      <c r="J429" s="441">
        <f t="shared" si="1151"/>
        <v>10448.959999999999</v>
      </c>
      <c r="K429" s="280">
        <f t="shared" si="1152"/>
        <v>10448.959999999999</v>
      </c>
      <c r="L429" s="441">
        <f t="shared" si="1153"/>
        <v>10398.959999999999</v>
      </c>
      <c r="M429" s="280">
        <f t="shared" si="1154"/>
        <v>10398.959999999999</v>
      </c>
      <c r="N429" s="441">
        <f t="shared" si="1155"/>
        <v>10358.959999999999</v>
      </c>
      <c r="O429" s="280">
        <f t="shared" si="1127"/>
        <v>10358.959999999999</v>
      </c>
      <c r="P429" s="441">
        <f t="shared" si="1156"/>
        <v>10338.959999999999</v>
      </c>
      <c r="Q429" s="280">
        <f t="shared" si="1157"/>
        <v>10338.959999999999</v>
      </c>
      <c r="R429" s="441">
        <f t="shared" si="1158"/>
        <v>10318.959999999999</v>
      </c>
      <c r="S429" s="280">
        <f t="shared" si="1129"/>
        <v>10318.959999999999</v>
      </c>
      <c r="T429" s="441">
        <f t="shared" si="1159"/>
        <v>10304.959999999999</v>
      </c>
      <c r="U429" s="280">
        <f t="shared" si="1160"/>
        <v>10304.959999999999</v>
      </c>
      <c r="V429" s="441">
        <f t="shared" si="1161"/>
        <v>10297.959999999999</v>
      </c>
      <c r="W429" s="280">
        <f t="shared" si="1162"/>
        <v>10297.959999999999</v>
      </c>
      <c r="X429" s="484"/>
      <c r="Y429" s="485"/>
      <c r="Z429" s="485"/>
      <c r="AA429" s="486"/>
      <c r="AB429" s="386" t="s">
        <v>837</v>
      </c>
      <c r="AC429" s="64"/>
    </row>
    <row r="430" spans="1:29" ht="12.6" customHeight="1" x14ac:dyDescent="0.2">
      <c r="A430" s="18"/>
      <c r="B430" s="892" t="s">
        <v>424</v>
      </c>
      <c r="C430" s="893"/>
      <c r="D430" s="893"/>
      <c r="E430" s="894"/>
      <c r="F430" s="561">
        <f>8.5*X2</f>
        <v>9248</v>
      </c>
      <c r="G430" s="562">
        <f t="shared" ref="G430" si="1164">+F430*$X$1</f>
        <v>9248</v>
      </c>
      <c r="H430" s="610">
        <f t="shared" si="1149"/>
        <v>9848</v>
      </c>
      <c r="I430" s="279">
        <f t="shared" si="1150"/>
        <v>9848</v>
      </c>
      <c r="J430" s="610">
        <f t="shared" si="1151"/>
        <v>9448</v>
      </c>
      <c r="K430" s="279">
        <f t="shared" si="1152"/>
        <v>9448</v>
      </c>
      <c r="L430" s="610">
        <f t="shared" si="1153"/>
        <v>9398</v>
      </c>
      <c r="M430" s="279">
        <f t="shared" si="1154"/>
        <v>9398</v>
      </c>
      <c r="N430" s="610">
        <f t="shared" si="1155"/>
        <v>9358</v>
      </c>
      <c r="O430" s="279">
        <f t="shared" si="1127"/>
        <v>9358</v>
      </c>
      <c r="P430" s="610">
        <f t="shared" si="1156"/>
        <v>9338</v>
      </c>
      <c r="Q430" s="279">
        <f t="shared" si="1157"/>
        <v>9338</v>
      </c>
      <c r="R430" s="610">
        <f t="shared" si="1158"/>
        <v>9318</v>
      </c>
      <c r="S430" s="279">
        <f t="shared" si="1129"/>
        <v>9318</v>
      </c>
      <c r="T430" s="610">
        <f t="shared" si="1159"/>
        <v>9304</v>
      </c>
      <c r="U430" s="279">
        <f t="shared" si="1160"/>
        <v>9304</v>
      </c>
      <c r="V430" s="610">
        <f t="shared" si="1161"/>
        <v>9297</v>
      </c>
      <c r="W430" s="279">
        <f t="shared" si="1162"/>
        <v>9297</v>
      </c>
      <c r="X430" s="236"/>
      <c r="Y430" s="234"/>
      <c r="Z430" s="234"/>
      <c r="AA430" s="235"/>
      <c r="AB430" s="386">
        <v>2346</v>
      </c>
      <c r="AC430" s="64"/>
    </row>
    <row r="431" spans="1:29" ht="12.6" customHeight="1" x14ac:dyDescent="0.2">
      <c r="A431" s="18"/>
      <c r="B431" s="661" t="s">
        <v>686</v>
      </c>
      <c r="C431" s="694"/>
      <c r="D431" s="694"/>
      <c r="E431" s="695"/>
      <c r="F431" s="366">
        <f>11.9*X2</f>
        <v>12947.2</v>
      </c>
      <c r="G431" s="280">
        <f t="shared" ref="G431" si="1165">+F431*$X$1</f>
        <v>12947.2</v>
      </c>
      <c r="H431" s="441">
        <f t="shared" si="1149"/>
        <v>13547.2</v>
      </c>
      <c r="I431" s="280">
        <f t="shared" si="1150"/>
        <v>13547.2</v>
      </c>
      <c r="J431" s="441">
        <f t="shared" si="1151"/>
        <v>13147.2</v>
      </c>
      <c r="K431" s="280">
        <f t="shared" si="1152"/>
        <v>13147.2</v>
      </c>
      <c r="L431" s="441">
        <f t="shared" si="1153"/>
        <v>13097.2</v>
      </c>
      <c r="M431" s="280">
        <f t="shared" si="1154"/>
        <v>13097.2</v>
      </c>
      <c r="N431" s="441">
        <f t="shared" si="1155"/>
        <v>13057.2</v>
      </c>
      <c r="O431" s="280">
        <f t="shared" si="1127"/>
        <v>13057.2</v>
      </c>
      <c r="P431" s="441">
        <f t="shared" si="1156"/>
        <v>13037.2</v>
      </c>
      <c r="Q431" s="280">
        <f t="shared" si="1157"/>
        <v>13037.2</v>
      </c>
      <c r="R431" s="441">
        <f t="shared" si="1158"/>
        <v>13017.2</v>
      </c>
      <c r="S431" s="280">
        <f t="shared" si="1129"/>
        <v>13017.2</v>
      </c>
      <c r="T431" s="441">
        <f t="shared" si="1159"/>
        <v>13003.2</v>
      </c>
      <c r="U431" s="280">
        <f t="shared" si="1160"/>
        <v>13003.2</v>
      </c>
      <c r="V431" s="441">
        <f t="shared" si="1161"/>
        <v>12996.2</v>
      </c>
      <c r="W431" s="280">
        <f t="shared" si="1162"/>
        <v>12996.2</v>
      </c>
      <c r="X431" s="427"/>
      <c r="Y431" s="428"/>
      <c r="Z431" s="428"/>
      <c r="AA431" s="429"/>
      <c r="AB431" s="386" t="s">
        <v>695</v>
      </c>
      <c r="AC431" s="64"/>
    </row>
    <row r="432" spans="1:29" ht="12.6" customHeight="1" x14ac:dyDescent="0.2">
      <c r="A432" s="18"/>
      <c r="B432" s="892" t="s">
        <v>687</v>
      </c>
      <c r="C432" s="893"/>
      <c r="D432" s="893"/>
      <c r="E432" s="894"/>
      <c r="F432" s="561">
        <f>12.7*X2</f>
        <v>13817.599999999999</v>
      </c>
      <c r="G432" s="562">
        <f t="shared" ref="G432" si="1166">+F432*$X$1</f>
        <v>13817.599999999999</v>
      </c>
      <c r="H432" s="610">
        <f t="shared" si="1149"/>
        <v>14417.599999999999</v>
      </c>
      <c r="I432" s="279">
        <f t="shared" si="1150"/>
        <v>14417.599999999999</v>
      </c>
      <c r="J432" s="610">
        <f t="shared" si="1151"/>
        <v>14017.599999999999</v>
      </c>
      <c r="K432" s="279">
        <f t="shared" si="1152"/>
        <v>14017.599999999999</v>
      </c>
      <c r="L432" s="610">
        <f t="shared" si="1153"/>
        <v>13967.599999999999</v>
      </c>
      <c r="M432" s="279">
        <f t="shared" si="1154"/>
        <v>13967.599999999999</v>
      </c>
      <c r="N432" s="610">
        <f t="shared" si="1155"/>
        <v>13927.599999999999</v>
      </c>
      <c r="O432" s="279">
        <f t="shared" si="1127"/>
        <v>13927.599999999999</v>
      </c>
      <c r="P432" s="610">
        <f t="shared" si="1156"/>
        <v>13907.599999999999</v>
      </c>
      <c r="Q432" s="279">
        <f t="shared" si="1157"/>
        <v>13907.599999999999</v>
      </c>
      <c r="R432" s="610">
        <f t="shared" si="1158"/>
        <v>13887.599999999999</v>
      </c>
      <c r="S432" s="279">
        <f t="shared" si="1129"/>
        <v>13887.599999999999</v>
      </c>
      <c r="T432" s="610">
        <f t="shared" si="1159"/>
        <v>13873.599999999999</v>
      </c>
      <c r="U432" s="279">
        <f t="shared" si="1160"/>
        <v>13873.599999999999</v>
      </c>
      <c r="V432" s="610">
        <f t="shared" si="1161"/>
        <v>13866.599999999999</v>
      </c>
      <c r="W432" s="279">
        <f t="shared" si="1162"/>
        <v>13866.599999999999</v>
      </c>
      <c r="X432" s="427"/>
      <c r="Y432" s="428"/>
      <c r="Z432" s="428"/>
      <c r="AA432" s="429"/>
      <c r="AB432" s="386" t="s">
        <v>746</v>
      </c>
      <c r="AC432" s="64"/>
    </row>
    <row r="433" spans="1:35" ht="12.6" customHeight="1" x14ac:dyDescent="0.2">
      <c r="A433" s="18"/>
      <c r="B433" s="661" t="s">
        <v>573</v>
      </c>
      <c r="C433" s="694"/>
      <c r="D433" s="694"/>
      <c r="E433" s="695"/>
      <c r="F433" s="366">
        <f>2.56*X2</f>
        <v>2785.28</v>
      </c>
      <c r="G433" s="280">
        <f t="shared" ref="G433" si="1167">+F433*$X$1</f>
        <v>2785.28</v>
      </c>
      <c r="H433" s="441">
        <f t="shared" si="1149"/>
        <v>3385.28</v>
      </c>
      <c r="I433" s="280">
        <f t="shared" si="1150"/>
        <v>3385.28</v>
      </c>
      <c r="J433" s="441">
        <f t="shared" si="1151"/>
        <v>2985.28</v>
      </c>
      <c r="K433" s="280">
        <f t="shared" si="1152"/>
        <v>2985.28</v>
      </c>
      <c r="L433" s="441">
        <f t="shared" si="1153"/>
        <v>2935.28</v>
      </c>
      <c r="M433" s="280">
        <f t="shared" si="1154"/>
        <v>2935.28</v>
      </c>
      <c r="N433" s="441">
        <f t="shared" si="1155"/>
        <v>2895.28</v>
      </c>
      <c r="O433" s="280">
        <f t="shared" si="1127"/>
        <v>2895.28</v>
      </c>
      <c r="P433" s="441">
        <f t="shared" si="1156"/>
        <v>2875.28</v>
      </c>
      <c r="Q433" s="280">
        <f t="shared" si="1157"/>
        <v>2875.28</v>
      </c>
      <c r="R433" s="441">
        <f t="shared" si="1158"/>
        <v>2855.28</v>
      </c>
      <c r="S433" s="280">
        <f t="shared" si="1129"/>
        <v>2855.28</v>
      </c>
      <c r="T433" s="441">
        <f t="shared" si="1159"/>
        <v>2841.28</v>
      </c>
      <c r="U433" s="280">
        <f t="shared" si="1160"/>
        <v>2841.28</v>
      </c>
      <c r="V433" s="441">
        <f t="shared" si="1161"/>
        <v>2834.28</v>
      </c>
      <c r="W433" s="280">
        <f t="shared" si="1162"/>
        <v>2834.28</v>
      </c>
      <c r="X433" s="360"/>
      <c r="Y433" s="361"/>
      <c r="Z433" s="361"/>
      <c r="AA433" s="362"/>
      <c r="AB433" s="386">
        <v>2350</v>
      </c>
      <c r="AC433" s="64"/>
    </row>
    <row r="434" spans="1:35" ht="12.6" customHeight="1" x14ac:dyDescent="0.2">
      <c r="A434" s="18"/>
      <c r="B434" s="664" t="s">
        <v>668</v>
      </c>
      <c r="C434" s="680"/>
      <c r="D434" s="680"/>
      <c r="E434" s="681"/>
      <c r="F434" s="365">
        <f>1.59*X2</f>
        <v>1729.92</v>
      </c>
      <c r="G434" s="279">
        <f t="shared" ref="G434" si="1168">+F434*$X$1</f>
        <v>1729.92</v>
      </c>
      <c r="H434" s="610">
        <f t="shared" si="1149"/>
        <v>2329.92</v>
      </c>
      <c r="I434" s="279">
        <f t="shared" si="1150"/>
        <v>2329.92</v>
      </c>
      <c r="J434" s="610">
        <f t="shared" si="1151"/>
        <v>1929.92</v>
      </c>
      <c r="K434" s="279">
        <f t="shared" si="1152"/>
        <v>1929.92</v>
      </c>
      <c r="L434" s="610">
        <f t="shared" si="1153"/>
        <v>1879.92</v>
      </c>
      <c r="M434" s="279">
        <f t="shared" si="1154"/>
        <v>1879.92</v>
      </c>
      <c r="N434" s="610">
        <f t="shared" si="1155"/>
        <v>1839.92</v>
      </c>
      <c r="O434" s="279">
        <f t="shared" si="1127"/>
        <v>1839.92</v>
      </c>
      <c r="P434" s="610">
        <f t="shared" si="1156"/>
        <v>1819.92</v>
      </c>
      <c r="Q434" s="279">
        <f t="shared" si="1157"/>
        <v>1819.92</v>
      </c>
      <c r="R434" s="610">
        <f t="shared" si="1158"/>
        <v>1799.92</v>
      </c>
      <c r="S434" s="279">
        <f t="shared" si="1129"/>
        <v>1799.92</v>
      </c>
      <c r="T434" s="610">
        <f t="shared" si="1159"/>
        <v>1785.92</v>
      </c>
      <c r="U434" s="279">
        <f t="shared" si="1160"/>
        <v>1785.92</v>
      </c>
      <c r="V434" s="610">
        <f t="shared" si="1161"/>
        <v>1778.92</v>
      </c>
      <c r="W434" s="279">
        <f t="shared" si="1162"/>
        <v>1778.92</v>
      </c>
      <c r="X434" s="418"/>
      <c r="Y434" s="419"/>
      <c r="Z434" s="419"/>
      <c r="AA434" s="420"/>
      <c r="AB434" s="386">
        <v>2352</v>
      </c>
      <c r="AC434" s="64"/>
    </row>
    <row r="435" spans="1:35" ht="12.6" customHeight="1" x14ac:dyDescent="0.2">
      <c r="A435" s="18"/>
      <c r="B435" s="676" t="s">
        <v>897</v>
      </c>
      <c r="C435" s="677"/>
      <c r="D435" s="677"/>
      <c r="E435" s="678"/>
      <c r="F435" s="366">
        <f>1.48*X2</f>
        <v>1610.24</v>
      </c>
      <c r="G435" s="280">
        <f t="shared" ref="G435" si="1169">+F435*$X$1</f>
        <v>1610.24</v>
      </c>
      <c r="H435" s="441">
        <f t="shared" si="1149"/>
        <v>2210.2399999999998</v>
      </c>
      <c r="I435" s="280">
        <f t="shared" si="1150"/>
        <v>2210.2399999999998</v>
      </c>
      <c r="J435" s="441">
        <f t="shared" si="1151"/>
        <v>1810.24</v>
      </c>
      <c r="K435" s="280">
        <f t="shared" si="1152"/>
        <v>1810.24</v>
      </c>
      <c r="L435" s="441">
        <f t="shared" si="1153"/>
        <v>1760.24</v>
      </c>
      <c r="M435" s="280">
        <f t="shared" si="1154"/>
        <v>1760.24</v>
      </c>
      <c r="N435" s="441">
        <f t="shared" si="1155"/>
        <v>1720.24</v>
      </c>
      <c r="O435" s="280">
        <f t="shared" si="1127"/>
        <v>1720.24</v>
      </c>
      <c r="P435" s="441">
        <f t="shared" si="1156"/>
        <v>1700.24</v>
      </c>
      <c r="Q435" s="280">
        <f t="shared" si="1157"/>
        <v>1700.24</v>
      </c>
      <c r="R435" s="441">
        <f t="shared" si="1158"/>
        <v>1680.24</v>
      </c>
      <c r="S435" s="280">
        <f t="shared" si="1129"/>
        <v>1680.24</v>
      </c>
      <c r="T435" s="441">
        <f t="shared" si="1159"/>
        <v>1666.24</v>
      </c>
      <c r="U435" s="280">
        <f t="shared" si="1160"/>
        <v>1666.24</v>
      </c>
      <c r="V435" s="441">
        <f t="shared" si="1161"/>
        <v>1659.24</v>
      </c>
      <c r="W435" s="280">
        <f t="shared" si="1162"/>
        <v>1659.24</v>
      </c>
      <c r="X435" s="528"/>
      <c r="Y435" s="526"/>
      <c r="Z435" s="526"/>
      <c r="AA435" s="527"/>
      <c r="AB435" s="386">
        <v>2353</v>
      </c>
      <c r="AC435" s="64"/>
    </row>
    <row r="436" spans="1:35" ht="12.6" customHeight="1" x14ac:dyDescent="0.2">
      <c r="A436" s="18"/>
      <c r="B436" s="676" t="s">
        <v>944</v>
      </c>
      <c r="C436" s="677"/>
      <c r="D436" s="677"/>
      <c r="E436" s="678"/>
      <c r="F436" s="365">
        <f>1.732*X2</f>
        <v>1884.4159999999999</v>
      </c>
      <c r="G436" s="279">
        <f t="shared" ref="G436" si="1170">+F436*$X$1</f>
        <v>1884.4159999999999</v>
      </c>
      <c r="H436" s="610">
        <f t="shared" si="1149"/>
        <v>2484.4160000000002</v>
      </c>
      <c r="I436" s="279">
        <f t="shared" si="1150"/>
        <v>2484.4160000000002</v>
      </c>
      <c r="J436" s="610">
        <f t="shared" si="1151"/>
        <v>2084.4160000000002</v>
      </c>
      <c r="K436" s="279">
        <f t="shared" si="1152"/>
        <v>2084.4160000000002</v>
      </c>
      <c r="L436" s="610">
        <f t="shared" si="1153"/>
        <v>2034.4159999999999</v>
      </c>
      <c r="M436" s="279">
        <f t="shared" si="1154"/>
        <v>2034.4159999999999</v>
      </c>
      <c r="N436" s="610">
        <f t="shared" si="1155"/>
        <v>1994.4159999999999</v>
      </c>
      <c r="O436" s="279">
        <f t="shared" si="1127"/>
        <v>1994.4159999999999</v>
      </c>
      <c r="P436" s="610">
        <f t="shared" si="1156"/>
        <v>1974.4159999999999</v>
      </c>
      <c r="Q436" s="279">
        <f t="shared" si="1157"/>
        <v>1974.4159999999999</v>
      </c>
      <c r="R436" s="610">
        <f t="shared" si="1158"/>
        <v>1954.4159999999999</v>
      </c>
      <c r="S436" s="279">
        <f t="shared" si="1129"/>
        <v>1954.4159999999999</v>
      </c>
      <c r="T436" s="610">
        <f t="shared" si="1159"/>
        <v>1940.4159999999999</v>
      </c>
      <c r="U436" s="279">
        <f t="shared" si="1160"/>
        <v>1940.4159999999999</v>
      </c>
      <c r="V436" s="610">
        <f t="shared" si="1161"/>
        <v>1933.4159999999999</v>
      </c>
      <c r="W436" s="279">
        <f t="shared" si="1162"/>
        <v>1933.4159999999999</v>
      </c>
      <c r="X436" s="586"/>
      <c r="Y436" s="587"/>
      <c r="Z436" s="587"/>
      <c r="AA436" s="588"/>
      <c r="AB436" s="386">
        <v>2354</v>
      </c>
      <c r="AC436" s="64"/>
    </row>
    <row r="437" spans="1:35" ht="12.6" customHeight="1" x14ac:dyDescent="0.2">
      <c r="A437" s="18"/>
      <c r="B437" s="676" t="s">
        <v>943</v>
      </c>
      <c r="C437" s="677"/>
      <c r="D437" s="677"/>
      <c r="E437" s="678"/>
      <c r="F437" s="366">
        <f>1.471*X2</f>
        <v>1600.4480000000001</v>
      </c>
      <c r="G437" s="280">
        <f t="shared" ref="G437" si="1171">+F437*$X$1</f>
        <v>1600.4480000000001</v>
      </c>
      <c r="H437" s="441">
        <f t="shared" si="1149"/>
        <v>2200.4480000000003</v>
      </c>
      <c r="I437" s="280">
        <f t="shared" si="1150"/>
        <v>2200.4480000000003</v>
      </c>
      <c r="J437" s="441">
        <f t="shared" si="1151"/>
        <v>1800.4480000000001</v>
      </c>
      <c r="K437" s="280">
        <f t="shared" si="1152"/>
        <v>1800.4480000000001</v>
      </c>
      <c r="L437" s="441">
        <f t="shared" si="1153"/>
        <v>1750.4480000000001</v>
      </c>
      <c r="M437" s="280">
        <f t="shared" si="1154"/>
        <v>1750.4480000000001</v>
      </c>
      <c r="N437" s="441">
        <f t="shared" si="1155"/>
        <v>1710.4480000000001</v>
      </c>
      <c r="O437" s="280">
        <f t="shared" si="1127"/>
        <v>1710.4480000000001</v>
      </c>
      <c r="P437" s="441">
        <f t="shared" si="1156"/>
        <v>1690.4480000000001</v>
      </c>
      <c r="Q437" s="280">
        <f t="shared" si="1157"/>
        <v>1690.4480000000001</v>
      </c>
      <c r="R437" s="441">
        <f t="shared" si="1158"/>
        <v>1670.4480000000001</v>
      </c>
      <c r="S437" s="280">
        <f t="shared" si="1129"/>
        <v>1670.4480000000001</v>
      </c>
      <c r="T437" s="441">
        <f t="shared" si="1159"/>
        <v>1656.4480000000001</v>
      </c>
      <c r="U437" s="280">
        <f t="shared" si="1160"/>
        <v>1656.4480000000001</v>
      </c>
      <c r="V437" s="441">
        <f t="shared" si="1161"/>
        <v>1649.4480000000001</v>
      </c>
      <c r="W437" s="280">
        <f t="shared" si="1162"/>
        <v>1649.4480000000001</v>
      </c>
      <c r="X437" s="586"/>
      <c r="Y437" s="587"/>
      <c r="Z437" s="587"/>
      <c r="AA437" s="588"/>
      <c r="AB437" s="386">
        <v>2355</v>
      </c>
      <c r="AC437" s="64"/>
    </row>
    <row r="438" spans="1:35" ht="12.6" customHeight="1" x14ac:dyDescent="0.2">
      <c r="A438" s="18"/>
      <c r="B438" s="664" t="s">
        <v>957</v>
      </c>
      <c r="C438" s="680"/>
      <c r="D438" s="680"/>
      <c r="E438" s="681"/>
      <c r="F438" s="279">
        <f>2.95*X2</f>
        <v>3209.6000000000004</v>
      </c>
      <c r="G438" s="279">
        <f>+F438*$X$1</f>
        <v>3209.6000000000004</v>
      </c>
      <c r="H438" s="610">
        <f>F438+600</f>
        <v>3809.6000000000004</v>
      </c>
      <c r="I438" s="279">
        <f t="shared" si="1150"/>
        <v>3809.6000000000004</v>
      </c>
      <c r="J438" s="70">
        <f t="shared" ref="J438:J443" si="1172">F438+220</f>
        <v>3429.6000000000004</v>
      </c>
      <c r="K438" s="279">
        <f t="shared" si="1152"/>
        <v>3429.6000000000004</v>
      </c>
      <c r="L438" s="610">
        <f t="shared" ref="L438" si="1173">F438+150</f>
        <v>3359.6000000000004</v>
      </c>
      <c r="M438" s="279">
        <f t="shared" si="1154"/>
        <v>3359.6000000000004</v>
      </c>
      <c r="N438" s="610">
        <f t="shared" ref="N438" si="1174">F438+110</f>
        <v>3319.6000000000004</v>
      </c>
      <c r="O438" s="279">
        <f t="shared" ref="O438" si="1175">+N438*$X$1</f>
        <v>3319.6000000000004</v>
      </c>
      <c r="P438" s="610">
        <f t="shared" ref="P438" si="1176">F438+100</f>
        <v>3309.6000000000004</v>
      </c>
      <c r="Q438" s="279">
        <f t="shared" si="1157"/>
        <v>3309.6000000000004</v>
      </c>
      <c r="R438" s="610">
        <f t="shared" ref="R438" si="1177">F438+80</f>
        <v>3289.6000000000004</v>
      </c>
      <c r="S438" s="279">
        <f t="shared" ref="S438" si="1178">+R438*$X$1</f>
        <v>3289.6000000000004</v>
      </c>
      <c r="T438" s="610">
        <f t="shared" ref="T438" si="1179">F438+65</f>
        <v>3274.6000000000004</v>
      </c>
      <c r="U438" s="279">
        <f t="shared" si="1160"/>
        <v>3274.6000000000004</v>
      </c>
      <c r="V438" s="610">
        <f t="shared" ref="V438" si="1180">F438+56</f>
        <v>3265.6000000000004</v>
      </c>
      <c r="W438" s="279">
        <f t="shared" si="1162"/>
        <v>3265.6000000000004</v>
      </c>
      <c r="X438" s="657"/>
      <c r="Y438" s="644"/>
      <c r="Z438" s="644"/>
      <c r="AA438" s="658"/>
      <c r="AB438" s="386">
        <v>2500</v>
      </c>
    </row>
    <row r="439" spans="1:35" ht="12.6" customHeight="1" x14ac:dyDescent="0.2">
      <c r="A439" s="18"/>
      <c r="B439" s="661" t="s">
        <v>816</v>
      </c>
      <c r="C439" s="694"/>
      <c r="D439" s="694"/>
      <c r="E439" s="695"/>
      <c r="F439" s="280">
        <f>3.463*X2</f>
        <v>3767.7440000000001</v>
      </c>
      <c r="G439" s="280">
        <f>+F439*$X$1</f>
        <v>3767.7440000000001</v>
      </c>
      <c r="H439" s="441">
        <f>F439+600</f>
        <v>4367.7440000000006</v>
      </c>
      <c r="I439" s="280">
        <f t="shared" ref="I439:I442" si="1181">+H439*$X$1</f>
        <v>4367.7440000000006</v>
      </c>
      <c r="J439" s="87">
        <f t="shared" si="1172"/>
        <v>3987.7440000000001</v>
      </c>
      <c r="K439" s="280">
        <f t="shared" ref="K439:K443" si="1182">+J439*$X$1</f>
        <v>3987.7440000000001</v>
      </c>
      <c r="L439" s="441">
        <f t="shared" ref="L439:L443" si="1183">F439+150</f>
        <v>3917.7440000000001</v>
      </c>
      <c r="M439" s="280">
        <f t="shared" ref="M439:M443" si="1184">+L439*$X$1</f>
        <v>3917.7440000000001</v>
      </c>
      <c r="N439" s="441">
        <f t="shared" ref="N439:N443" si="1185">F439+110</f>
        <v>3877.7440000000001</v>
      </c>
      <c r="O439" s="280">
        <f t="shared" ref="O439:O443" si="1186">+N439*$X$1</f>
        <v>3877.7440000000001</v>
      </c>
      <c r="P439" s="441">
        <f t="shared" ref="P439:P443" si="1187">F439+100</f>
        <v>3867.7440000000001</v>
      </c>
      <c r="Q439" s="280">
        <f t="shared" ref="Q439:Q443" si="1188">+P439*$X$1</f>
        <v>3867.7440000000001</v>
      </c>
      <c r="R439" s="441">
        <f t="shared" ref="R439:R443" si="1189">F439+80</f>
        <v>3847.7440000000001</v>
      </c>
      <c r="S439" s="280">
        <f t="shared" ref="S439:S443" si="1190">+R439*$X$1</f>
        <v>3847.7440000000001</v>
      </c>
      <c r="T439" s="441">
        <f t="shared" ref="T439:T443" si="1191">F439+65</f>
        <v>3832.7440000000001</v>
      </c>
      <c r="U439" s="280">
        <f t="shared" ref="U439:U443" si="1192">+T439*$X$1</f>
        <v>3832.7440000000001</v>
      </c>
      <c r="V439" s="441">
        <f t="shared" ref="V439:V443" si="1193">F439+56</f>
        <v>3823.7440000000001</v>
      </c>
      <c r="W439" s="280">
        <f t="shared" ref="W439:W444" si="1194">+V439*$X$1</f>
        <v>3823.7440000000001</v>
      </c>
      <c r="X439" s="657"/>
      <c r="Y439" s="644"/>
      <c r="Z439" s="644"/>
      <c r="AA439" s="658"/>
      <c r="AB439" s="386">
        <v>2503</v>
      </c>
    </row>
    <row r="440" spans="1:35" ht="12.6" customHeight="1" x14ac:dyDescent="0.2">
      <c r="A440" s="18"/>
      <c r="B440" s="664" t="s">
        <v>817</v>
      </c>
      <c r="C440" s="680"/>
      <c r="D440" s="680"/>
      <c r="E440" s="681"/>
      <c r="F440" s="279">
        <f>0.71*X2</f>
        <v>772.48</v>
      </c>
      <c r="G440" s="279">
        <f t="shared" ref="G440" si="1195">+F440*$X$1</f>
        <v>772.48</v>
      </c>
      <c r="H440" s="610">
        <f>F440+600</f>
        <v>1372.48</v>
      </c>
      <c r="I440" s="279">
        <f t="shared" si="1181"/>
        <v>1372.48</v>
      </c>
      <c r="J440" s="70">
        <f t="shared" si="1172"/>
        <v>992.48</v>
      </c>
      <c r="K440" s="279">
        <f t="shared" si="1182"/>
        <v>992.48</v>
      </c>
      <c r="L440" s="610">
        <f t="shared" si="1183"/>
        <v>922.48</v>
      </c>
      <c r="M440" s="279">
        <f t="shared" si="1184"/>
        <v>922.48</v>
      </c>
      <c r="N440" s="610">
        <f t="shared" si="1185"/>
        <v>882.48</v>
      </c>
      <c r="O440" s="279">
        <f t="shared" si="1186"/>
        <v>882.48</v>
      </c>
      <c r="P440" s="610">
        <f t="shared" si="1187"/>
        <v>872.48</v>
      </c>
      <c r="Q440" s="279">
        <f t="shared" si="1188"/>
        <v>872.48</v>
      </c>
      <c r="R440" s="610">
        <f t="shared" si="1189"/>
        <v>852.48</v>
      </c>
      <c r="S440" s="279">
        <f t="shared" si="1190"/>
        <v>852.48</v>
      </c>
      <c r="T440" s="610">
        <f t="shared" si="1191"/>
        <v>837.48</v>
      </c>
      <c r="U440" s="279">
        <f t="shared" si="1192"/>
        <v>837.48</v>
      </c>
      <c r="V440" s="610">
        <f t="shared" si="1193"/>
        <v>828.48</v>
      </c>
      <c r="W440" s="279">
        <f t="shared" si="1194"/>
        <v>828.48</v>
      </c>
      <c r="X440" s="657"/>
      <c r="Y440" s="644"/>
      <c r="Z440" s="644"/>
      <c r="AA440" s="658"/>
      <c r="AB440" s="386">
        <v>2504</v>
      </c>
    </row>
    <row r="441" spans="1:35" ht="12.6" customHeight="1" x14ac:dyDescent="0.2">
      <c r="A441" s="18"/>
      <c r="B441" s="661" t="s">
        <v>958</v>
      </c>
      <c r="C441" s="694"/>
      <c r="D441" s="694"/>
      <c r="E441" s="695"/>
      <c r="F441" s="280">
        <f>0.96*X2</f>
        <v>1044.48</v>
      </c>
      <c r="G441" s="280">
        <f>+F441*$X$1</f>
        <v>1044.48</v>
      </c>
      <c r="H441" s="441">
        <f>F441+600</f>
        <v>1644.48</v>
      </c>
      <c r="I441" s="280">
        <f t="shared" si="1181"/>
        <v>1644.48</v>
      </c>
      <c r="J441" s="87">
        <f t="shared" si="1172"/>
        <v>1264.48</v>
      </c>
      <c r="K441" s="280">
        <f t="shared" si="1182"/>
        <v>1264.48</v>
      </c>
      <c r="L441" s="441">
        <f t="shared" si="1183"/>
        <v>1194.48</v>
      </c>
      <c r="M441" s="280">
        <f t="shared" si="1184"/>
        <v>1194.48</v>
      </c>
      <c r="N441" s="441">
        <f t="shared" si="1185"/>
        <v>1154.48</v>
      </c>
      <c r="O441" s="280">
        <f t="shared" si="1186"/>
        <v>1154.48</v>
      </c>
      <c r="P441" s="441">
        <f t="shared" si="1187"/>
        <v>1144.48</v>
      </c>
      <c r="Q441" s="280">
        <f t="shared" si="1188"/>
        <v>1144.48</v>
      </c>
      <c r="R441" s="441">
        <f t="shared" si="1189"/>
        <v>1124.48</v>
      </c>
      <c r="S441" s="280">
        <f t="shared" si="1190"/>
        <v>1124.48</v>
      </c>
      <c r="T441" s="441">
        <f t="shared" si="1191"/>
        <v>1109.48</v>
      </c>
      <c r="U441" s="280">
        <f t="shared" si="1192"/>
        <v>1109.48</v>
      </c>
      <c r="V441" s="441">
        <f t="shared" si="1193"/>
        <v>1100.48</v>
      </c>
      <c r="W441" s="280">
        <f t="shared" si="1194"/>
        <v>1100.48</v>
      </c>
      <c r="X441" s="657"/>
      <c r="Y441" s="644"/>
      <c r="Z441" s="644"/>
      <c r="AA441" s="658"/>
      <c r="AB441" s="386">
        <v>2506</v>
      </c>
    </row>
    <row r="442" spans="1:35" ht="12.6" customHeight="1" x14ac:dyDescent="0.2">
      <c r="A442" s="18"/>
      <c r="B442" s="676" t="s">
        <v>960</v>
      </c>
      <c r="C442" s="677"/>
      <c r="D442" s="677"/>
      <c r="E442" s="678"/>
      <c r="F442" s="279">
        <f>2.35*X2</f>
        <v>2556.8000000000002</v>
      </c>
      <c r="G442" s="279">
        <f>+F442*$X$1</f>
        <v>2556.8000000000002</v>
      </c>
      <c r="H442" s="610">
        <f>F442+600</f>
        <v>3156.8</v>
      </c>
      <c r="I442" s="279">
        <f t="shared" si="1181"/>
        <v>3156.8</v>
      </c>
      <c r="J442" s="70">
        <f t="shared" si="1172"/>
        <v>2776.8</v>
      </c>
      <c r="K442" s="279">
        <f t="shared" si="1182"/>
        <v>2776.8</v>
      </c>
      <c r="L442" s="610">
        <f t="shared" si="1183"/>
        <v>2706.8</v>
      </c>
      <c r="M442" s="279">
        <f t="shared" si="1184"/>
        <v>2706.8</v>
      </c>
      <c r="N442" s="610">
        <f t="shared" si="1185"/>
        <v>2666.8</v>
      </c>
      <c r="O442" s="279">
        <f t="shared" si="1186"/>
        <v>2666.8</v>
      </c>
      <c r="P442" s="610">
        <f t="shared" si="1187"/>
        <v>2656.8</v>
      </c>
      <c r="Q442" s="279">
        <f t="shared" si="1188"/>
        <v>2656.8</v>
      </c>
      <c r="R442" s="610">
        <f t="shared" si="1189"/>
        <v>2636.8</v>
      </c>
      <c r="S442" s="279">
        <f t="shared" si="1190"/>
        <v>2636.8</v>
      </c>
      <c r="T442" s="610">
        <f t="shared" si="1191"/>
        <v>2621.8</v>
      </c>
      <c r="U442" s="279">
        <f t="shared" si="1192"/>
        <v>2621.8</v>
      </c>
      <c r="V442" s="610">
        <f t="shared" si="1193"/>
        <v>2612.8000000000002</v>
      </c>
      <c r="W442" s="279">
        <f t="shared" si="1194"/>
        <v>2612.8000000000002</v>
      </c>
      <c r="X442" s="657"/>
      <c r="Y442" s="644"/>
      <c r="Z442" s="644"/>
      <c r="AA442" s="658"/>
      <c r="AB442" s="386">
        <v>2507</v>
      </c>
    </row>
    <row r="443" spans="1:35" ht="12.6" customHeight="1" x14ac:dyDescent="0.2">
      <c r="A443" s="18"/>
      <c r="B443" s="661" t="s">
        <v>474</v>
      </c>
      <c r="C443" s="790"/>
      <c r="D443" s="790"/>
      <c r="E443" s="791"/>
      <c r="F443" s="366">
        <f>3.69*X2</f>
        <v>4014.72</v>
      </c>
      <c r="G443" s="280">
        <f t="shared" ref="G443" si="1196">+F443*$X$1</f>
        <v>4014.72</v>
      </c>
      <c r="H443" s="441"/>
      <c r="I443" s="280"/>
      <c r="J443" s="87">
        <f t="shared" si="1172"/>
        <v>4234.7199999999993</v>
      </c>
      <c r="K443" s="280">
        <f t="shared" si="1182"/>
        <v>4234.7199999999993</v>
      </c>
      <c r="L443" s="441">
        <f t="shared" si="1183"/>
        <v>4164.7199999999993</v>
      </c>
      <c r="M443" s="280">
        <f t="shared" si="1184"/>
        <v>4164.7199999999993</v>
      </c>
      <c r="N443" s="441">
        <f t="shared" si="1185"/>
        <v>4124.7199999999993</v>
      </c>
      <c r="O443" s="280">
        <f t="shared" si="1186"/>
        <v>4124.7199999999993</v>
      </c>
      <c r="P443" s="441">
        <f t="shared" si="1187"/>
        <v>4114.7199999999993</v>
      </c>
      <c r="Q443" s="280">
        <f t="shared" si="1188"/>
        <v>4114.7199999999993</v>
      </c>
      <c r="R443" s="441">
        <f t="shared" si="1189"/>
        <v>4094.72</v>
      </c>
      <c r="S443" s="280">
        <f t="shared" si="1190"/>
        <v>4094.72</v>
      </c>
      <c r="T443" s="441">
        <f t="shared" si="1191"/>
        <v>4079.72</v>
      </c>
      <c r="U443" s="280">
        <f t="shared" si="1192"/>
        <v>4079.72</v>
      </c>
      <c r="V443" s="441">
        <f t="shared" si="1193"/>
        <v>4070.72</v>
      </c>
      <c r="W443" s="280">
        <f t="shared" si="1194"/>
        <v>4070.72</v>
      </c>
      <c r="X443" s="159"/>
      <c r="Y443" s="132"/>
      <c r="Z443" s="132"/>
      <c r="AA443" s="135"/>
      <c r="AB443" s="398">
        <v>3001</v>
      </c>
    </row>
    <row r="444" spans="1:35" ht="12.6" customHeight="1" x14ac:dyDescent="0.2">
      <c r="A444" s="102"/>
      <c r="B444" s="705" t="s">
        <v>776</v>
      </c>
      <c r="C444" s="706"/>
      <c r="D444" s="706"/>
      <c r="E444" s="706"/>
      <c r="F444" s="279">
        <v>4036</v>
      </c>
      <c r="G444" s="279">
        <f t="shared" ref="G444" si="1197">+F444*$X$1</f>
        <v>4036</v>
      </c>
      <c r="H444" s="273"/>
      <c r="I444" s="331"/>
      <c r="J444" s="610"/>
      <c r="K444" s="279"/>
      <c r="L444" s="610">
        <f>F444+1100</f>
        <v>5136</v>
      </c>
      <c r="M444" s="279">
        <f t="shared" ref="M444" si="1198">+L444*$X$1</f>
        <v>5136</v>
      </c>
      <c r="N444" s="610">
        <f>F444+850</f>
        <v>4886</v>
      </c>
      <c r="O444" s="279">
        <f t="shared" ref="O444:O445" si="1199">+N444*$X$1</f>
        <v>4886</v>
      </c>
      <c r="P444" s="610">
        <f>F444+810</f>
        <v>4846</v>
      </c>
      <c r="Q444" s="279">
        <f t="shared" ref="Q444:Q445" si="1200">+P444*$X$1</f>
        <v>4846</v>
      </c>
      <c r="R444" s="610">
        <f>F444+780</f>
        <v>4816</v>
      </c>
      <c r="S444" s="279">
        <f t="shared" ref="S444" si="1201">+R444*$X$1</f>
        <v>4816</v>
      </c>
      <c r="T444" s="610">
        <f>F444+750</f>
        <v>4786</v>
      </c>
      <c r="U444" s="279">
        <f t="shared" ref="U444" si="1202">+T444*$X$1</f>
        <v>4786</v>
      </c>
      <c r="V444" s="610">
        <f>F444+750</f>
        <v>4786</v>
      </c>
      <c r="W444" s="279">
        <f t="shared" si="1194"/>
        <v>4786</v>
      </c>
      <c r="X444" s="210"/>
      <c r="Y444" s="212"/>
      <c r="Z444" s="212"/>
      <c r="AA444" s="211"/>
      <c r="AB444" s="386">
        <v>5003</v>
      </c>
      <c r="AC444" s="64"/>
    </row>
    <row r="445" spans="1:35" ht="12.6" customHeight="1" x14ac:dyDescent="0.2">
      <c r="A445" s="102"/>
      <c r="B445" s="667" t="s">
        <v>777</v>
      </c>
      <c r="C445" s="668"/>
      <c r="D445" s="668"/>
      <c r="E445" s="668"/>
      <c r="F445" s="280">
        <v>4036</v>
      </c>
      <c r="G445" s="280">
        <f t="shared" ref="G445" si="1203">+F445*$X$1</f>
        <v>4036</v>
      </c>
      <c r="H445" s="441">
        <f>F445+900</f>
        <v>4936</v>
      </c>
      <c r="I445" s="280">
        <f>+H445*$X$1</f>
        <v>4936</v>
      </c>
      <c r="J445" s="87">
        <f>F445+350</f>
        <v>4386</v>
      </c>
      <c r="K445" s="280">
        <f t="shared" ref="K445" si="1204">+J445*$X$1</f>
        <v>4386</v>
      </c>
      <c r="L445" s="441">
        <f>F445+270</f>
        <v>4306</v>
      </c>
      <c r="M445" s="280">
        <f t="shared" ref="M445" si="1205">+L445*$X$1</f>
        <v>4306</v>
      </c>
      <c r="N445" s="441">
        <f>F445+230</f>
        <v>4266</v>
      </c>
      <c r="O445" s="280">
        <f t="shared" si="1199"/>
        <v>4266</v>
      </c>
      <c r="P445" s="441">
        <f>F445+185</f>
        <v>4221</v>
      </c>
      <c r="Q445" s="280">
        <f t="shared" si="1200"/>
        <v>4221</v>
      </c>
      <c r="R445" s="441">
        <f>F445+160</f>
        <v>4196</v>
      </c>
      <c r="S445" s="280">
        <f t="shared" ref="S445" si="1206">+R445*$X$1</f>
        <v>4196</v>
      </c>
      <c r="T445" s="441">
        <f>F445+140</f>
        <v>4176</v>
      </c>
      <c r="U445" s="280">
        <f t="shared" ref="U445" si="1207">+T445*$X$1</f>
        <v>4176</v>
      </c>
      <c r="V445" s="441">
        <f>F445+115</f>
        <v>4151</v>
      </c>
      <c r="W445" s="280">
        <f t="shared" ref="W445" si="1208">+V445*$X$1</f>
        <v>4151</v>
      </c>
      <c r="X445" s="417"/>
      <c r="Y445" s="415"/>
      <c r="Z445" s="415"/>
      <c r="AA445" s="416"/>
      <c r="AB445" s="386" t="s">
        <v>680</v>
      </c>
      <c r="AC445" s="64"/>
    </row>
    <row r="446" spans="1:35" ht="12.6" customHeight="1" x14ac:dyDescent="0.2">
      <c r="A446" s="18"/>
      <c r="B446" s="659" t="s">
        <v>515</v>
      </c>
      <c r="C446" s="660"/>
      <c r="D446" s="660"/>
      <c r="E446" s="660"/>
      <c r="F446" s="279">
        <v>4992</v>
      </c>
      <c r="G446" s="279">
        <f t="shared" ref="G446:G455" si="1209">+F446*$X$1</f>
        <v>4992</v>
      </c>
      <c r="H446" s="273"/>
      <c r="I446" s="331"/>
      <c r="J446" s="598"/>
      <c r="K446" s="279"/>
      <c r="L446" s="598">
        <f>F446+1400</f>
        <v>6392</v>
      </c>
      <c r="M446" s="279">
        <f t="shared" ref="M446" si="1210">+L446*$X$1</f>
        <v>6392</v>
      </c>
      <c r="N446" s="598">
        <f>F446+1100</f>
        <v>6092</v>
      </c>
      <c r="O446" s="279">
        <f t="shared" ref="O446" si="1211">+N446*$X$1</f>
        <v>6092</v>
      </c>
      <c r="P446" s="598">
        <f>F446+990</f>
        <v>5982</v>
      </c>
      <c r="Q446" s="279">
        <f t="shared" ref="Q446" si="1212">+P446*$X$1</f>
        <v>5982</v>
      </c>
      <c r="R446" s="598">
        <f>F446+950</f>
        <v>5942</v>
      </c>
      <c r="S446" s="279">
        <f>+R446*$X$1</f>
        <v>5942</v>
      </c>
      <c r="T446" s="598">
        <f>F446+910</f>
        <v>5902</v>
      </c>
      <c r="U446" s="279">
        <f>+T446*$X$1</f>
        <v>5902</v>
      </c>
      <c r="V446" s="598"/>
      <c r="W446" s="279"/>
      <c r="X446" s="872"/>
      <c r="Y446" s="873"/>
      <c r="Z446" s="873"/>
      <c r="AA446" s="874"/>
      <c r="AB446" s="190">
        <v>5008</v>
      </c>
      <c r="AC446" s="37"/>
      <c r="AD446" s="37"/>
      <c r="AE446" s="37"/>
      <c r="AF446" s="37"/>
      <c r="AG446" s="37"/>
      <c r="AH446" s="37"/>
      <c r="AI446" s="37"/>
    </row>
    <row r="447" spans="1:35" ht="12.6" customHeight="1" x14ac:dyDescent="0.2">
      <c r="A447" s="18"/>
      <c r="B447" s="661" t="s">
        <v>516</v>
      </c>
      <c r="C447" s="694"/>
      <c r="D447" s="694"/>
      <c r="E447" s="695"/>
      <c r="F447" s="280">
        <v>6786</v>
      </c>
      <c r="G447" s="280">
        <f t="shared" si="1209"/>
        <v>6786</v>
      </c>
      <c r="H447" s="272"/>
      <c r="I447" s="332"/>
      <c r="J447" s="441"/>
      <c r="K447" s="280"/>
      <c r="L447" s="441">
        <f>F447+1400</f>
        <v>8186</v>
      </c>
      <c r="M447" s="280">
        <f t="shared" ref="M447:M449" si="1213">+L447*$X$1</f>
        <v>8186</v>
      </c>
      <c r="N447" s="441">
        <f>F447+1100</f>
        <v>7886</v>
      </c>
      <c r="O447" s="280">
        <f t="shared" ref="O447:O449" si="1214">+N447*$X$1</f>
        <v>7886</v>
      </c>
      <c r="P447" s="441">
        <f>F447+990</f>
        <v>7776</v>
      </c>
      <c r="Q447" s="280">
        <f t="shared" ref="Q447:Q449" si="1215">+P447*$X$1</f>
        <v>7776</v>
      </c>
      <c r="R447" s="441">
        <f>F447+950</f>
        <v>7736</v>
      </c>
      <c r="S447" s="280">
        <f>+R447*$X$1</f>
        <v>7736</v>
      </c>
      <c r="T447" s="441">
        <f>F447+910</f>
        <v>7696</v>
      </c>
      <c r="U447" s="280">
        <f>+T447*$X$1</f>
        <v>7696</v>
      </c>
      <c r="V447" s="441"/>
      <c r="W447" s="280"/>
      <c r="X447" s="872"/>
      <c r="Y447" s="873"/>
      <c r="Z447" s="873"/>
      <c r="AA447" s="874"/>
      <c r="AB447" s="398">
        <v>5010</v>
      </c>
      <c r="AC447" s="37"/>
      <c r="AD447" s="37"/>
      <c r="AE447" s="37"/>
      <c r="AF447" s="37"/>
      <c r="AG447" s="37"/>
      <c r="AH447" s="37"/>
      <c r="AI447" s="37"/>
    </row>
    <row r="448" spans="1:35" ht="12.6" customHeight="1" x14ac:dyDescent="0.2">
      <c r="A448" s="18"/>
      <c r="B448" s="664" t="s">
        <v>517</v>
      </c>
      <c r="C448" s="680"/>
      <c r="D448" s="680"/>
      <c r="E448" s="681"/>
      <c r="F448" s="279">
        <v>3783</v>
      </c>
      <c r="G448" s="279">
        <f t="shared" ref="G448" si="1216">+F448*$X$1</f>
        <v>3783</v>
      </c>
      <c r="H448" s="273"/>
      <c r="I448" s="331"/>
      <c r="J448" s="598"/>
      <c r="K448" s="279"/>
      <c r="L448" s="610">
        <f>F448+1400</f>
        <v>5183</v>
      </c>
      <c r="M448" s="279">
        <f t="shared" si="1213"/>
        <v>5183</v>
      </c>
      <c r="N448" s="610">
        <f>F448+1100</f>
        <v>4883</v>
      </c>
      <c r="O448" s="279">
        <f t="shared" si="1214"/>
        <v>4883</v>
      </c>
      <c r="P448" s="610">
        <f>F448+990</f>
        <v>4773</v>
      </c>
      <c r="Q448" s="279">
        <f t="shared" si="1215"/>
        <v>4773</v>
      </c>
      <c r="R448" s="610">
        <f>F448+950</f>
        <v>4733</v>
      </c>
      <c r="S448" s="279">
        <f>+R448*$X$1</f>
        <v>4733</v>
      </c>
      <c r="T448" s="610">
        <f>F448+910</f>
        <v>4693</v>
      </c>
      <c r="U448" s="279">
        <f>+T448*$X$1</f>
        <v>4693</v>
      </c>
      <c r="V448" s="598"/>
      <c r="W448" s="279"/>
      <c r="X448" s="872"/>
      <c r="Y448" s="873"/>
      <c r="Z448" s="873"/>
      <c r="AA448" s="874"/>
      <c r="AB448" s="398"/>
      <c r="AC448" s="37"/>
      <c r="AD448" s="37"/>
      <c r="AE448" s="37"/>
      <c r="AF448" s="37"/>
      <c r="AG448" s="37"/>
      <c r="AH448" s="37"/>
      <c r="AI448" s="37"/>
    </row>
    <row r="449" spans="1:35" ht="12.6" customHeight="1" x14ac:dyDescent="0.2">
      <c r="A449" s="18"/>
      <c r="B449" s="661" t="s">
        <v>518</v>
      </c>
      <c r="C449" s="694"/>
      <c r="D449" s="694"/>
      <c r="E449" s="695"/>
      <c r="F449" s="280">
        <v>5616</v>
      </c>
      <c r="G449" s="280">
        <f t="shared" ref="G449:G452" si="1217">+F449*$X$1</f>
        <v>5616</v>
      </c>
      <c r="H449" s="272"/>
      <c r="I449" s="332"/>
      <c r="J449" s="441"/>
      <c r="K449" s="280"/>
      <c r="L449" s="441">
        <f>F449+1400</f>
        <v>7016</v>
      </c>
      <c r="M449" s="280">
        <f t="shared" si="1213"/>
        <v>7016</v>
      </c>
      <c r="N449" s="441">
        <f>F449+1100</f>
        <v>6716</v>
      </c>
      <c r="O449" s="280">
        <f t="shared" si="1214"/>
        <v>6716</v>
      </c>
      <c r="P449" s="441">
        <f>F449+990</f>
        <v>6606</v>
      </c>
      <c r="Q449" s="280">
        <f t="shared" si="1215"/>
        <v>6606</v>
      </c>
      <c r="R449" s="441">
        <f>F449+950</f>
        <v>6566</v>
      </c>
      <c r="S449" s="280">
        <f>+R449*$X$1</f>
        <v>6566</v>
      </c>
      <c r="T449" s="441">
        <f>F449+910</f>
        <v>6526</v>
      </c>
      <c r="U449" s="280">
        <f>+T449*$X$1</f>
        <v>6526</v>
      </c>
      <c r="V449" s="441"/>
      <c r="W449" s="280"/>
      <c r="X449" s="872"/>
      <c r="Y449" s="873"/>
      <c r="Z449" s="873"/>
      <c r="AA449" s="874"/>
      <c r="AB449" s="398"/>
      <c r="AC449" s="37"/>
      <c r="AD449" s="37"/>
      <c r="AE449" s="37"/>
      <c r="AF449" s="37"/>
      <c r="AG449" s="37"/>
      <c r="AH449" s="37"/>
      <c r="AI449" s="37"/>
    </row>
    <row r="450" spans="1:35" ht="12.6" customHeight="1" x14ac:dyDescent="0.2">
      <c r="A450" s="18"/>
      <c r="B450" s="659" t="s">
        <v>820</v>
      </c>
      <c r="C450" s="721"/>
      <c r="D450" s="721"/>
      <c r="E450" s="721"/>
      <c r="F450" s="320">
        <v>2100</v>
      </c>
      <c r="G450" s="279">
        <f t="shared" si="1217"/>
        <v>2100</v>
      </c>
      <c r="H450" s="273"/>
      <c r="I450" s="331"/>
      <c r="J450" s="70">
        <f t="shared" ref="J450" si="1218">F450+220</f>
        <v>2320</v>
      </c>
      <c r="K450" s="279">
        <f t="shared" ref="K450" si="1219">+J450*$X$1</f>
        <v>2320</v>
      </c>
      <c r="L450" s="610">
        <f t="shared" ref="L450" si="1220">F450+150</f>
        <v>2250</v>
      </c>
      <c r="M450" s="279">
        <f t="shared" ref="M450" si="1221">+L450*$X$1</f>
        <v>2250</v>
      </c>
      <c r="N450" s="610">
        <f t="shared" ref="N450" si="1222">F450+110</f>
        <v>2210</v>
      </c>
      <c r="O450" s="279">
        <f t="shared" ref="O450" si="1223">+N450*$X$1</f>
        <v>2210</v>
      </c>
      <c r="P450" s="610">
        <f t="shared" ref="P450" si="1224">F450+100</f>
        <v>2200</v>
      </c>
      <c r="Q450" s="279">
        <f t="shared" ref="Q450" si="1225">+P450*$X$1</f>
        <v>2200</v>
      </c>
      <c r="R450" s="610">
        <f t="shared" ref="R450" si="1226">F450+80</f>
        <v>2180</v>
      </c>
      <c r="S450" s="279">
        <f t="shared" ref="S450" si="1227">+R450*$X$1</f>
        <v>2180</v>
      </c>
      <c r="T450" s="610">
        <f t="shared" ref="T450" si="1228">F450+65</f>
        <v>2165</v>
      </c>
      <c r="U450" s="279">
        <f t="shared" ref="U450" si="1229">+T450*$X$1</f>
        <v>2165</v>
      </c>
      <c r="V450" s="610">
        <f t="shared" ref="V450" si="1230">F450+56</f>
        <v>2156</v>
      </c>
      <c r="W450" s="279">
        <f t="shared" ref="W450" si="1231">+V450*$X$1</f>
        <v>2156</v>
      </c>
      <c r="X450" s="753"/>
      <c r="Y450" s="754"/>
      <c r="Z450" s="754"/>
      <c r="AA450" s="755"/>
      <c r="AB450" s="398">
        <v>11604</v>
      </c>
    </row>
    <row r="451" spans="1:35" ht="12.6" customHeight="1" x14ac:dyDescent="0.2">
      <c r="A451" s="18"/>
      <c r="B451" s="647" t="s">
        <v>514</v>
      </c>
      <c r="C451" s="712"/>
      <c r="D451" s="712"/>
      <c r="E451" s="712"/>
      <c r="F451" s="319">
        <v>2100</v>
      </c>
      <c r="G451" s="280">
        <f t="shared" si="1209"/>
        <v>2100</v>
      </c>
      <c r="H451" s="272"/>
      <c r="I451" s="332"/>
      <c r="J451" s="441">
        <f>F451+330</f>
        <v>2430</v>
      </c>
      <c r="K451" s="280">
        <f t="shared" ref="K451" si="1232">+J451*$X$1</f>
        <v>2430</v>
      </c>
      <c r="L451" s="441">
        <f>F451+270</f>
        <v>2370</v>
      </c>
      <c r="M451" s="280">
        <f>+L451*$X$1</f>
        <v>2370</v>
      </c>
      <c r="N451" s="441">
        <f>F451+220</f>
        <v>2320</v>
      </c>
      <c r="O451" s="280">
        <f>+N451*$X$1</f>
        <v>2320</v>
      </c>
      <c r="P451" s="441">
        <f>F451+190</f>
        <v>2290</v>
      </c>
      <c r="Q451" s="280">
        <f t="shared" ref="Q451" si="1233">+P451*$X$1</f>
        <v>2290</v>
      </c>
      <c r="R451" s="441">
        <f>F451+170</f>
        <v>2270</v>
      </c>
      <c r="S451" s="280">
        <f>+R451*$X$1</f>
        <v>2270</v>
      </c>
      <c r="T451" s="441">
        <f>F451+140</f>
        <v>2240</v>
      </c>
      <c r="U451" s="280">
        <f t="shared" ref="U451" si="1234">+T451*$X$1</f>
        <v>2240</v>
      </c>
      <c r="V451" s="441">
        <f>F451+130</f>
        <v>2230</v>
      </c>
      <c r="W451" s="280">
        <f>+V451*$X$1</f>
        <v>2230</v>
      </c>
      <c r="X451" s="753"/>
      <c r="Y451" s="754"/>
      <c r="Z451" s="754"/>
      <c r="AA451" s="755"/>
      <c r="AB451" s="398">
        <v>11605</v>
      </c>
    </row>
    <row r="452" spans="1:35" ht="12.6" customHeight="1" x14ac:dyDescent="0.2">
      <c r="A452" s="18"/>
      <c r="B452" s="869" t="s">
        <v>819</v>
      </c>
      <c r="C452" s="871"/>
      <c r="D452" s="871"/>
      <c r="E452" s="871"/>
      <c r="F452" s="320">
        <v>950</v>
      </c>
      <c r="G452" s="279">
        <f t="shared" si="1217"/>
        <v>950</v>
      </c>
      <c r="H452" s="273"/>
      <c r="I452" s="273"/>
      <c r="J452" s="610"/>
      <c r="K452" s="279"/>
      <c r="L452" s="610"/>
      <c r="M452" s="279"/>
      <c r="N452" s="610"/>
      <c r="O452" s="279"/>
      <c r="P452" s="610"/>
      <c r="Q452" s="279"/>
      <c r="R452" s="610"/>
      <c r="S452" s="279"/>
      <c r="T452" s="101"/>
      <c r="U452" s="252"/>
      <c r="V452" s="101"/>
      <c r="W452" s="252"/>
      <c r="X452" s="753"/>
      <c r="Y452" s="754"/>
      <c r="Z452" s="754"/>
      <c r="AA452" s="755"/>
      <c r="AB452" s="401"/>
    </row>
    <row r="453" spans="1:35" ht="12.6" customHeight="1" x14ac:dyDescent="0.2">
      <c r="A453" s="18"/>
      <c r="B453" s="647" t="s">
        <v>251</v>
      </c>
      <c r="C453" s="712"/>
      <c r="D453" s="712"/>
      <c r="E453" s="712"/>
      <c r="F453" s="280">
        <v>1090</v>
      </c>
      <c r="G453" s="280">
        <f t="shared" si="1209"/>
        <v>1090</v>
      </c>
      <c r="H453" s="272"/>
      <c r="I453" s="272"/>
      <c r="J453" s="87">
        <f t="shared" ref="J453" si="1235">F453+220</f>
        <v>1310</v>
      </c>
      <c r="K453" s="280">
        <f t="shared" ref="K453" si="1236">+J453*$X$1</f>
        <v>1310</v>
      </c>
      <c r="L453" s="441">
        <f t="shared" ref="L453" si="1237">F453+150</f>
        <v>1240</v>
      </c>
      <c r="M453" s="280">
        <f t="shared" ref="M453" si="1238">+L453*$X$1</f>
        <v>1240</v>
      </c>
      <c r="N453" s="441">
        <f t="shared" ref="N453" si="1239">F453+110</f>
        <v>1200</v>
      </c>
      <c r="O453" s="280">
        <f t="shared" ref="O453" si="1240">+N453*$X$1</f>
        <v>1200</v>
      </c>
      <c r="P453" s="441">
        <f t="shared" ref="P453" si="1241">F453+100</f>
        <v>1190</v>
      </c>
      <c r="Q453" s="280">
        <f t="shared" ref="Q453" si="1242">+P453*$X$1</f>
        <v>1190</v>
      </c>
      <c r="R453" s="441">
        <f t="shared" ref="R453" si="1243">F453+80</f>
        <v>1170</v>
      </c>
      <c r="S453" s="280">
        <f t="shared" ref="S453" si="1244">+R453*$X$1</f>
        <v>1170</v>
      </c>
      <c r="T453" s="441">
        <f t="shared" ref="T453" si="1245">F453+65</f>
        <v>1155</v>
      </c>
      <c r="U453" s="280">
        <f t="shared" ref="U453" si="1246">+T453*$X$1</f>
        <v>1155</v>
      </c>
      <c r="V453" s="441">
        <f t="shared" ref="V453" si="1247">F453+56</f>
        <v>1146</v>
      </c>
      <c r="W453" s="280">
        <f t="shared" ref="W453" si="1248">+V453*$X$1</f>
        <v>1146</v>
      </c>
      <c r="X453" s="148"/>
      <c r="Y453" s="129"/>
      <c r="Z453" s="129"/>
      <c r="AA453" s="129"/>
      <c r="AB453" s="402"/>
    </row>
    <row r="454" spans="1:35" ht="12.6" customHeight="1" x14ac:dyDescent="0.2">
      <c r="A454" s="102"/>
      <c r="B454" s="749" t="s">
        <v>252</v>
      </c>
      <c r="C454" s="759"/>
      <c r="D454" s="759"/>
      <c r="E454" s="759"/>
      <c r="F454" s="513">
        <v>60</v>
      </c>
      <c r="G454" s="513">
        <f t="shared" si="1209"/>
        <v>60</v>
      </c>
      <c r="H454" s="607"/>
      <c r="I454" s="607"/>
      <c r="J454" s="607"/>
      <c r="K454" s="607"/>
      <c r="L454" s="607"/>
      <c r="M454" s="607"/>
      <c r="N454" s="607"/>
      <c r="O454" s="513"/>
      <c r="P454" s="607"/>
      <c r="Q454" s="513"/>
      <c r="R454" s="607"/>
      <c r="S454" s="513"/>
      <c r="T454" s="607"/>
      <c r="U454" s="513"/>
      <c r="V454" s="607"/>
      <c r="W454" s="513"/>
      <c r="X454" s="148"/>
      <c r="Y454" s="129"/>
      <c r="Z454" s="129"/>
      <c r="AA454" s="129"/>
      <c r="AB454" s="190">
        <v>11612</v>
      </c>
    </row>
    <row r="455" spans="1:35" ht="12.6" customHeight="1" x14ac:dyDescent="0.2">
      <c r="A455" s="18"/>
      <c r="B455" s="661" t="s">
        <v>813</v>
      </c>
      <c r="C455" s="694"/>
      <c r="D455" s="694"/>
      <c r="E455" s="695"/>
      <c r="F455" s="366">
        <f>1.4*X2</f>
        <v>1523.1999999999998</v>
      </c>
      <c r="G455" s="280">
        <f t="shared" si="1209"/>
        <v>1523.1999999999998</v>
      </c>
      <c r="H455" s="441">
        <f t="shared" ref="H455" si="1249">F455+600</f>
        <v>2123.1999999999998</v>
      </c>
      <c r="I455" s="280">
        <f t="shared" ref="I455" si="1250">+H455*$X$1</f>
        <v>2123.1999999999998</v>
      </c>
      <c r="J455" s="441">
        <f t="shared" ref="J455" si="1251">F455+200</f>
        <v>1723.1999999999998</v>
      </c>
      <c r="K455" s="280">
        <f t="shared" ref="K455" si="1252">+J455*$X$1</f>
        <v>1723.1999999999998</v>
      </c>
      <c r="L455" s="441">
        <f>F455+150</f>
        <v>1673.1999999999998</v>
      </c>
      <c r="M455" s="280">
        <f t="shared" ref="M455" si="1253">+L455*$X$1</f>
        <v>1673.1999999999998</v>
      </c>
      <c r="N455" s="441">
        <f>F455+110</f>
        <v>1633.1999999999998</v>
      </c>
      <c r="O455" s="280">
        <f>+N455*$X$1</f>
        <v>1633.1999999999998</v>
      </c>
      <c r="P455" s="441">
        <f>F455+90</f>
        <v>1613.1999999999998</v>
      </c>
      <c r="Q455" s="280">
        <f t="shared" ref="Q455" si="1254">+P455*$X$1</f>
        <v>1613.1999999999998</v>
      </c>
      <c r="R455" s="441">
        <f>F455+70</f>
        <v>1593.1999999999998</v>
      </c>
      <c r="S455" s="280">
        <f>+R455*$X$1</f>
        <v>1593.1999999999998</v>
      </c>
      <c r="T455" s="441">
        <f>F455+56</f>
        <v>1579.1999999999998</v>
      </c>
      <c r="U455" s="280">
        <f t="shared" ref="U455" si="1255">+T455*$X$1</f>
        <v>1579.1999999999998</v>
      </c>
      <c r="V455" s="441">
        <f>F455+49</f>
        <v>1572.1999999999998</v>
      </c>
      <c r="W455" s="280">
        <f t="shared" ref="W455" si="1256">+V455*$X$1</f>
        <v>1572.1999999999998</v>
      </c>
      <c r="X455" s="644"/>
      <c r="Y455" s="679"/>
      <c r="Z455" s="679"/>
      <c r="AA455" s="658"/>
      <c r="AB455" s="190" t="s">
        <v>814</v>
      </c>
    </row>
    <row r="456" spans="1:35" ht="12.6" customHeight="1" x14ac:dyDescent="0.2">
      <c r="A456" s="18"/>
      <c r="B456" s="664" t="s">
        <v>812</v>
      </c>
      <c r="C456" s="680"/>
      <c r="D456" s="680"/>
      <c r="E456" s="681"/>
      <c r="F456" s="365">
        <f>1.29*X2</f>
        <v>1403.52</v>
      </c>
      <c r="G456" s="279">
        <f t="shared" ref="G456" si="1257">+F456*$X$1</f>
        <v>1403.52</v>
      </c>
      <c r="H456" s="610">
        <f t="shared" ref="H456" si="1258">F456+600</f>
        <v>2003.52</v>
      </c>
      <c r="I456" s="279">
        <f t="shared" ref="I456:I458" si="1259">+H456*$X$1</f>
        <v>2003.52</v>
      </c>
      <c r="J456" s="610">
        <f t="shared" ref="J456" si="1260">F456+200</f>
        <v>1603.52</v>
      </c>
      <c r="K456" s="279">
        <f t="shared" ref="K456:K458" si="1261">+J456*$X$1</f>
        <v>1603.52</v>
      </c>
      <c r="L456" s="610">
        <f>F456+150</f>
        <v>1553.52</v>
      </c>
      <c r="M456" s="279">
        <f t="shared" ref="M456:M458" si="1262">+L456*$X$1</f>
        <v>1553.52</v>
      </c>
      <c r="N456" s="610">
        <f>F456+110</f>
        <v>1513.52</v>
      </c>
      <c r="O456" s="279">
        <f>+N456*$X$1</f>
        <v>1513.52</v>
      </c>
      <c r="P456" s="610">
        <f>F456+90</f>
        <v>1493.52</v>
      </c>
      <c r="Q456" s="279">
        <f t="shared" ref="Q456:Q458" si="1263">+P456*$X$1</f>
        <v>1493.52</v>
      </c>
      <c r="R456" s="610">
        <f>F456+70</f>
        <v>1473.52</v>
      </c>
      <c r="S456" s="279">
        <f>+R456*$X$1</f>
        <v>1473.52</v>
      </c>
      <c r="T456" s="610">
        <f>F456+56</f>
        <v>1459.52</v>
      </c>
      <c r="U456" s="279">
        <f t="shared" ref="U456:U458" si="1264">+T456*$X$1</f>
        <v>1459.52</v>
      </c>
      <c r="V456" s="610">
        <f>F456+49</f>
        <v>1452.52</v>
      </c>
      <c r="W456" s="279">
        <f t="shared" ref="W456:W458" si="1265">+V456*$X$1</f>
        <v>1452.52</v>
      </c>
      <c r="X456" s="644"/>
      <c r="Y456" s="679"/>
      <c r="Z456" s="679"/>
      <c r="AA456" s="658"/>
      <c r="AB456" s="190" t="s">
        <v>500</v>
      </c>
    </row>
    <row r="457" spans="1:35" ht="12.6" customHeight="1" x14ac:dyDescent="0.2">
      <c r="A457" s="102"/>
      <c r="B457" s="667" t="s">
        <v>888</v>
      </c>
      <c r="C457" s="668"/>
      <c r="D457" s="668"/>
      <c r="E457" s="668"/>
      <c r="F457" s="366">
        <f>1.882*X2</f>
        <v>2047.616</v>
      </c>
      <c r="G457" s="280">
        <f>+F457*$X$1</f>
        <v>2047.616</v>
      </c>
      <c r="H457" s="441">
        <f>F457+650</f>
        <v>2697.616</v>
      </c>
      <c r="I457" s="280">
        <f t="shared" si="1259"/>
        <v>2697.616</v>
      </c>
      <c r="J457" s="441">
        <f>F457+230</f>
        <v>2277.616</v>
      </c>
      <c r="K457" s="280">
        <f t="shared" si="1261"/>
        <v>2277.616</v>
      </c>
      <c r="L457" s="441">
        <f>F457+190</f>
        <v>2237.616</v>
      </c>
      <c r="M457" s="280">
        <f t="shared" si="1262"/>
        <v>2237.616</v>
      </c>
      <c r="N457" s="441">
        <f>F457+150</f>
        <v>2197.616</v>
      </c>
      <c r="O457" s="280">
        <f t="shared" ref="O457:O458" si="1266">+N457*$X$1</f>
        <v>2197.616</v>
      </c>
      <c r="P457" s="441">
        <f>F457+130</f>
        <v>2177.616</v>
      </c>
      <c r="Q457" s="280">
        <f t="shared" si="1263"/>
        <v>2177.616</v>
      </c>
      <c r="R457" s="441">
        <f>F457+110</f>
        <v>2157.616</v>
      </c>
      <c r="S457" s="280">
        <f t="shared" ref="S457:S458" si="1267">+R457*$X$1</f>
        <v>2157.616</v>
      </c>
      <c r="T457" s="441">
        <f>F457+90</f>
        <v>2137.616</v>
      </c>
      <c r="U457" s="280">
        <f t="shared" si="1264"/>
        <v>2137.616</v>
      </c>
      <c r="V457" s="441">
        <f>F457+70</f>
        <v>2117.616</v>
      </c>
      <c r="W457" s="280">
        <f t="shared" si="1265"/>
        <v>2117.616</v>
      </c>
      <c r="X457" s="644"/>
      <c r="Y457" s="644"/>
      <c r="Z457" s="644"/>
      <c r="AA457" s="644"/>
      <c r="AB457" s="386" t="s">
        <v>889</v>
      </c>
      <c r="AC457" s="64"/>
    </row>
    <row r="458" spans="1:35" ht="12.6" customHeight="1" x14ac:dyDescent="0.2">
      <c r="A458" s="102"/>
      <c r="B458" s="705" t="s">
        <v>642</v>
      </c>
      <c r="C458" s="706"/>
      <c r="D458" s="706"/>
      <c r="E458" s="706"/>
      <c r="F458" s="365">
        <f>4.1*X2</f>
        <v>4460.7999999999993</v>
      </c>
      <c r="G458" s="279">
        <f>+F458*$X$1</f>
        <v>4460.7999999999993</v>
      </c>
      <c r="H458" s="610">
        <f>F458+650</f>
        <v>5110.7999999999993</v>
      </c>
      <c r="I458" s="279">
        <f t="shared" si="1259"/>
        <v>5110.7999999999993</v>
      </c>
      <c r="J458" s="610">
        <f>F458+230</f>
        <v>4690.7999999999993</v>
      </c>
      <c r="K458" s="279">
        <f t="shared" si="1261"/>
        <v>4690.7999999999993</v>
      </c>
      <c r="L458" s="610">
        <f>F458+190</f>
        <v>4650.7999999999993</v>
      </c>
      <c r="M458" s="279">
        <f t="shared" si="1262"/>
        <v>4650.7999999999993</v>
      </c>
      <c r="N458" s="610">
        <f>F458+150</f>
        <v>4610.7999999999993</v>
      </c>
      <c r="O458" s="279">
        <f t="shared" si="1266"/>
        <v>4610.7999999999993</v>
      </c>
      <c r="P458" s="610">
        <f>F458+130</f>
        <v>4590.7999999999993</v>
      </c>
      <c r="Q458" s="279">
        <f t="shared" si="1263"/>
        <v>4590.7999999999993</v>
      </c>
      <c r="R458" s="610">
        <f>F458+110</f>
        <v>4570.7999999999993</v>
      </c>
      <c r="S458" s="279">
        <f t="shared" si="1267"/>
        <v>4570.7999999999993</v>
      </c>
      <c r="T458" s="610">
        <f>F458+90</f>
        <v>4550.7999999999993</v>
      </c>
      <c r="U458" s="279">
        <f t="shared" si="1264"/>
        <v>4550.7999999999993</v>
      </c>
      <c r="V458" s="610">
        <f>F458+70</f>
        <v>4530.7999999999993</v>
      </c>
      <c r="W458" s="279">
        <f t="shared" si="1265"/>
        <v>4530.7999999999993</v>
      </c>
      <c r="X458" s="644"/>
      <c r="Y458" s="644"/>
      <c r="Z458" s="644"/>
      <c r="AA458" s="644"/>
      <c r="AB458" s="386" t="s">
        <v>641</v>
      </c>
      <c r="AC458" s="64"/>
    </row>
    <row r="459" spans="1:35" ht="12.6" customHeight="1" x14ac:dyDescent="0.2">
      <c r="A459" s="102"/>
      <c r="B459" s="667" t="s">
        <v>634</v>
      </c>
      <c r="C459" s="668"/>
      <c r="D459" s="668"/>
      <c r="E459" s="668"/>
      <c r="F459" s="366">
        <f>4.836*X2</f>
        <v>5261.5680000000002</v>
      </c>
      <c r="G459" s="280">
        <f t="shared" ref="G459:G461" si="1268">+F459*$X$1</f>
        <v>5261.5680000000002</v>
      </c>
      <c r="H459" s="441">
        <f>F459+650</f>
        <v>5911.5680000000002</v>
      </c>
      <c r="I459" s="280">
        <f t="shared" ref="I459:I461" si="1269">+H459*$X$1</f>
        <v>5911.5680000000002</v>
      </c>
      <c r="J459" s="441">
        <f>F459+230</f>
        <v>5491.5680000000002</v>
      </c>
      <c r="K459" s="280">
        <f t="shared" ref="K459:K461" si="1270">+J459*$X$1</f>
        <v>5491.5680000000002</v>
      </c>
      <c r="L459" s="441">
        <f>F459+190</f>
        <v>5451.5680000000002</v>
      </c>
      <c r="M459" s="280">
        <f t="shared" ref="M459:M461" si="1271">+L459*$X$1</f>
        <v>5451.5680000000002</v>
      </c>
      <c r="N459" s="441">
        <f>F459+150</f>
        <v>5411.5680000000002</v>
      </c>
      <c r="O459" s="280">
        <f t="shared" ref="O459" si="1272">+N459*$X$1</f>
        <v>5411.5680000000002</v>
      </c>
      <c r="P459" s="441">
        <f>F459+130</f>
        <v>5391.5680000000002</v>
      </c>
      <c r="Q459" s="280">
        <f t="shared" ref="Q459:Q461" si="1273">+P459*$X$1</f>
        <v>5391.5680000000002</v>
      </c>
      <c r="R459" s="441">
        <f>F459+110</f>
        <v>5371.5680000000002</v>
      </c>
      <c r="S459" s="280">
        <f t="shared" ref="S459" si="1274">+R459*$X$1</f>
        <v>5371.5680000000002</v>
      </c>
      <c r="T459" s="441">
        <f>F459+90</f>
        <v>5351.5680000000002</v>
      </c>
      <c r="U459" s="280">
        <f t="shared" ref="U459:U461" si="1275">+T459*$X$1</f>
        <v>5351.5680000000002</v>
      </c>
      <c r="V459" s="441">
        <f>F459+70</f>
        <v>5331.5680000000002</v>
      </c>
      <c r="W459" s="280">
        <f t="shared" ref="W459:W461" si="1276">+V459*$X$1</f>
        <v>5331.5680000000002</v>
      </c>
      <c r="X459" s="644"/>
      <c r="Y459" s="644"/>
      <c r="Z459" s="644"/>
      <c r="AA459" s="644"/>
      <c r="AB459" s="386" t="s">
        <v>633</v>
      </c>
      <c r="AC459" s="64"/>
    </row>
    <row r="460" spans="1:35" ht="12.6" customHeight="1" x14ac:dyDescent="0.2">
      <c r="A460" s="102"/>
      <c r="B460" s="705" t="s">
        <v>637</v>
      </c>
      <c r="C460" s="706"/>
      <c r="D460" s="706"/>
      <c r="E460" s="706"/>
      <c r="F460" s="365">
        <f>4.07*X2</f>
        <v>4428.16</v>
      </c>
      <c r="G460" s="279">
        <f t="shared" si="1268"/>
        <v>4428.16</v>
      </c>
      <c r="H460" s="610">
        <f t="shared" ref="H460" si="1277">F460+600</f>
        <v>5028.16</v>
      </c>
      <c r="I460" s="279">
        <f t="shared" ref="I460" si="1278">+H460*$X$1</f>
        <v>5028.16</v>
      </c>
      <c r="J460" s="610">
        <f t="shared" ref="J460" si="1279">F460+200</f>
        <v>4628.16</v>
      </c>
      <c r="K460" s="279">
        <f t="shared" ref="K460" si="1280">+J460*$X$1</f>
        <v>4628.16</v>
      </c>
      <c r="L460" s="610">
        <f>F460+150</f>
        <v>4578.16</v>
      </c>
      <c r="M460" s="279">
        <f t="shared" ref="M460" si="1281">+L460*$X$1</f>
        <v>4578.16</v>
      </c>
      <c r="N460" s="610">
        <f>F460+110</f>
        <v>4538.16</v>
      </c>
      <c r="O460" s="279">
        <f>+N460*$X$1</f>
        <v>4538.16</v>
      </c>
      <c r="P460" s="610">
        <f>F460+90</f>
        <v>4518.16</v>
      </c>
      <c r="Q460" s="279">
        <f t="shared" ref="Q460" si="1282">+P460*$X$1</f>
        <v>4518.16</v>
      </c>
      <c r="R460" s="610">
        <f>F460+70</f>
        <v>4498.16</v>
      </c>
      <c r="S460" s="279">
        <f>+R460*$X$1</f>
        <v>4498.16</v>
      </c>
      <c r="T460" s="610">
        <f>F460+56</f>
        <v>4484.16</v>
      </c>
      <c r="U460" s="279">
        <f t="shared" ref="U460" si="1283">+T460*$X$1</f>
        <v>4484.16</v>
      </c>
      <c r="V460" s="610">
        <f>F460+49</f>
        <v>4477.16</v>
      </c>
      <c r="W460" s="279">
        <f t="shared" ref="W460" si="1284">+V460*$X$1</f>
        <v>4477.16</v>
      </c>
      <c r="X460" s="644"/>
      <c r="Y460" s="644"/>
      <c r="Z460" s="644"/>
      <c r="AA460" s="644"/>
      <c r="AB460" s="386" t="s">
        <v>635</v>
      </c>
      <c r="AC460" s="64"/>
    </row>
    <row r="461" spans="1:35" ht="12.6" customHeight="1" x14ac:dyDescent="0.2">
      <c r="A461" s="102"/>
      <c r="B461" s="667" t="s">
        <v>638</v>
      </c>
      <c r="C461" s="668"/>
      <c r="D461" s="668"/>
      <c r="E461" s="668"/>
      <c r="F461" s="366">
        <f>4.07*X2</f>
        <v>4428.16</v>
      </c>
      <c r="G461" s="280">
        <f t="shared" si="1268"/>
        <v>4428.16</v>
      </c>
      <c r="H461" s="441">
        <f t="shared" ref="H461" si="1285">F461+600</f>
        <v>5028.16</v>
      </c>
      <c r="I461" s="280">
        <f t="shared" si="1269"/>
        <v>5028.16</v>
      </c>
      <c r="J461" s="441">
        <f t="shared" ref="J461" si="1286">F461+200</f>
        <v>4628.16</v>
      </c>
      <c r="K461" s="280">
        <f t="shared" si="1270"/>
        <v>4628.16</v>
      </c>
      <c r="L461" s="441">
        <f>F461+150</f>
        <v>4578.16</v>
      </c>
      <c r="M461" s="280">
        <f t="shared" si="1271"/>
        <v>4578.16</v>
      </c>
      <c r="N461" s="441">
        <f>F461+110</f>
        <v>4538.16</v>
      </c>
      <c r="O461" s="280">
        <f>+N461*$X$1</f>
        <v>4538.16</v>
      </c>
      <c r="P461" s="441">
        <f>F461+90</f>
        <v>4518.16</v>
      </c>
      <c r="Q461" s="280">
        <f t="shared" si="1273"/>
        <v>4518.16</v>
      </c>
      <c r="R461" s="441">
        <f>F461+70</f>
        <v>4498.16</v>
      </c>
      <c r="S461" s="280">
        <f>+R461*$X$1</f>
        <v>4498.16</v>
      </c>
      <c r="T461" s="441">
        <f>F461+56</f>
        <v>4484.16</v>
      </c>
      <c r="U461" s="280">
        <f t="shared" si="1275"/>
        <v>4484.16</v>
      </c>
      <c r="V461" s="441">
        <f>F461+49</f>
        <v>4477.16</v>
      </c>
      <c r="W461" s="280">
        <f t="shared" si="1276"/>
        <v>4477.16</v>
      </c>
      <c r="X461" s="644"/>
      <c r="Y461" s="644"/>
      <c r="Z461" s="644"/>
      <c r="AA461" s="644"/>
      <c r="AB461" s="386" t="s">
        <v>636</v>
      </c>
      <c r="AC461" s="64"/>
    </row>
    <row r="462" spans="1:35" ht="12.6" customHeight="1" x14ac:dyDescent="0.2">
      <c r="A462" s="102"/>
      <c r="B462" s="642" t="s">
        <v>971</v>
      </c>
      <c r="C462" s="643"/>
      <c r="D462" s="643"/>
      <c r="E462" s="643"/>
      <c r="F462" s="365">
        <v>1050</v>
      </c>
      <c r="G462" s="279">
        <f t="shared" ref="G462" si="1287">+F462*$X$1</f>
        <v>1050</v>
      </c>
      <c r="H462" s="610"/>
      <c r="I462" s="279"/>
      <c r="J462" s="610"/>
      <c r="K462" s="279"/>
      <c r="L462" s="610">
        <f>F462+190</f>
        <v>1240</v>
      </c>
      <c r="M462" s="279">
        <f t="shared" ref="M462:M465" si="1288">+L462*$X$1</f>
        <v>1240</v>
      </c>
      <c r="N462" s="610">
        <f>F462+150</f>
        <v>1200</v>
      </c>
      <c r="O462" s="279">
        <f t="shared" ref="O462:O465" si="1289">+N462*$X$1</f>
        <v>1200</v>
      </c>
      <c r="P462" s="610">
        <f>F462+130</f>
        <v>1180</v>
      </c>
      <c r="Q462" s="279">
        <f t="shared" ref="Q462:Q465" si="1290">+P462*$X$1</f>
        <v>1180</v>
      </c>
      <c r="R462" s="610">
        <f>F462+110</f>
        <v>1160</v>
      </c>
      <c r="S462" s="279">
        <f t="shared" ref="S462:S465" si="1291">+R462*$X$1</f>
        <v>1160</v>
      </c>
      <c r="T462" s="610">
        <f>F462+90</f>
        <v>1140</v>
      </c>
      <c r="U462" s="279">
        <f t="shared" ref="U462:U465" si="1292">+T462*$X$1</f>
        <v>1140</v>
      </c>
      <c r="V462" s="610">
        <f>F462+70</f>
        <v>1120</v>
      </c>
      <c r="W462" s="279">
        <f t="shared" ref="W462:W465" si="1293">+V462*$X$1</f>
        <v>1120</v>
      </c>
      <c r="X462" s="644"/>
      <c r="Y462" s="644"/>
      <c r="Z462" s="644"/>
      <c r="AA462" s="644"/>
      <c r="AB462" s="386" t="s">
        <v>985</v>
      </c>
      <c r="AC462" s="64"/>
    </row>
    <row r="463" spans="1:35" ht="12.6" customHeight="1" x14ac:dyDescent="0.2">
      <c r="A463" s="102"/>
      <c r="B463" s="642" t="s">
        <v>972</v>
      </c>
      <c r="C463" s="643"/>
      <c r="D463" s="643"/>
      <c r="E463" s="643"/>
      <c r="F463" s="366">
        <v>1250</v>
      </c>
      <c r="G463" s="280">
        <f t="shared" ref="G463" si="1294">+F463*$X$1</f>
        <v>1250</v>
      </c>
      <c r="H463" s="441"/>
      <c r="I463" s="280"/>
      <c r="J463" s="441"/>
      <c r="K463" s="280"/>
      <c r="L463" s="441">
        <f>F463+190</f>
        <v>1440</v>
      </c>
      <c r="M463" s="280">
        <f t="shared" si="1288"/>
        <v>1440</v>
      </c>
      <c r="N463" s="441">
        <f>F463+150</f>
        <v>1400</v>
      </c>
      <c r="O463" s="280">
        <f t="shared" si="1289"/>
        <v>1400</v>
      </c>
      <c r="P463" s="441">
        <f>F463+130</f>
        <v>1380</v>
      </c>
      <c r="Q463" s="280">
        <f t="shared" si="1290"/>
        <v>1380</v>
      </c>
      <c r="R463" s="441">
        <f>F463+110</f>
        <v>1360</v>
      </c>
      <c r="S463" s="280">
        <f t="shared" si="1291"/>
        <v>1360</v>
      </c>
      <c r="T463" s="441">
        <f>F463+90</f>
        <v>1340</v>
      </c>
      <c r="U463" s="280">
        <f t="shared" si="1292"/>
        <v>1340</v>
      </c>
      <c r="V463" s="441">
        <f>F463+70</f>
        <v>1320</v>
      </c>
      <c r="W463" s="280">
        <f t="shared" si="1293"/>
        <v>1320</v>
      </c>
      <c r="X463" s="644"/>
      <c r="Y463" s="644"/>
      <c r="Z463" s="644"/>
      <c r="AA463" s="644"/>
      <c r="AB463" s="386" t="s">
        <v>986</v>
      </c>
      <c r="AC463" s="64"/>
    </row>
    <row r="464" spans="1:35" ht="12.6" customHeight="1" x14ac:dyDescent="0.2">
      <c r="A464" s="102"/>
      <c r="B464" s="642" t="s">
        <v>973</v>
      </c>
      <c r="C464" s="643"/>
      <c r="D464" s="643"/>
      <c r="E464" s="643"/>
      <c r="F464" s="365">
        <v>1250</v>
      </c>
      <c r="G464" s="279">
        <f t="shared" ref="G464" si="1295">+F464*$X$1</f>
        <v>1250</v>
      </c>
      <c r="H464" s="610"/>
      <c r="I464" s="279"/>
      <c r="J464" s="610"/>
      <c r="K464" s="279"/>
      <c r="L464" s="610">
        <f>F464+190</f>
        <v>1440</v>
      </c>
      <c r="M464" s="279">
        <f t="shared" si="1288"/>
        <v>1440</v>
      </c>
      <c r="N464" s="610">
        <f>F464+150</f>
        <v>1400</v>
      </c>
      <c r="O464" s="279">
        <f t="shared" si="1289"/>
        <v>1400</v>
      </c>
      <c r="P464" s="610">
        <f>F464+130</f>
        <v>1380</v>
      </c>
      <c r="Q464" s="279">
        <f t="shared" si="1290"/>
        <v>1380</v>
      </c>
      <c r="R464" s="610">
        <f>F464+110</f>
        <v>1360</v>
      </c>
      <c r="S464" s="279">
        <f t="shared" si="1291"/>
        <v>1360</v>
      </c>
      <c r="T464" s="610">
        <f>F464+90</f>
        <v>1340</v>
      </c>
      <c r="U464" s="279">
        <f t="shared" si="1292"/>
        <v>1340</v>
      </c>
      <c r="V464" s="610">
        <f>F464+70</f>
        <v>1320</v>
      </c>
      <c r="W464" s="279">
        <f t="shared" si="1293"/>
        <v>1320</v>
      </c>
      <c r="X464" s="644"/>
      <c r="Y464" s="644"/>
      <c r="Z464" s="644"/>
      <c r="AA464" s="644"/>
      <c r="AB464" s="386" t="s">
        <v>987</v>
      </c>
      <c r="AC464" s="64"/>
    </row>
    <row r="465" spans="1:34" ht="12.6" customHeight="1" x14ac:dyDescent="0.2">
      <c r="A465" s="102"/>
      <c r="B465" s="642" t="s">
        <v>974</v>
      </c>
      <c r="C465" s="643"/>
      <c r="D465" s="643"/>
      <c r="E465" s="643"/>
      <c r="F465" s="366">
        <v>1250</v>
      </c>
      <c r="G465" s="280">
        <f t="shared" ref="G465" si="1296">+F465*$X$1</f>
        <v>1250</v>
      </c>
      <c r="H465" s="441"/>
      <c r="I465" s="280"/>
      <c r="J465" s="441"/>
      <c r="K465" s="280"/>
      <c r="L465" s="441">
        <f>F465+190</f>
        <v>1440</v>
      </c>
      <c r="M465" s="280">
        <f t="shared" si="1288"/>
        <v>1440</v>
      </c>
      <c r="N465" s="441">
        <f>F465+150</f>
        <v>1400</v>
      </c>
      <c r="O465" s="280">
        <f t="shared" si="1289"/>
        <v>1400</v>
      </c>
      <c r="P465" s="441">
        <f>F465+130</f>
        <v>1380</v>
      </c>
      <c r="Q465" s="280">
        <f t="shared" si="1290"/>
        <v>1380</v>
      </c>
      <c r="R465" s="441">
        <f>F465+110</f>
        <v>1360</v>
      </c>
      <c r="S465" s="280">
        <f t="shared" si="1291"/>
        <v>1360</v>
      </c>
      <c r="T465" s="441">
        <f>F465+90</f>
        <v>1340</v>
      </c>
      <c r="U465" s="280">
        <f t="shared" si="1292"/>
        <v>1340</v>
      </c>
      <c r="V465" s="441">
        <f>F465+70</f>
        <v>1320</v>
      </c>
      <c r="W465" s="280">
        <f t="shared" si="1293"/>
        <v>1320</v>
      </c>
      <c r="X465" s="644"/>
      <c r="Y465" s="644"/>
      <c r="Z465" s="644"/>
      <c r="AA465" s="644"/>
      <c r="AB465" s="386"/>
      <c r="AC465" s="64"/>
    </row>
    <row r="466" spans="1:34" ht="12.6" customHeight="1" x14ac:dyDescent="0.2">
      <c r="A466" s="102"/>
      <c r="B466" s="705" t="s">
        <v>886</v>
      </c>
      <c r="C466" s="706"/>
      <c r="D466" s="706"/>
      <c r="E466" s="706"/>
      <c r="F466" s="365">
        <f>3.7*X2</f>
        <v>4025.6000000000004</v>
      </c>
      <c r="G466" s="279">
        <f t="shared" ref="G466" si="1297">+F466*$X$1</f>
        <v>4025.6000000000004</v>
      </c>
      <c r="H466" s="610"/>
      <c r="I466" s="279"/>
      <c r="J466" s="610">
        <f>F466+300</f>
        <v>4325.6000000000004</v>
      </c>
      <c r="K466" s="279">
        <f t="shared" ref="K466" si="1298">+J466*$X$1</f>
        <v>4325.6000000000004</v>
      </c>
      <c r="L466" s="610">
        <f>F466+240</f>
        <v>4265.6000000000004</v>
      </c>
      <c r="M466" s="279">
        <f t="shared" ref="M466" si="1299">+L466*$X$1</f>
        <v>4265.6000000000004</v>
      </c>
      <c r="N466" s="610">
        <f>F466+200</f>
        <v>4225.6000000000004</v>
      </c>
      <c r="O466" s="279">
        <f t="shared" ref="O466" si="1300">+N466*$X$1</f>
        <v>4225.6000000000004</v>
      </c>
      <c r="P466" s="610">
        <f>F466+160</f>
        <v>4185.6000000000004</v>
      </c>
      <c r="Q466" s="279">
        <f t="shared" ref="Q466" si="1301">+P466*$X$1</f>
        <v>4185.6000000000004</v>
      </c>
      <c r="R466" s="610">
        <f>F466+140</f>
        <v>4165.6000000000004</v>
      </c>
      <c r="S466" s="279">
        <f t="shared" ref="S466" si="1302">+R466*$X$1</f>
        <v>4165.6000000000004</v>
      </c>
      <c r="T466" s="610">
        <f>F466+110</f>
        <v>4135.6000000000004</v>
      </c>
      <c r="U466" s="279">
        <f t="shared" ref="U466" si="1303">+T466*$X$1</f>
        <v>4135.6000000000004</v>
      </c>
      <c r="V466" s="610">
        <f>F466+90</f>
        <v>4115.6000000000004</v>
      </c>
      <c r="W466" s="279">
        <f t="shared" ref="W466" si="1304">+V466*$X$1</f>
        <v>4115.6000000000004</v>
      </c>
      <c r="X466" s="644"/>
      <c r="Y466" s="644"/>
      <c r="Z466" s="644"/>
      <c r="AA466" s="644"/>
      <c r="AB466" s="386" t="s">
        <v>887</v>
      </c>
      <c r="AC466" s="64"/>
    </row>
    <row r="467" spans="1:34" ht="12.6" customHeight="1" x14ac:dyDescent="0.2">
      <c r="A467" s="102"/>
      <c r="B467" s="642" t="s">
        <v>905</v>
      </c>
      <c r="C467" s="643"/>
      <c r="D467" s="643"/>
      <c r="E467" s="643"/>
      <c r="F467" s="366">
        <v>22</v>
      </c>
      <c r="G467" s="280">
        <f t="shared" ref="G467" si="1305">+F467*$X$1</f>
        <v>22</v>
      </c>
      <c r="H467" s="441"/>
      <c r="I467" s="280"/>
      <c r="J467" s="441"/>
      <c r="K467" s="280"/>
      <c r="L467" s="441"/>
      <c r="M467" s="280"/>
      <c r="N467" s="441"/>
      <c r="O467" s="280"/>
      <c r="P467" s="441"/>
      <c r="Q467" s="280"/>
      <c r="R467" s="441"/>
      <c r="S467" s="280"/>
      <c r="T467" s="441"/>
      <c r="U467" s="280"/>
      <c r="V467" s="441"/>
      <c r="W467" s="280"/>
      <c r="X467" s="644"/>
      <c r="Y467" s="644"/>
      <c r="Z467" s="644"/>
      <c r="AA467" s="644"/>
      <c r="AB467" s="386" t="s">
        <v>906</v>
      </c>
      <c r="AC467" s="64"/>
    </row>
    <row r="468" spans="1:34" ht="12.6" customHeight="1" x14ac:dyDescent="0.2">
      <c r="A468" s="102"/>
      <c r="B468" s="642" t="s">
        <v>904</v>
      </c>
      <c r="C468" s="643"/>
      <c r="D468" s="643"/>
      <c r="E468" s="643"/>
      <c r="F468" s="365">
        <v>49</v>
      </c>
      <c r="G468" s="279">
        <f t="shared" ref="G468" si="1306">+F468*$X$1</f>
        <v>49</v>
      </c>
      <c r="H468" s="610"/>
      <c r="I468" s="279"/>
      <c r="J468" s="610"/>
      <c r="K468" s="279"/>
      <c r="L468" s="610"/>
      <c r="M468" s="279"/>
      <c r="N468" s="610"/>
      <c r="O468" s="279"/>
      <c r="P468" s="610"/>
      <c r="Q468" s="279"/>
      <c r="R468" s="610"/>
      <c r="S468" s="279"/>
      <c r="T468" s="610"/>
      <c r="U468" s="279"/>
      <c r="V468" s="610"/>
      <c r="W468" s="279"/>
      <c r="X468" s="644"/>
      <c r="Y468" s="644"/>
      <c r="Z468" s="644"/>
      <c r="AA468" s="644"/>
      <c r="AB468" s="386" t="s">
        <v>907</v>
      </c>
      <c r="AC468" s="64"/>
    </row>
    <row r="469" spans="1:34" ht="12.6" customHeight="1" x14ac:dyDescent="0.2">
      <c r="A469" s="18"/>
      <c r="B469" s="661" t="s">
        <v>333</v>
      </c>
      <c r="C469" s="694"/>
      <c r="D469" s="694"/>
      <c r="E469" s="695"/>
      <c r="F469" s="280">
        <v>1225</v>
      </c>
      <c r="G469" s="280">
        <f t="shared" ref="G469:G473" si="1307">+F469*$X$1</f>
        <v>1225</v>
      </c>
      <c r="H469" s="256"/>
      <c r="I469" s="769" t="s">
        <v>487</v>
      </c>
      <c r="J469" s="770"/>
      <c r="K469" s="770"/>
      <c r="L469" s="770"/>
      <c r="M469" s="771"/>
      <c r="N469" s="441">
        <v>1750</v>
      </c>
      <c r="O469" s="280">
        <f>+N469*$X$1</f>
        <v>1750</v>
      </c>
      <c r="P469" s="103">
        <v>1745</v>
      </c>
      <c r="Q469" s="280">
        <f t="shared" ref="Q469" si="1308">+P469*$X$1</f>
        <v>1745</v>
      </c>
      <c r="R469" s="441">
        <v>1571</v>
      </c>
      <c r="S469" s="280">
        <f>+R469*$X$1</f>
        <v>1571</v>
      </c>
      <c r="T469" s="441">
        <v>1462</v>
      </c>
      <c r="U469" s="280">
        <f>+T469*$X$1</f>
        <v>1462</v>
      </c>
      <c r="V469" s="441">
        <v>1419</v>
      </c>
      <c r="W469" s="280">
        <f t="shared" ref="W469" si="1309">+V469*$X$1</f>
        <v>1419</v>
      </c>
      <c r="X469" s="132"/>
      <c r="Y469" s="132"/>
      <c r="Z469" s="132"/>
      <c r="AA469" s="135"/>
      <c r="AB469" s="29"/>
    </row>
    <row r="470" spans="1:34" ht="12.6" customHeight="1" x14ac:dyDescent="0.2">
      <c r="A470" s="18"/>
      <c r="B470" s="664" t="s">
        <v>334</v>
      </c>
      <c r="C470" s="680"/>
      <c r="D470" s="680"/>
      <c r="E470" s="681"/>
      <c r="F470" s="279">
        <v>1225</v>
      </c>
      <c r="G470" s="279">
        <f t="shared" si="1307"/>
        <v>1225</v>
      </c>
      <c r="H470" s="256"/>
      <c r="I470" s="772"/>
      <c r="J470" s="773"/>
      <c r="K470" s="773"/>
      <c r="L470" s="773"/>
      <c r="M470" s="774"/>
      <c r="N470" s="510">
        <v>1750</v>
      </c>
      <c r="O470" s="279">
        <f>+N470*$X$1</f>
        <v>1750</v>
      </c>
      <c r="P470" s="99">
        <v>1745</v>
      </c>
      <c r="Q470" s="279">
        <f t="shared" ref="Q470:Q472" si="1310">+P470*$X$1</f>
        <v>1745</v>
      </c>
      <c r="R470" s="510">
        <v>1571</v>
      </c>
      <c r="S470" s="279">
        <f>+R470*$X$1</f>
        <v>1571</v>
      </c>
      <c r="T470" s="510">
        <v>1462</v>
      </c>
      <c r="U470" s="279">
        <f>+T470*$X$1</f>
        <v>1462</v>
      </c>
      <c r="V470" s="510">
        <v>1419</v>
      </c>
      <c r="W470" s="279">
        <f t="shared" ref="W470:W472" si="1311">+V470*$X$1</f>
        <v>1419</v>
      </c>
      <c r="X470" s="132"/>
      <c r="Y470" s="132"/>
      <c r="Z470" s="132"/>
      <c r="AA470" s="135"/>
      <c r="AB470" s="190"/>
    </row>
    <row r="471" spans="1:34" ht="12.6" customHeight="1" x14ac:dyDescent="0.2">
      <c r="A471" s="18"/>
      <c r="B471" s="661" t="s">
        <v>335</v>
      </c>
      <c r="C471" s="694"/>
      <c r="D471" s="694"/>
      <c r="E471" s="695"/>
      <c r="F471" s="280">
        <v>1225</v>
      </c>
      <c r="G471" s="280">
        <f t="shared" si="1307"/>
        <v>1225</v>
      </c>
      <c r="H471" s="17"/>
      <c r="I471" s="775"/>
      <c r="J471" s="776"/>
      <c r="K471" s="776"/>
      <c r="L471" s="776"/>
      <c r="M471" s="777"/>
      <c r="N471" s="441">
        <v>1750</v>
      </c>
      <c r="O471" s="280">
        <f>+N471*$X$1</f>
        <v>1750</v>
      </c>
      <c r="P471" s="103">
        <v>1745</v>
      </c>
      <c r="Q471" s="280">
        <f t="shared" si="1310"/>
        <v>1745</v>
      </c>
      <c r="R471" s="441">
        <v>1571</v>
      </c>
      <c r="S471" s="280">
        <f>+R471*$X$1</f>
        <v>1571</v>
      </c>
      <c r="T471" s="441">
        <v>1462</v>
      </c>
      <c r="U471" s="280">
        <f>+T471*$X$1</f>
        <v>1462</v>
      </c>
      <c r="V471" s="441">
        <v>1419</v>
      </c>
      <c r="W471" s="280">
        <f t="shared" si="1311"/>
        <v>1419</v>
      </c>
      <c r="X471" s="132"/>
      <c r="Y471" s="132"/>
      <c r="Z471" s="132"/>
      <c r="AA471" s="135"/>
      <c r="AB471" s="190"/>
      <c r="AG471" s="225"/>
    </row>
    <row r="472" spans="1:34" ht="12.6" customHeight="1" x14ac:dyDescent="0.2">
      <c r="A472" s="18"/>
      <c r="B472" s="869" t="s">
        <v>253</v>
      </c>
      <c r="C472" s="870"/>
      <c r="D472" s="870"/>
      <c r="E472" s="870"/>
      <c r="F472" s="365">
        <f>3.11*X2</f>
        <v>3383.68</v>
      </c>
      <c r="G472" s="279">
        <f t="shared" si="1307"/>
        <v>3383.68</v>
      </c>
      <c r="H472" s="273"/>
      <c r="I472" s="273"/>
      <c r="J472" s="70">
        <f t="shared" ref="J472" si="1312">F472+220</f>
        <v>3603.68</v>
      </c>
      <c r="K472" s="279">
        <f t="shared" ref="K472" si="1313">+J472*$X$1</f>
        <v>3603.68</v>
      </c>
      <c r="L472" s="610">
        <f t="shared" ref="L472" si="1314">F472+150</f>
        <v>3533.68</v>
      </c>
      <c r="M472" s="279">
        <f t="shared" ref="M472" si="1315">+L472*$X$1</f>
        <v>3533.68</v>
      </c>
      <c r="N472" s="610">
        <f t="shared" ref="N472" si="1316">F472+110</f>
        <v>3493.68</v>
      </c>
      <c r="O472" s="279">
        <f t="shared" ref="O472" si="1317">+N472*$X$1</f>
        <v>3493.68</v>
      </c>
      <c r="P472" s="610">
        <f t="shared" ref="P472" si="1318">F472+100</f>
        <v>3483.68</v>
      </c>
      <c r="Q472" s="279">
        <f t="shared" si="1310"/>
        <v>3483.68</v>
      </c>
      <c r="R472" s="610">
        <f t="shared" ref="R472" si="1319">F472+80</f>
        <v>3463.68</v>
      </c>
      <c r="S472" s="279">
        <f t="shared" ref="S472" si="1320">+R472*$X$1</f>
        <v>3463.68</v>
      </c>
      <c r="T472" s="610">
        <f t="shared" ref="T472" si="1321">F472+65</f>
        <v>3448.68</v>
      </c>
      <c r="U472" s="279">
        <f t="shared" ref="U472" si="1322">+T472*$X$1</f>
        <v>3448.68</v>
      </c>
      <c r="V472" s="610">
        <f t="shared" ref="V472" si="1323">F472+56</f>
        <v>3439.68</v>
      </c>
      <c r="W472" s="279">
        <f t="shared" si="1311"/>
        <v>3439.68</v>
      </c>
      <c r="X472" s="688"/>
      <c r="Y472" s="688"/>
      <c r="Z472" s="688"/>
      <c r="AA472" s="689"/>
      <c r="AB472" s="190" t="s">
        <v>254</v>
      </c>
    </row>
    <row r="473" spans="1:34" ht="12.6" customHeight="1" x14ac:dyDescent="0.2">
      <c r="A473" s="18"/>
      <c r="B473" s="647" t="s">
        <v>385</v>
      </c>
      <c r="C473" s="648"/>
      <c r="D473" s="648"/>
      <c r="E473" s="648"/>
      <c r="F473" s="366">
        <f>0.98*X2</f>
        <v>1066.24</v>
      </c>
      <c r="G473" s="280">
        <f t="shared" si="1307"/>
        <v>1066.24</v>
      </c>
      <c r="H473" s="272"/>
      <c r="I473" s="272"/>
      <c r="J473" s="87">
        <f t="shared" ref="J473" si="1324">F473+220</f>
        <v>1286.24</v>
      </c>
      <c r="K473" s="280">
        <f t="shared" ref="K473" si="1325">+J473*$X$1</f>
        <v>1286.24</v>
      </c>
      <c r="L473" s="441">
        <f t="shared" ref="L473" si="1326">F473+150</f>
        <v>1216.24</v>
      </c>
      <c r="M473" s="280">
        <f t="shared" ref="M473" si="1327">+L473*$X$1</f>
        <v>1216.24</v>
      </c>
      <c r="N473" s="441">
        <f t="shared" ref="N473" si="1328">F473+110</f>
        <v>1176.24</v>
      </c>
      <c r="O473" s="280">
        <f t="shared" ref="O473" si="1329">+N473*$X$1</f>
        <v>1176.24</v>
      </c>
      <c r="P473" s="441">
        <f t="shared" ref="P473" si="1330">F473+100</f>
        <v>1166.24</v>
      </c>
      <c r="Q473" s="280">
        <f t="shared" ref="Q473" si="1331">+P473*$X$1</f>
        <v>1166.24</v>
      </c>
      <c r="R473" s="441">
        <f t="shared" ref="R473" si="1332">F473+80</f>
        <v>1146.24</v>
      </c>
      <c r="S473" s="280">
        <f t="shared" ref="S473" si="1333">+R473*$X$1</f>
        <v>1146.24</v>
      </c>
      <c r="T473" s="441">
        <f t="shared" ref="T473" si="1334">F473+65</f>
        <v>1131.24</v>
      </c>
      <c r="U473" s="280">
        <f t="shared" ref="U473" si="1335">+T473*$X$1</f>
        <v>1131.24</v>
      </c>
      <c r="V473" s="441">
        <f t="shared" ref="V473" si="1336">F473+56</f>
        <v>1122.24</v>
      </c>
      <c r="W473" s="280">
        <f t="shared" ref="W473" si="1337">+V473*$X$1</f>
        <v>1122.24</v>
      </c>
      <c r="X473" s="688"/>
      <c r="Y473" s="688"/>
      <c r="Z473" s="688"/>
      <c r="AA473" s="689"/>
      <c r="AB473" s="190" t="s">
        <v>417</v>
      </c>
    </row>
    <row r="474" spans="1:34" ht="12.6" customHeight="1" x14ac:dyDescent="0.2">
      <c r="A474" s="18"/>
      <c r="B474" s="544"/>
      <c r="C474" s="545"/>
      <c r="D474" s="545"/>
      <c r="E474" s="545"/>
      <c r="F474" s="410"/>
      <c r="G474" s="324"/>
      <c r="H474" s="115"/>
      <c r="I474" s="324"/>
      <c r="J474" s="115"/>
      <c r="K474" s="324"/>
      <c r="L474" s="115"/>
      <c r="M474" s="324"/>
      <c r="N474" s="115"/>
      <c r="O474" s="324"/>
      <c r="P474" s="115"/>
      <c r="Q474" s="324"/>
      <c r="R474" s="115"/>
      <c r="S474" s="324"/>
      <c r="T474" s="115"/>
      <c r="U474" s="324"/>
      <c r="V474" s="115"/>
      <c r="W474" s="324"/>
      <c r="X474" s="565"/>
      <c r="Y474" s="74"/>
      <c r="Z474" s="74"/>
      <c r="AA474" s="74"/>
      <c r="AB474" s="564"/>
    </row>
    <row r="475" spans="1:34" ht="12.6" customHeight="1" x14ac:dyDescent="0.2">
      <c r="A475" s="18"/>
      <c r="B475" s="544"/>
      <c r="C475" s="545"/>
      <c r="D475" s="545"/>
      <c r="E475" s="545"/>
      <c r="F475" s="410"/>
      <c r="G475" s="324"/>
      <c r="H475" s="115"/>
      <c r="I475" s="324"/>
      <c r="J475" s="115"/>
      <c r="K475" s="324"/>
      <c r="L475" s="115"/>
      <c r="M475" s="324"/>
      <c r="N475" s="115"/>
      <c r="O475" s="324"/>
      <c r="P475" s="115"/>
      <c r="Q475" s="324"/>
      <c r="R475" s="115"/>
      <c r="S475" s="324"/>
      <c r="T475" s="115"/>
      <c r="U475" s="324"/>
      <c r="V475" s="115"/>
      <c r="W475" s="324"/>
      <c r="X475" s="565"/>
      <c r="Y475" s="74"/>
      <c r="Z475" s="74"/>
      <c r="AA475" s="74"/>
      <c r="AB475" s="564"/>
    </row>
    <row r="476" spans="1:34" ht="12.6" customHeight="1" x14ac:dyDescent="0.2">
      <c r="A476" s="18"/>
      <c r="B476" s="544"/>
      <c r="C476" s="545"/>
      <c r="D476" s="545"/>
      <c r="E476" s="545"/>
      <c r="F476" s="410"/>
      <c r="G476" s="324"/>
      <c r="H476" s="115"/>
      <c r="I476" s="324"/>
      <c r="J476" s="115"/>
      <c r="K476" s="324"/>
      <c r="L476" s="115"/>
      <c r="M476" s="324"/>
      <c r="N476" s="115"/>
      <c r="O476" s="324"/>
      <c r="P476" s="115"/>
      <c r="Q476" s="324"/>
      <c r="R476" s="115"/>
      <c r="S476" s="324"/>
      <c r="T476" s="115"/>
      <c r="U476" s="324"/>
      <c r="V476" s="115"/>
      <c r="W476" s="324"/>
      <c r="X476" s="565"/>
      <c r="Y476" s="74"/>
      <c r="Z476" s="74"/>
      <c r="AA476" s="74"/>
      <c r="AB476" s="564"/>
    </row>
    <row r="477" spans="1:34" ht="12.6" customHeight="1" x14ac:dyDescent="0.2">
      <c r="A477" s="18"/>
      <c r="B477" s="544"/>
      <c r="C477" s="545"/>
      <c r="D477" s="545"/>
      <c r="E477" s="545"/>
      <c r="F477" s="410"/>
      <c r="G477" s="324"/>
      <c r="H477" s="115"/>
      <c r="I477" s="324"/>
      <c r="J477" s="115"/>
      <c r="K477" s="324"/>
      <c r="L477" s="115"/>
      <c r="M477" s="324"/>
      <c r="N477" s="115"/>
      <c r="O477" s="324"/>
      <c r="P477" s="115"/>
      <c r="Q477" s="324"/>
      <c r="R477" s="115"/>
      <c r="S477" s="324"/>
      <c r="T477" s="115"/>
      <c r="U477" s="324"/>
      <c r="V477" s="115"/>
      <c r="W477" s="324"/>
      <c r="X477" s="565"/>
      <c r="Y477" s="74"/>
      <c r="Z477" s="74"/>
      <c r="AA477" s="74"/>
      <c r="AB477" s="564"/>
    </row>
    <row r="478" spans="1:34" ht="12.6" customHeight="1" x14ac:dyDescent="0.2">
      <c r="A478" s="18"/>
      <c r="B478" s="544"/>
      <c r="C478" s="545"/>
      <c r="D478" s="545"/>
      <c r="E478" s="545"/>
      <c r="F478" s="410"/>
      <c r="G478" s="324"/>
      <c r="H478" s="115"/>
      <c r="I478" s="324"/>
      <c r="J478" s="115"/>
      <c r="K478" s="324"/>
      <c r="L478" s="115"/>
      <c r="M478" s="324"/>
      <c r="N478" s="115"/>
      <c r="O478" s="324"/>
      <c r="P478" s="115"/>
      <c r="Q478" s="324"/>
      <c r="R478" s="115"/>
      <c r="S478" s="324"/>
      <c r="T478" s="115"/>
      <c r="U478" s="324"/>
      <c r="V478" s="115"/>
      <c r="W478" s="324"/>
      <c r="X478" s="565"/>
      <c r="Y478" s="74"/>
      <c r="Z478" s="74"/>
      <c r="AA478" s="74"/>
      <c r="AB478" s="564"/>
    </row>
    <row r="479" spans="1:34" ht="15.75" customHeight="1" x14ac:dyDescent="0.2">
      <c r="A479" s="18"/>
      <c r="B479" s="745" t="s">
        <v>11</v>
      </c>
      <c r="C479" s="690" t="s">
        <v>12</v>
      </c>
      <c r="D479" s="691"/>
      <c r="E479" s="691"/>
      <c r="F479" s="685" t="s">
        <v>13</v>
      </c>
      <c r="G479" s="685" t="s">
        <v>13</v>
      </c>
      <c r="H479" s="692" t="s">
        <v>794</v>
      </c>
      <c r="I479" s="692"/>
      <c r="J479" s="693"/>
      <c r="K479" s="693"/>
      <c r="L479" s="693"/>
      <c r="M479" s="693"/>
      <c r="N479" s="693"/>
      <c r="O479" s="693"/>
      <c r="P479" s="693"/>
      <c r="Q479" s="693"/>
      <c r="R479" s="693"/>
      <c r="S479" s="693"/>
      <c r="T479" s="693"/>
      <c r="U479" s="693"/>
      <c r="V479" s="693"/>
      <c r="W479" s="693"/>
      <c r="X479" s="729" t="s">
        <v>14</v>
      </c>
      <c r="Y479" s="729"/>
      <c r="Z479" s="729"/>
      <c r="AA479" s="729"/>
      <c r="AB479" s="1181" t="s">
        <v>15</v>
      </c>
      <c r="AE479" s="63"/>
      <c r="AF479" s="760" t="s">
        <v>3</v>
      </c>
      <c r="AG479" s="761"/>
      <c r="AH479" s="761"/>
    </row>
    <row r="480" spans="1:34" ht="12" customHeight="1" x14ac:dyDescent="0.2">
      <c r="A480" s="18"/>
      <c r="B480" s="745"/>
      <c r="C480" s="691"/>
      <c r="D480" s="691"/>
      <c r="E480" s="691"/>
      <c r="F480" s="686"/>
      <c r="G480" s="686"/>
      <c r="H480" s="460"/>
      <c r="I480" s="452" t="s">
        <v>285</v>
      </c>
      <c r="J480" s="454"/>
      <c r="K480" s="452" t="s">
        <v>17</v>
      </c>
      <c r="L480" s="455"/>
      <c r="M480" s="455" t="s">
        <v>18</v>
      </c>
      <c r="N480" s="455"/>
      <c r="O480" s="452" t="s">
        <v>19</v>
      </c>
      <c r="P480" s="455"/>
      <c r="Q480" s="455" t="s">
        <v>286</v>
      </c>
      <c r="R480" s="455"/>
      <c r="S480" s="455" t="s">
        <v>20</v>
      </c>
      <c r="T480" s="455"/>
      <c r="U480" s="455" t="s">
        <v>21</v>
      </c>
      <c r="V480" s="455"/>
      <c r="W480" s="455" t="s">
        <v>22</v>
      </c>
      <c r="X480" s="729"/>
      <c r="Y480" s="729"/>
      <c r="Z480" s="729"/>
      <c r="AA480" s="729"/>
      <c r="AB480" s="799"/>
    </row>
    <row r="481" spans="1:31" s="64" customFormat="1" ht="12.6" customHeight="1" x14ac:dyDescent="0.25">
      <c r="A481" s="95"/>
      <c r="B481" s="710" t="s">
        <v>331</v>
      </c>
      <c r="C481" s="972"/>
      <c r="D481" s="972"/>
      <c r="E481" s="972"/>
      <c r="F481" s="279">
        <v>635</v>
      </c>
      <c r="G481" s="279">
        <f t="shared" ref="G481:G486" si="1338">+F481*$X$1</f>
        <v>635</v>
      </c>
      <c r="H481" s="271"/>
      <c r="I481" s="769" t="s">
        <v>483</v>
      </c>
      <c r="J481" s="954"/>
      <c r="K481" s="954"/>
      <c r="L481" s="955"/>
      <c r="M481" s="956"/>
      <c r="N481" s="510">
        <v>1243</v>
      </c>
      <c r="O481" s="279">
        <f t="shared" ref="O481:O486" si="1339">+N481*$X$1</f>
        <v>1243</v>
      </c>
      <c r="P481" s="286">
        <v>1238</v>
      </c>
      <c r="Q481" s="279">
        <f t="shared" ref="Q481:Q486" si="1340">+P481*$X$1</f>
        <v>1238</v>
      </c>
      <c r="R481" s="510">
        <v>1143</v>
      </c>
      <c r="S481" s="279">
        <f t="shared" ref="S481:S486" si="1341">+R481*$X$1</f>
        <v>1143</v>
      </c>
      <c r="T481" s="510">
        <v>1039</v>
      </c>
      <c r="U481" s="279">
        <f t="shared" ref="U481:U486" si="1342">+T481*$X$1</f>
        <v>1039</v>
      </c>
      <c r="V481" s="510">
        <v>989</v>
      </c>
      <c r="W481" s="279">
        <f t="shared" ref="W481:W486" si="1343">+V481*$X$1</f>
        <v>989</v>
      </c>
      <c r="X481" s="146"/>
      <c r="Y481" s="146"/>
      <c r="Z481" s="146"/>
      <c r="AA481" s="147"/>
      <c r="AB481" s="403" t="s">
        <v>255</v>
      </c>
    </row>
    <row r="482" spans="1:31" s="64" customFormat="1" ht="12.6" customHeight="1" x14ac:dyDescent="0.25">
      <c r="A482" s="95"/>
      <c r="B482" s="647" t="s">
        <v>332</v>
      </c>
      <c r="C482" s="648"/>
      <c r="D482" s="648"/>
      <c r="E482" s="648"/>
      <c r="F482" s="280">
        <v>635</v>
      </c>
      <c r="G482" s="280">
        <f t="shared" si="1338"/>
        <v>635</v>
      </c>
      <c r="H482" s="276"/>
      <c r="I482" s="957"/>
      <c r="J482" s="958"/>
      <c r="K482" s="958"/>
      <c r="L482" s="959"/>
      <c r="M482" s="960"/>
      <c r="N482" s="441">
        <v>1562</v>
      </c>
      <c r="O482" s="280">
        <f t="shared" si="1339"/>
        <v>1562</v>
      </c>
      <c r="P482" s="285">
        <v>1557</v>
      </c>
      <c r="Q482" s="280">
        <f t="shared" si="1340"/>
        <v>1557</v>
      </c>
      <c r="R482" s="441">
        <v>1471</v>
      </c>
      <c r="S482" s="280">
        <f t="shared" si="1341"/>
        <v>1471</v>
      </c>
      <c r="T482" s="441">
        <v>1416</v>
      </c>
      <c r="U482" s="280">
        <f t="shared" si="1342"/>
        <v>1416</v>
      </c>
      <c r="V482" s="441">
        <v>1347</v>
      </c>
      <c r="W482" s="280">
        <f t="shared" si="1343"/>
        <v>1347</v>
      </c>
      <c r="X482" s="168"/>
      <c r="Y482" s="132"/>
      <c r="Z482" s="132"/>
      <c r="AA482" s="135"/>
      <c r="AB482" s="404"/>
    </row>
    <row r="483" spans="1:31" s="64" customFormat="1" ht="12.6" customHeight="1" x14ac:dyDescent="0.25">
      <c r="A483" s="95"/>
      <c r="B483" s="659" t="s">
        <v>347</v>
      </c>
      <c r="C483" s="660"/>
      <c r="D483" s="660"/>
      <c r="E483" s="660"/>
      <c r="F483" s="279">
        <v>635</v>
      </c>
      <c r="G483" s="279">
        <f t="shared" si="1338"/>
        <v>635</v>
      </c>
      <c r="H483" s="270"/>
      <c r="I483" s="957"/>
      <c r="J483" s="958"/>
      <c r="K483" s="958"/>
      <c r="L483" s="959"/>
      <c r="M483" s="960"/>
      <c r="N483" s="510">
        <v>1243</v>
      </c>
      <c r="O483" s="279">
        <f t="shared" ref="O483:O484" si="1344">+N483*$X$1</f>
        <v>1243</v>
      </c>
      <c r="P483" s="286">
        <v>1238</v>
      </c>
      <c r="Q483" s="279">
        <f t="shared" ref="Q483:Q484" si="1345">+P483*$X$1</f>
        <v>1238</v>
      </c>
      <c r="R483" s="510">
        <v>1143</v>
      </c>
      <c r="S483" s="279">
        <f t="shared" ref="S483:S484" si="1346">+R483*$X$1</f>
        <v>1143</v>
      </c>
      <c r="T483" s="510">
        <v>1039</v>
      </c>
      <c r="U483" s="279">
        <f t="shared" ref="U483:U484" si="1347">+T483*$X$1</f>
        <v>1039</v>
      </c>
      <c r="V483" s="510">
        <v>989</v>
      </c>
      <c r="W483" s="279">
        <f t="shared" ref="W483:W484" si="1348">+V483*$X$1</f>
        <v>989</v>
      </c>
      <c r="X483" s="132"/>
      <c r="Y483" s="132"/>
      <c r="Z483" s="132"/>
      <c r="AA483" s="135"/>
      <c r="AB483" s="403" t="s">
        <v>256</v>
      </c>
    </row>
    <row r="484" spans="1:31" s="64" customFormat="1" ht="12" customHeight="1" x14ac:dyDescent="0.25">
      <c r="A484" s="95"/>
      <c r="B484" s="647" t="s">
        <v>348</v>
      </c>
      <c r="C484" s="648"/>
      <c r="D484" s="648"/>
      <c r="E484" s="648"/>
      <c r="F484" s="280">
        <v>635</v>
      </c>
      <c r="G484" s="280">
        <f t="shared" si="1338"/>
        <v>635</v>
      </c>
      <c r="H484" s="276"/>
      <c r="I484" s="957"/>
      <c r="J484" s="958"/>
      <c r="K484" s="958"/>
      <c r="L484" s="959"/>
      <c r="M484" s="960"/>
      <c r="N484" s="441">
        <v>1562</v>
      </c>
      <c r="O484" s="280">
        <f t="shared" si="1344"/>
        <v>1562</v>
      </c>
      <c r="P484" s="285">
        <v>1557</v>
      </c>
      <c r="Q484" s="280">
        <f t="shared" si="1345"/>
        <v>1557</v>
      </c>
      <c r="R484" s="441">
        <v>1471</v>
      </c>
      <c r="S484" s="280">
        <f t="shared" si="1346"/>
        <v>1471</v>
      </c>
      <c r="T484" s="441">
        <v>1416</v>
      </c>
      <c r="U484" s="280">
        <f t="shared" si="1347"/>
        <v>1416</v>
      </c>
      <c r="V484" s="441">
        <v>1347</v>
      </c>
      <c r="W484" s="280">
        <f t="shared" si="1348"/>
        <v>1347</v>
      </c>
      <c r="X484" s="146"/>
      <c r="Y484" s="146"/>
      <c r="Z484" s="132"/>
      <c r="AA484" s="135"/>
      <c r="AB484" s="404"/>
    </row>
    <row r="485" spans="1:31" s="64" customFormat="1" ht="12.6" customHeight="1" x14ac:dyDescent="0.25">
      <c r="A485" s="95"/>
      <c r="B485" s="659" t="s">
        <v>257</v>
      </c>
      <c r="C485" s="660"/>
      <c r="D485" s="660"/>
      <c r="E485" s="660"/>
      <c r="F485" s="279">
        <v>635</v>
      </c>
      <c r="G485" s="279">
        <f t="shared" si="1338"/>
        <v>635</v>
      </c>
      <c r="H485" s="270"/>
      <c r="I485" s="961"/>
      <c r="J485" s="962"/>
      <c r="K485" s="962"/>
      <c r="L485" s="959"/>
      <c r="M485" s="960"/>
      <c r="N485" s="510">
        <v>1407</v>
      </c>
      <c r="O485" s="279">
        <f t="shared" ref="O485" si="1349">+N485*$X$1</f>
        <v>1407</v>
      </c>
      <c r="P485" s="286">
        <v>1403</v>
      </c>
      <c r="Q485" s="279">
        <f t="shared" ref="Q485" si="1350">+P485*$X$1</f>
        <v>1403</v>
      </c>
      <c r="R485" s="510">
        <v>1254</v>
      </c>
      <c r="S485" s="279">
        <f t="shared" ref="S485" si="1351">+R485*$X$1</f>
        <v>1254</v>
      </c>
      <c r="T485" s="510">
        <v>1159</v>
      </c>
      <c r="U485" s="279">
        <f t="shared" ref="U485" si="1352">+T485*$X$1</f>
        <v>1159</v>
      </c>
      <c r="V485" s="510">
        <v>1095</v>
      </c>
      <c r="W485" s="279">
        <f t="shared" ref="W485" si="1353">+V485*$X$1</f>
        <v>1095</v>
      </c>
      <c r="X485" s="132"/>
      <c r="Y485" s="132"/>
      <c r="Z485" s="132"/>
      <c r="AA485" s="135"/>
      <c r="AB485" s="403" t="s">
        <v>258</v>
      </c>
      <c r="AE485" s="237"/>
    </row>
    <row r="486" spans="1:31" s="64" customFormat="1" ht="12.6" customHeight="1" x14ac:dyDescent="0.25">
      <c r="A486" s="95"/>
      <c r="B486" s="647" t="s">
        <v>259</v>
      </c>
      <c r="C486" s="648"/>
      <c r="D486" s="648"/>
      <c r="E486" s="648"/>
      <c r="F486" s="280">
        <v>635</v>
      </c>
      <c r="G486" s="280">
        <f t="shared" si="1338"/>
        <v>635</v>
      </c>
      <c r="H486" s="276"/>
      <c r="I486" s="963"/>
      <c r="J486" s="964"/>
      <c r="K486" s="964"/>
      <c r="L486" s="964"/>
      <c r="M486" s="965"/>
      <c r="N486" s="441">
        <v>1710</v>
      </c>
      <c r="O486" s="280">
        <f t="shared" si="1339"/>
        <v>1710</v>
      </c>
      <c r="P486" s="285">
        <v>1706</v>
      </c>
      <c r="Q486" s="280">
        <f t="shared" si="1340"/>
        <v>1706</v>
      </c>
      <c r="R486" s="441">
        <v>1616</v>
      </c>
      <c r="S486" s="280">
        <f t="shared" si="1341"/>
        <v>1616</v>
      </c>
      <c r="T486" s="441">
        <v>1568</v>
      </c>
      <c r="U486" s="280">
        <f t="shared" si="1342"/>
        <v>1568</v>
      </c>
      <c r="V486" s="441">
        <v>1501</v>
      </c>
      <c r="W486" s="280">
        <f t="shared" si="1343"/>
        <v>1501</v>
      </c>
      <c r="X486" s="132"/>
      <c r="Y486" s="132"/>
      <c r="Z486" s="132"/>
      <c r="AA486" s="135"/>
      <c r="AB486" s="403" t="s">
        <v>260</v>
      </c>
    </row>
    <row r="487" spans="1:31" ht="12.6" customHeight="1" x14ac:dyDescent="0.2">
      <c r="A487" s="18"/>
      <c r="B487" s="664" t="s">
        <v>261</v>
      </c>
      <c r="C487" s="680"/>
      <c r="D487" s="680"/>
      <c r="E487" s="681"/>
      <c r="F487" s="365">
        <f>2.98*X2</f>
        <v>3242.24</v>
      </c>
      <c r="G487" s="279">
        <f t="shared" ref="G487" si="1354">+F487*$X$1</f>
        <v>3242.24</v>
      </c>
      <c r="H487" s="610">
        <f t="shared" ref="H487:H488" si="1355">F487+600</f>
        <v>3842.24</v>
      </c>
      <c r="I487" s="279">
        <f t="shared" ref="I487:I488" si="1356">+H487*$X$1</f>
        <v>3842.24</v>
      </c>
      <c r="J487" s="610">
        <f t="shared" ref="J487:J488" si="1357">F487+200</f>
        <v>3442.24</v>
      </c>
      <c r="K487" s="279">
        <f t="shared" ref="K487:K488" si="1358">+J487*$X$1</f>
        <v>3442.24</v>
      </c>
      <c r="L487" s="610">
        <f>F487+150</f>
        <v>3392.24</v>
      </c>
      <c r="M487" s="279">
        <f t="shared" ref="M487:M488" si="1359">+L487*$X$1</f>
        <v>3392.24</v>
      </c>
      <c r="N487" s="610">
        <f>F487+110</f>
        <v>3352.24</v>
      </c>
      <c r="O487" s="279">
        <f>+N487*$X$1</f>
        <v>3352.24</v>
      </c>
      <c r="P487" s="610">
        <f>F487+90</f>
        <v>3332.24</v>
      </c>
      <c r="Q487" s="279">
        <f t="shared" ref="Q487" si="1360">+P487*$X$1</f>
        <v>3332.24</v>
      </c>
      <c r="R487" s="610">
        <f>F487+70</f>
        <v>3312.24</v>
      </c>
      <c r="S487" s="279">
        <f>+R487*$X$1</f>
        <v>3312.24</v>
      </c>
      <c r="T487" s="610">
        <f>F487+56</f>
        <v>3298.24</v>
      </c>
      <c r="U487" s="279">
        <f t="shared" ref="U487" si="1361">+T487*$X$1</f>
        <v>3298.24</v>
      </c>
      <c r="V487" s="610">
        <f>F487+49</f>
        <v>3291.24</v>
      </c>
      <c r="W487" s="279">
        <f t="shared" ref="W487" si="1362">+V487*$X$1</f>
        <v>3291.24</v>
      </c>
      <c r="X487" s="644"/>
      <c r="Y487" s="644"/>
      <c r="Z487" s="644"/>
      <c r="AA487" s="658"/>
      <c r="AB487" s="190" t="s">
        <v>262</v>
      </c>
    </row>
    <row r="488" spans="1:31" ht="12.6" customHeight="1" x14ac:dyDescent="0.2">
      <c r="A488" s="18"/>
      <c r="B488" s="661" t="s">
        <v>263</v>
      </c>
      <c r="C488" s="694"/>
      <c r="D488" s="694"/>
      <c r="E488" s="695"/>
      <c r="F488" s="366">
        <f>2.26*X2</f>
        <v>2458.8799999999997</v>
      </c>
      <c r="G488" s="280">
        <f>+F488*$X$1</f>
        <v>2458.8799999999997</v>
      </c>
      <c r="H488" s="441">
        <f t="shared" si="1355"/>
        <v>3058.8799999999997</v>
      </c>
      <c r="I488" s="280">
        <f t="shared" si="1356"/>
        <v>3058.8799999999997</v>
      </c>
      <c r="J488" s="441">
        <f t="shared" si="1357"/>
        <v>2658.8799999999997</v>
      </c>
      <c r="K488" s="280">
        <f t="shared" si="1358"/>
        <v>2658.8799999999997</v>
      </c>
      <c r="L488" s="441">
        <f>F488+150</f>
        <v>2608.8799999999997</v>
      </c>
      <c r="M488" s="280">
        <f t="shared" si="1359"/>
        <v>2608.8799999999997</v>
      </c>
      <c r="N488" s="441"/>
      <c r="O488" s="280"/>
      <c r="P488" s="441"/>
      <c r="Q488" s="280"/>
      <c r="R488" s="441"/>
      <c r="S488" s="280"/>
      <c r="T488" s="441"/>
      <c r="U488" s="280"/>
      <c r="V488" s="441"/>
      <c r="W488" s="280"/>
      <c r="X488" s="644"/>
      <c r="Y488" s="644"/>
      <c r="Z488" s="644"/>
      <c r="AA488" s="658"/>
      <c r="AB488" s="190" t="s">
        <v>410</v>
      </c>
    </row>
    <row r="489" spans="1:31" ht="12.6" customHeight="1" x14ac:dyDescent="0.2">
      <c r="A489" s="18"/>
      <c r="B489" s="664" t="s">
        <v>764</v>
      </c>
      <c r="C489" s="680"/>
      <c r="D489" s="680"/>
      <c r="E489" s="681"/>
      <c r="F489" s="320">
        <v>3545</v>
      </c>
      <c r="G489" s="279">
        <f t="shared" ref="G489" si="1363">+F489*$X$1</f>
        <v>3545</v>
      </c>
      <c r="H489" s="610"/>
      <c r="I489" s="279"/>
      <c r="J489" s="610">
        <f t="shared" ref="J489" si="1364">F489+200</f>
        <v>3745</v>
      </c>
      <c r="K489" s="279">
        <f t="shared" ref="K489" si="1365">+J489*$X$1</f>
        <v>3745</v>
      </c>
      <c r="L489" s="610">
        <f>F489+150</f>
        <v>3695</v>
      </c>
      <c r="M489" s="279">
        <f t="shared" ref="M489" si="1366">+L489*$X$1</f>
        <v>3695</v>
      </c>
      <c r="N489" s="610">
        <f>F489+110</f>
        <v>3655</v>
      </c>
      <c r="O489" s="279">
        <f t="shared" ref="O489:O498" si="1367">+N489*$X$1</f>
        <v>3655</v>
      </c>
      <c r="P489" s="610">
        <f>F489+90</f>
        <v>3635</v>
      </c>
      <c r="Q489" s="279">
        <f t="shared" ref="Q489" si="1368">+P489*$X$1</f>
        <v>3635</v>
      </c>
      <c r="R489" s="610">
        <f>F489+70</f>
        <v>3615</v>
      </c>
      <c r="S489" s="279">
        <f t="shared" ref="S489:S498" si="1369">+R489*$X$1</f>
        <v>3615</v>
      </c>
      <c r="T489" s="610">
        <f>F489+56</f>
        <v>3601</v>
      </c>
      <c r="U489" s="279">
        <f t="shared" ref="U489" si="1370">+T489*$X$1</f>
        <v>3601</v>
      </c>
      <c r="V489" s="610">
        <f>F489+49</f>
        <v>3594</v>
      </c>
      <c r="W489" s="279">
        <f t="shared" ref="W489" si="1371">+V489*$X$1</f>
        <v>3594</v>
      </c>
      <c r="X489" s="644"/>
      <c r="Y489" s="644"/>
      <c r="Z489" s="644"/>
      <c r="AA489" s="658"/>
      <c r="AB489" s="190" t="s">
        <v>763</v>
      </c>
    </row>
    <row r="490" spans="1:31" ht="12.6" customHeight="1" x14ac:dyDescent="0.2">
      <c r="A490" s="18"/>
      <c r="B490" s="661" t="s">
        <v>373</v>
      </c>
      <c r="C490" s="694"/>
      <c r="D490" s="694"/>
      <c r="E490" s="695"/>
      <c r="F490" s="366">
        <f>1.2*X2</f>
        <v>1305.5999999999999</v>
      </c>
      <c r="G490" s="280">
        <f t="shared" ref="G490:G491" si="1372">+F490*$X$1</f>
        <v>1305.5999999999999</v>
      </c>
      <c r="H490" s="441">
        <f t="shared" ref="H490:H491" si="1373">F490+600</f>
        <v>1905.6</v>
      </c>
      <c r="I490" s="280">
        <f t="shared" ref="I490:I491" si="1374">+H490*$X$1</f>
        <v>1905.6</v>
      </c>
      <c r="J490" s="441">
        <f t="shared" ref="J490:J491" si="1375">F490+200</f>
        <v>1505.6</v>
      </c>
      <c r="K490" s="280">
        <f t="shared" ref="K490:K491" si="1376">+J490*$X$1</f>
        <v>1505.6</v>
      </c>
      <c r="L490" s="441">
        <f>F490+150</f>
        <v>1455.6</v>
      </c>
      <c r="M490" s="280">
        <f t="shared" ref="M490:M491" si="1377">+L490*$X$1</f>
        <v>1455.6</v>
      </c>
      <c r="N490" s="441">
        <f>F490+110</f>
        <v>1415.6</v>
      </c>
      <c r="O490" s="280">
        <f t="shared" si="1367"/>
        <v>1415.6</v>
      </c>
      <c r="P490" s="441">
        <f>F490+90</f>
        <v>1395.6</v>
      </c>
      <c r="Q490" s="280">
        <f t="shared" ref="Q490:Q491" si="1378">+P490*$X$1</f>
        <v>1395.6</v>
      </c>
      <c r="R490" s="441">
        <f>F490+70</f>
        <v>1375.6</v>
      </c>
      <c r="S490" s="280">
        <f t="shared" si="1369"/>
        <v>1375.6</v>
      </c>
      <c r="T490" s="441">
        <f>F490+56</f>
        <v>1361.6</v>
      </c>
      <c r="U490" s="280">
        <f t="shared" ref="U490:U491" si="1379">+T490*$X$1</f>
        <v>1361.6</v>
      </c>
      <c r="V490" s="441">
        <f>F490+49</f>
        <v>1354.6</v>
      </c>
      <c r="W490" s="280">
        <f t="shared" ref="W490:W491" si="1380">+V490*$X$1</f>
        <v>1354.6</v>
      </c>
      <c r="X490" s="644"/>
      <c r="Y490" s="679"/>
      <c r="Z490" s="679"/>
      <c r="AA490" s="658"/>
      <c r="AB490" s="190" t="s">
        <v>411</v>
      </c>
    </row>
    <row r="491" spans="1:31" ht="12.6" customHeight="1" x14ac:dyDescent="0.2">
      <c r="A491" s="18"/>
      <c r="B491" s="664" t="s">
        <v>885</v>
      </c>
      <c r="C491" s="680"/>
      <c r="D491" s="680"/>
      <c r="E491" s="681"/>
      <c r="F491" s="365">
        <f>3.99*X2</f>
        <v>4341.12</v>
      </c>
      <c r="G491" s="279">
        <f t="shared" si="1372"/>
        <v>4341.12</v>
      </c>
      <c r="H491" s="610">
        <f t="shared" si="1373"/>
        <v>4941.12</v>
      </c>
      <c r="I491" s="279">
        <f t="shared" si="1374"/>
        <v>4941.12</v>
      </c>
      <c r="J491" s="610">
        <f t="shared" si="1375"/>
        <v>4541.12</v>
      </c>
      <c r="K491" s="279">
        <f t="shared" si="1376"/>
        <v>4541.12</v>
      </c>
      <c r="L491" s="610">
        <f>F491+150</f>
        <v>4491.12</v>
      </c>
      <c r="M491" s="279">
        <f t="shared" si="1377"/>
        <v>4491.12</v>
      </c>
      <c r="N491" s="610">
        <f>F491+110</f>
        <v>4451.12</v>
      </c>
      <c r="O491" s="279">
        <f t="shared" si="1367"/>
        <v>4451.12</v>
      </c>
      <c r="P491" s="610">
        <f>F491+90</f>
        <v>4431.12</v>
      </c>
      <c r="Q491" s="279">
        <f t="shared" si="1378"/>
        <v>4431.12</v>
      </c>
      <c r="R491" s="610">
        <f>F491+70</f>
        <v>4411.12</v>
      </c>
      <c r="S491" s="279">
        <f t="shared" si="1369"/>
        <v>4411.12</v>
      </c>
      <c r="T491" s="610">
        <f>F491+56</f>
        <v>4397.12</v>
      </c>
      <c r="U491" s="279">
        <f t="shared" si="1379"/>
        <v>4397.12</v>
      </c>
      <c r="V491" s="610">
        <f>F491+49</f>
        <v>4390.12</v>
      </c>
      <c r="W491" s="279">
        <f t="shared" si="1380"/>
        <v>4390.12</v>
      </c>
      <c r="X491" s="644"/>
      <c r="Y491" s="644"/>
      <c r="Z491" s="644"/>
      <c r="AA491" s="658"/>
      <c r="AB491" s="190" t="s">
        <v>796</v>
      </c>
    </row>
    <row r="492" spans="1:31" ht="12.6" customHeight="1" x14ac:dyDescent="0.2">
      <c r="A492" s="18"/>
      <c r="B492" s="645" t="s">
        <v>264</v>
      </c>
      <c r="C492" s="725"/>
      <c r="D492" s="725"/>
      <c r="E492" s="725"/>
      <c r="F492" s="309">
        <v>3820</v>
      </c>
      <c r="G492" s="280">
        <f t="shared" ref="G492:G495" si="1381">+F492*$X$1</f>
        <v>3820</v>
      </c>
      <c r="H492" s="272"/>
      <c r="I492" s="332"/>
      <c r="J492" s="441">
        <f>F492+66</f>
        <v>3886</v>
      </c>
      <c r="K492" s="280"/>
      <c r="L492" s="441">
        <f t="shared" ref="L492:L498" si="1382">F492+400</f>
        <v>4220</v>
      </c>
      <c r="M492" s="280">
        <f t="shared" ref="M492:M513" si="1383">+L492*$X$1</f>
        <v>4220</v>
      </c>
      <c r="N492" s="441">
        <f t="shared" ref="N492:N498" si="1384">F492+350</f>
        <v>4170</v>
      </c>
      <c r="O492" s="280">
        <f t="shared" si="1367"/>
        <v>4170</v>
      </c>
      <c r="P492" s="441">
        <f t="shared" ref="P492:P498" si="1385">F492+310</f>
        <v>4130</v>
      </c>
      <c r="Q492" s="280">
        <f t="shared" ref="Q492:Q498" si="1386">+P492*$X$1</f>
        <v>4130</v>
      </c>
      <c r="R492" s="441">
        <f t="shared" ref="R492:R498" si="1387">F492+280</f>
        <v>4100</v>
      </c>
      <c r="S492" s="280">
        <f t="shared" si="1369"/>
        <v>4100</v>
      </c>
      <c r="T492" s="441">
        <f t="shared" ref="T492:T498" si="1388">F492+240</f>
        <v>4060</v>
      </c>
      <c r="U492" s="280">
        <f t="shared" ref="U492:U498" si="1389">+T492*$X$1</f>
        <v>4060</v>
      </c>
      <c r="V492" s="441">
        <f t="shared" ref="V492:V498" si="1390">F492+220</f>
        <v>4040</v>
      </c>
      <c r="W492" s="280">
        <f t="shared" ref="W492:W498" si="1391">+V492*$X$1</f>
        <v>4040</v>
      </c>
      <c r="X492" s="143"/>
      <c r="Y492" s="129"/>
      <c r="Z492" s="129"/>
      <c r="AA492" s="129"/>
      <c r="AB492" s="190" t="s">
        <v>265</v>
      </c>
    </row>
    <row r="493" spans="1:31" ht="12.6" customHeight="1" x14ac:dyDescent="0.2">
      <c r="A493" s="18"/>
      <c r="B493" s="659" t="s">
        <v>266</v>
      </c>
      <c r="C493" s="660"/>
      <c r="D493" s="660"/>
      <c r="E493" s="660"/>
      <c r="F493" s="279">
        <v>5325</v>
      </c>
      <c r="G493" s="279">
        <f t="shared" si="1381"/>
        <v>5325</v>
      </c>
      <c r="H493" s="273"/>
      <c r="I493" s="331"/>
      <c r="J493" s="610">
        <f>F493+66</f>
        <v>5391</v>
      </c>
      <c r="K493" s="279"/>
      <c r="L493" s="610">
        <f t="shared" si="1382"/>
        <v>5725</v>
      </c>
      <c r="M493" s="279">
        <f t="shared" si="1383"/>
        <v>5725</v>
      </c>
      <c r="N493" s="610">
        <f t="shared" si="1384"/>
        <v>5675</v>
      </c>
      <c r="O493" s="279">
        <f t="shared" si="1367"/>
        <v>5675</v>
      </c>
      <c r="P493" s="610">
        <f t="shared" si="1385"/>
        <v>5635</v>
      </c>
      <c r="Q493" s="279">
        <f t="shared" si="1386"/>
        <v>5635</v>
      </c>
      <c r="R493" s="610">
        <f t="shared" si="1387"/>
        <v>5605</v>
      </c>
      <c r="S493" s="279">
        <f t="shared" si="1369"/>
        <v>5605</v>
      </c>
      <c r="T493" s="610">
        <f t="shared" si="1388"/>
        <v>5565</v>
      </c>
      <c r="U493" s="279">
        <f t="shared" si="1389"/>
        <v>5565</v>
      </c>
      <c r="V493" s="610">
        <f t="shared" si="1390"/>
        <v>5545</v>
      </c>
      <c r="W493" s="279">
        <f t="shared" si="1391"/>
        <v>5545</v>
      </c>
      <c r="X493" s="143"/>
      <c r="Y493" s="129"/>
      <c r="Z493" s="129"/>
      <c r="AA493" s="129"/>
      <c r="AB493" s="402"/>
    </row>
    <row r="494" spans="1:31" ht="12.6" customHeight="1" x14ac:dyDescent="0.2">
      <c r="A494" s="18"/>
      <c r="B494" s="647" t="s">
        <v>267</v>
      </c>
      <c r="C494" s="648"/>
      <c r="D494" s="648"/>
      <c r="E494" s="648"/>
      <c r="F494" s="280">
        <v>4154</v>
      </c>
      <c r="G494" s="280">
        <f t="shared" si="1381"/>
        <v>4154</v>
      </c>
      <c r="H494" s="272"/>
      <c r="I494" s="332"/>
      <c r="J494" s="441">
        <f>F494+80</f>
        <v>4234</v>
      </c>
      <c r="K494" s="280"/>
      <c r="L494" s="441">
        <f t="shared" si="1382"/>
        <v>4554</v>
      </c>
      <c r="M494" s="280">
        <f t="shared" si="1383"/>
        <v>4554</v>
      </c>
      <c r="N494" s="441">
        <f t="shared" si="1384"/>
        <v>4504</v>
      </c>
      <c r="O494" s="280">
        <f t="shared" si="1367"/>
        <v>4504</v>
      </c>
      <c r="P494" s="441">
        <f t="shared" si="1385"/>
        <v>4464</v>
      </c>
      <c r="Q494" s="280">
        <f t="shared" si="1386"/>
        <v>4464</v>
      </c>
      <c r="R494" s="441">
        <f t="shared" si="1387"/>
        <v>4434</v>
      </c>
      <c r="S494" s="280">
        <f t="shared" si="1369"/>
        <v>4434</v>
      </c>
      <c r="T494" s="441">
        <f t="shared" si="1388"/>
        <v>4394</v>
      </c>
      <c r="U494" s="280">
        <f t="shared" si="1389"/>
        <v>4394</v>
      </c>
      <c r="V494" s="441">
        <f t="shared" si="1390"/>
        <v>4374</v>
      </c>
      <c r="W494" s="280">
        <f t="shared" si="1391"/>
        <v>4374</v>
      </c>
      <c r="X494" s="143"/>
      <c r="Y494" s="129"/>
      <c r="Z494" s="129"/>
      <c r="AA494" s="129"/>
      <c r="AB494" s="190" t="s">
        <v>268</v>
      </c>
    </row>
    <row r="495" spans="1:31" ht="12.6" customHeight="1" x14ac:dyDescent="0.2">
      <c r="A495" s="18"/>
      <c r="B495" s="659" t="s">
        <v>269</v>
      </c>
      <c r="C495" s="660"/>
      <c r="D495" s="660"/>
      <c r="E495" s="660"/>
      <c r="F495" s="279">
        <v>5860</v>
      </c>
      <c r="G495" s="279">
        <f t="shared" si="1381"/>
        <v>5860</v>
      </c>
      <c r="H495" s="273"/>
      <c r="I495" s="331"/>
      <c r="J495" s="610">
        <f>F495+80</f>
        <v>5940</v>
      </c>
      <c r="K495" s="279"/>
      <c r="L495" s="610">
        <f t="shared" si="1382"/>
        <v>6260</v>
      </c>
      <c r="M495" s="279">
        <f t="shared" si="1383"/>
        <v>6260</v>
      </c>
      <c r="N495" s="610">
        <f t="shared" si="1384"/>
        <v>6210</v>
      </c>
      <c r="O495" s="279">
        <f t="shared" si="1367"/>
        <v>6210</v>
      </c>
      <c r="P495" s="610">
        <f t="shared" si="1385"/>
        <v>6170</v>
      </c>
      <c r="Q495" s="279">
        <f t="shared" si="1386"/>
        <v>6170</v>
      </c>
      <c r="R495" s="610">
        <f t="shared" si="1387"/>
        <v>6140</v>
      </c>
      <c r="S495" s="279">
        <f t="shared" si="1369"/>
        <v>6140</v>
      </c>
      <c r="T495" s="610">
        <f t="shared" si="1388"/>
        <v>6100</v>
      </c>
      <c r="U495" s="279">
        <f t="shared" si="1389"/>
        <v>6100</v>
      </c>
      <c r="V495" s="610">
        <f t="shared" si="1390"/>
        <v>6080</v>
      </c>
      <c r="W495" s="279">
        <f t="shared" si="1391"/>
        <v>6080</v>
      </c>
      <c r="X495" s="143"/>
      <c r="Y495" s="129"/>
      <c r="Z495" s="129"/>
      <c r="AA495" s="129"/>
      <c r="AB495" s="402"/>
    </row>
    <row r="496" spans="1:31" ht="12.6" customHeight="1" x14ac:dyDescent="0.2">
      <c r="A496" s="18"/>
      <c r="B496" s="649" t="s">
        <v>891</v>
      </c>
      <c r="C496" s="650"/>
      <c r="D496" s="650"/>
      <c r="E496" s="650"/>
      <c r="F496" s="280">
        <v>9870</v>
      </c>
      <c r="G496" s="280">
        <f t="shared" ref="G496" si="1392">+F496*$X$1</f>
        <v>9870</v>
      </c>
      <c r="H496" s="272"/>
      <c r="I496" s="332"/>
      <c r="J496" s="441">
        <f>F496+430</f>
        <v>10300</v>
      </c>
      <c r="K496" s="280">
        <f t="shared" ref="K496" si="1393">+J496*$X$1</f>
        <v>10300</v>
      </c>
      <c r="L496" s="441">
        <f t="shared" si="1382"/>
        <v>10270</v>
      </c>
      <c r="M496" s="280">
        <f t="shared" si="1383"/>
        <v>10270</v>
      </c>
      <c r="N496" s="441">
        <f t="shared" si="1384"/>
        <v>10220</v>
      </c>
      <c r="O496" s="280">
        <f t="shared" si="1367"/>
        <v>10220</v>
      </c>
      <c r="P496" s="441">
        <f t="shared" si="1385"/>
        <v>10180</v>
      </c>
      <c r="Q496" s="280">
        <f t="shared" si="1386"/>
        <v>10180</v>
      </c>
      <c r="R496" s="441">
        <f t="shared" si="1387"/>
        <v>10150</v>
      </c>
      <c r="S496" s="280">
        <f t="shared" si="1369"/>
        <v>10150</v>
      </c>
      <c r="T496" s="441">
        <f t="shared" si="1388"/>
        <v>10110</v>
      </c>
      <c r="U496" s="280">
        <f t="shared" si="1389"/>
        <v>10110</v>
      </c>
      <c r="V496" s="441">
        <f t="shared" si="1390"/>
        <v>10090</v>
      </c>
      <c r="W496" s="280">
        <f t="shared" si="1391"/>
        <v>10090</v>
      </c>
      <c r="X496" s="143"/>
      <c r="Y496" s="129"/>
      <c r="Z496" s="129"/>
      <c r="AA496" s="129"/>
      <c r="AB496" s="190" t="s">
        <v>892</v>
      </c>
    </row>
    <row r="497" spans="1:28" ht="12.6" customHeight="1" x14ac:dyDescent="0.2">
      <c r="A497" s="18"/>
      <c r="B497" s="659" t="s">
        <v>620</v>
      </c>
      <c r="C497" s="660"/>
      <c r="D497" s="660"/>
      <c r="E497" s="660"/>
      <c r="F497" s="279">
        <v>5430</v>
      </c>
      <c r="G497" s="279">
        <f>+F497*$X$1</f>
        <v>5430</v>
      </c>
      <c r="H497" s="273"/>
      <c r="I497" s="331"/>
      <c r="J497" s="610">
        <f>F497+66</f>
        <v>5496</v>
      </c>
      <c r="K497" s="279"/>
      <c r="L497" s="610">
        <f t="shared" si="1382"/>
        <v>5830</v>
      </c>
      <c r="M497" s="279">
        <f t="shared" si="1383"/>
        <v>5830</v>
      </c>
      <c r="N497" s="610">
        <f t="shared" si="1384"/>
        <v>5780</v>
      </c>
      <c r="O497" s="279">
        <f t="shared" si="1367"/>
        <v>5780</v>
      </c>
      <c r="P497" s="610">
        <f t="shared" si="1385"/>
        <v>5740</v>
      </c>
      <c r="Q497" s="279">
        <f t="shared" si="1386"/>
        <v>5740</v>
      </c>
      <c r="R497" s="610">
        <f t="shared" si="1387"/>
        <v>5710</v>
      </c>
      <c r="S497" s="279">
        <f t="shared" si="1369"/>
        <v>5710</v>
      </c>
      <c r="T497" s="610">
        <f t="shared" si="1388"/>
        <v>5670</v>
      </c>
      <c r="U497" s="279">
        <f t="shared" si="1389"/>
        <v>5670</v>
      </c>
      <c r="V497" s="610">
        <f t="shared" si="1390"/>
        <v>5650</v>
      </c>
      <c r="W497" s="279">
        <f t="shared" si="1391"/>
        <v>5650</v>
      </c>
      <c r="X497" s="143"/>
      <c r="Y497" s="129"/>
      <c r="Z497" s="129"/>
      <c r="AA497" s="129"/>
      <c r="AB497" s="190" t="s">
        <v>270</v>
      </c>
    </row>
    <row r="498" spans="1:28" ht="12.6" customHeight="1" x14ac:dyDescent="0.2">
      <c r="A498" s="18"/>
      <c r="B498" s="647" t="s">
        <v>621</v>
      </c>
      <c r="C498" s="648"/>
      <c r="D498" s="648"/>
      <c r="E498" s="648"/>
      <c r="F498" s="280">
        <v>5990</v>
      </c>
      <c r="G498" s="280">
        <f>+F498*$X$1</f>
        <v>5990</v>
      </c>
      <c r="H498" s="272"/>
      <c r="I498" s="332"/>
      <c r="J498" s="441">
        <f>F498+80</f>
        <v>6070</v>
      </c>
      <c r="K498" s="280"/>
      <c r="L498" s="441">
        <f t="shared" si="1382"/>
        <v>6390</v>
      </c>
      <c r="M498" s="280">
        <f t="shared" si="1383"/>
        <v>6390</v>
      </c>
      <c r="N498" s="441">
        <f t="shared" si="1384"/>
        <v>6340</v>
      </c>
      <c r="O498" s="280">
        <f t="shared" si="1367"/>
        <v>6340</v>
      </c>
      <c r="P498" s="441">
        <f t="shared" si="1385"/>
        <v>6300</v>
      </c>
      <c r="Q498" s="280">
        <f t="shared" si="1386"/>
        <v>6300</v>
      </c>
      <c r="R498" s="441">
        <f t="shared" si="1387"/>
        <v>6270</v>
      </c>
      <c r="S498" s="280">
        <f t="shared" si="1369"/>
        <v>6270</v>
      </c>
      <c r="T498" s="441">
        <f t="shared" si="1388"/>
        <v>6230</v>
      </c>
      <c r="U498" s="280">
        <f t="shared" si="1389"/>
        <v>6230</v>
      </c>
      <c r="V498" s="441">
        <f t="shared" si="1390"/>
        <v>6210</v>
      </c>
      <c r="W498" s="280">
        <f t="shared" si="1391"/>
        <v>6210</v>
      </c>
      <c r="X498" s="143"/>
      <c r="Y498" s="129"/>
      <c r="Z498" s="129"/>
      <c r="AA498" s="129"/>
      <c r="AB498" s="190" t="s">
        <v>271</v>
      </c>
    </row>
    <row r="499" spans="1:28" ht="12.6" customHeight="1" x14ac:dyDescent="0.25">
      <c r="A499" s="18"/>
      <c r="B499" s="659" t="s">
        <v>319</v>
      </c>
      <c r="C499" s="660"/>
      <c r="D499" s="660"/>
      <c r="E499" s="660"/>
      <c r="F499" s="279">
        <v>7523</v>
      </c>
      <c r="G499" s="279">
        <f>+F499*$X$1</f>
        <v>7523</v>
      </c>
      <c r="H499" s="610">
        <f t="shared" ref="H499:H504" si="1394">F499+600</f>
        <v>8123</v>
      </c>
      <c r="I499" s="279">
        <f t="shared" ref="I499:I505" si="1395">+H499*$X$1</f>
        <v>8123</v>
      </c>
      <c r="J499" s="610">
        <f t="shared" ref="J499:J504" si="1396">F499+410</f>
        <v>7933</v>
      </c>
      <c r="K499" s="279">
        <f t="shared" ref="K499" si="1397">+J499*$X$1</f>
        <v>7933</v>
      </c>
      <c r="L499" s="610">
        <f t="shared" ref="L499:L504" si="1398">F499+360</f>
        <v>7883</v>
      </c>
      <c r="M499" s="279">
        <f t="shared" si="1383"/>
        <v>7883</v>
      </c>
      <c r="N499" s="610">
        <f t="shared" ref="N499:N504" si="1399">F499+320</f>
        <v>7843</v>
      </c>
      <c r="O499" s="279">
        <f t="shared" ref="O499" si="1400">+N499*$X$1</f>
        <v>7843</v>
      </c>
      <c r="P499" s="610">
        <f t="shared" ref="P499:P504" si="1401">F499+290</f>
        <v>7813</v>
      </c>
      <c r="Q499" s="279">
        <f t="shared" ref="Q499" si="1402">+P499*$X$1</f>
        <v>7813</v>
      </c>
      <c r="R499" s="610">
        <f t="shared" ref="R499:R504" si="1403">F499+270</f>
        <v>7793</v>
      </c>
      <c r="S499" s="279">
        <f t="shared" ref="S499" si="1404">+R499*$X$1</f>
        <v>7793</v>
      </c>
      <c r="T499" s="610">
        <f t="shared" ref="T499:T504" si="1405">F499+230</f>
        <v>7753</v>
      </c>
      <c r="U499" s="279">
        <f t="shared" ref="U499" si="1406">+T499*$X$1</f>
        <v>7753</v>
      </c>
      <c r="V499" s="610">
        <f t="shared" ref="V499:V504" si="1407">F499+210</f>
        <v>7733</v>
      </c>
      <c r="W499" s="279">
        <f t="shared" ref="W499" si="1408">+V499*$X$1</f>
        <v>7733</v>
      </c>
      <c r="X499" s="767"/>
      <c r="Y499" s="768"/>
      <c r="Z499" s="768"/>
      <c r="AA499" s="768"/>
      <c r="AB499" s="190" t="s">
        <v>272</v>
      </c>
    </row>
    <row r="500" spans="1:28" ht="12.6" customHeight="1" x14ac:dyDescent="0.25">
      <c r="A500" s="18"/>
      <c r="B500" s="953" t="s">
        <v>491</v>
      </c>
      <c r="C500" s="694"/>
      <c r="D500" s="694"/>
      <c r="E500" s="695"/>
      <c r="F500" s="280">
        <v>3510</v>
      </c>
      <c r="G500" s="280">
        <f t="shared" ref="G500" si="1409">+F500*$X$1</f>
        <v>3510</v>
      </c>
      <c r="H500" s="441">
        <f t="shared" si="1394"/>
        <v>4110</v>
      </c>
      <c r="I500" s="280">
        <f t="shared" ref="I500:I504" si="1410">+H500*$X$1</f>
        <v>4110</v>
      </c>
      <c r="J500" s="441">
        <f t="shared" si="1396"/>
        <v>3920</v>
      </c>
      <c r="K500" s="280">
        <f t="shared" ref="K500:K511" si="1411">+J500*$X$1</f>
        <v>3920</v>
      </c>
      <c r="L500" s="441">
        <f t="shared" si="1398"/>
        <v>3870</v>
      </c>
      <c r="M500" s="280">
        <f t="shared" si="1383"/>
        <v>3870</v>
      </c>
      <c r="N500" s="441">
        <f t="shared" si="1399"/>
        <v>3830</v>
      </c>
      <c r="O500" s="280">
        <f t="shared" ref="O500:O504" si="1412">+N500*$X$1</f>
        <v>3830</v>
      </c>
      <c r="P500" s="441">
        <f t="shared" si="1401"/>
        <v>3800</v>
      </c>
      <c r="Q500" s="280">
        <f t="shared" ref="Q500:Q504" si="1413">+P500*$X$1</f>
        <v>3800</v>
      </c>
      <c r="R500" s="441">
        <f t="shared" si="1403"/>
        <v>3780</v>
      </c>
      <c r="S500" s="280">
        <f t="shared" ref="S500:S504" si="1414">+R500*$X$1</f>
        <v>3780</v>
      </c>
      <c r="T500" s="441">
        <f t="shared" si="1405"/>
        <v>3740</v>
      </c>
      <c r="U500" s="280">
        <f t="shared" ref="U500:U504" si="1415">+T500*$X$1</f>
        <v>3740</v>
      </c>
      <c r="V500" s="441">
        <f t="shared" si="1407"/>
        <v>3720</v>
      </c>
      <c r="W500" s="280">
        <f t="shared" ref="W500:W504" si="1416">+V500*$X$1</f>
        <v>3720</v>
      </c>
      <c r="X500" s="767"/>
      <c r="Y500" s="768"/>
      <c r="Z500" s="768"/>
      <c r="AA500" s="768"/>
      <c r="AB500" s="190" t="s">
        <v>425</v>
      </c>
    </row>
    <row r="501" spans="1:28" ht="12.6" customHeight="1" x14ac:dyDescent="0.2">
      <c r="A501" s="18"/>
      <c r="B501" s="659" t="s">
        <v>370</v>
      </c>
      <c r="C501" s="660"/>
      <c r="D501" s="660"/>
      <c r="E501" s="660"/>
      <c r="F501" s="279">
        <v>4124</v>
      </c>
      <c r="G501" s="279">
        <f>+F501*$X$1</f>
        <v>4124</v>
      </c>
      <c r="H501" s="610">
        <f t="shared" si="1394"/>
        <v>4724</v>
      </c>
      <c r="I501" s="279">
        <f t="shared" si="1410"/>
        <v>4724</v>
      </c>
      <c r="J501" s="610">
        <f t="shared" si="1396"/>
        <v>4534</v>
      </c>
      <c r="K501" s="279">
        <f t="shared" si="1411"/>
        <v>4534</v>
      </c>
      <c r="L501" s="610">
        <f t="shared" si="1398"/>
        <v>4484</v>
      </c>
      <c r="M501" s="279">
        <f t="shared" si="1383"/>
        <v>4484</v>
      </c>
      <c r="N501" s="610">
        <f t="shared" si="1399"/>
        <v>4444</v>
      </c>
      <c r="O501" s="279">
        <f t="shared" si="1412"/>
        <v>4444</v>
      </c>
      <c r="P501" s="610">
        <f t="shared" si="1401"/>
        <v>4414</v>
      </c>
      <c r="Q501" s="279">
        <f t="shared" si="1413"/>
        <v>4414</v>
      </c>
      <c r="R501" s="610">
        <f t="shared" si="1403"/>
        <v>4394</v>
      </c>
      <c r="S501" s="279">
        <f t="shared" si="1414"/>
        <v>4394</v>
      </c>
      <c r="T501" s="610">
        <f t="shared" si="1405"/>
        <v>4354</v>
      </c>
      <c r="U501" s="279">
        <f t="shared" si="1415"/>
        <v>4354</v>
      </c>
      <c r="V501" s="610">
        <f t="shared" si="1407"/>
        <v>4334</v>
      </c>
      <c r="W501" s="279">
        <f t="shared" si="1416"/>
        <v>4334</v>
      </c>
      <c r="X501" s="746"/>
      <c r="Y501" s="747"/>
      <c r="Z501" s="747"/>
      <c r="AA501" s="748"/>
      <c r="AB501" s="190" t="s">
        <v>273</v>
      </c>
    </row>
    <row r="502" spans="1:28" ht="12.6" customHeight="1" x14ac:dyDescent="0.25">
      <c r="A502" s="18"/>
      <c r="B502" s="764" t="s">
        <v>818</v>
      </c>
      <c r="C502" s="765"/>
      <c r="D502" s="765"/>
      <c r="E502" s="765"/>
      <c r="F502" s="280">
        <v>4124</v>
      </c>
      <c r="G502" s="280">
        <f t="shared" ref="G502:G504" si="1417">+F502*$X$1</f>
        <v>4124</v>
      </c>
      <c r="H502" s="441">
        <f t="shared" si="1394"/>
        <v>4724</v>
      </c>
      <c r="I502" s="280">
        <f t="shared" si="1410"/>
        <v>4724</v>
      </c>
      <c r="J502" s="441">
        <f t="shared" si="1396"/>
        <v>4534</v>
      </c>
      <c r="K502" s="280">
        <f t="shared" si="1411"/>
        <v>4534</v>
      </c>
      <c r="L502" s="441">
        <f t="shared" si="1398"/>
        <v>4484</v>
      </c>
      <c r="M502" s="280">
        <f t="shared" si="1383"/>
        <v>4484</v>
      </c>
      <c r="N502" s="441">
        <f t="shared" si="1399"/>
        <v>4444</v>
      </c>
      <c r="O502" s="280">
        <f t="shared" si="1412"/>
        <v>4444</v>
      </c>
      <c r="P502" s="441">
        <f t="shared" si="1401"/>
        <v>4414</v>
      </c>
      <c r="Q502" s="280">
        <f t="shared" si="1413"/>
        <v>4414</v>
      </c>
      <c r="R502" s="441">
        <f t="shared" si="1403"/>
        <v>4394</v>
      </c>
      <c r="S502" s="280">
        <f t="shared" si="1414"/>
        <v>4394</v>
      </c>
      <c r="T502" s="441">
        <f t="shared" si="1405"/>
        <v>4354</v>
      </c>
      <c r="U502" s="280">
        <f t="shared" si="1415"/>
        <v>4354</v>
      </c>
      <c r="V502" s="441">
        <f t="shared" si="1407"/>
        <v>4334</v>
      </c>
      <c r="W502" s="280">
        <f t="shared" si="1416"/>
        <v>4334</v>
      </c>
      <c r="X502" s="767"/>
      <c r="Y502" s="768"/>
      <c r="Z502" s="768"/>
      <c r="AA502" s="768"/>
      <c r="AB502" s="190" t="s">
        <v>274</v>
      </c>
    </row>
    <row r="503" spans="1:28" ht="12.6" customHeight="1" x14ac:dyDescent="0.25">
      <c r="A503" s="18"/>
      <c r="B503" s="868" t="s">
        <v>523</v>
      </c>
      <c r="C503" s="680"/>
      <c r="D503" s="680"/>
      <c r="E503" s="681"/>
      <c r="F503" s="281">
        <v>3510</v>
      </c>
      <c r="G503" s="279">
        <f>+F503*$X$1</f>
        <v>3510</v>
      </c>
      <c r="H503" s="610">
        <f t="shared" si="1394"/>
        <v>4110</v>
      </c>
      <c r="I503" s="279">
        <f t="shared" si="1410"/>
        <v>4110</v>
      </c>
      <c r="J503" s="610">
        <f t="shared" si="1396"/>
        <v>3920</v>
      </c>
      <c r="K503" s="279">
        <f t="shared" si="1411"/>
        <v>3920</v>
      </c>
      <c r="L503" s="610">
        <f t="shared" si="1398"/>
        <v>3870</v>
      </c>
      <c r="M503" s="279">
        <f t="shared" si="1383"/>
        <v>3870</v>
      </c>
      <c r="N503" s="610">
        <f t="shared" si="1399"/>
        <v>3830</v>
      </c>
      <c r="O503" s="279">
        <f t="shared" si="1412"/>
        <v>3830</v>
      </c>
      <c r="P503" s="610">
        <f t="shared" si="1401"/>
        <v>3800</v>
      </c>
      <c r="Q503" s="279">
        <f t="shared" si="1413"/>
        <v>3800</v>
      </c>
      <c r="R503" s="610">
        <f t="shared" si="1403"/>
        <v>3780</v>
      </c>
      <c r="S503" s="279">
        <f t="shared" si="1414"/>
        <v>3780</v>
      </c>
      <c r="T503" s="610">
        <f t="shared" si="1405"/>
        <v>3740</v>
      </c>
      <c r="U503" s="279">
        <f t="shared" si="1415"/>
        <v>3740</v>
      </c>
      <c r="V503" s="610">
        <f t="shared" si="1407"/>
        <v>3720</v>
      </c>
      <c r="W503" s="279">
        <f t="shared" si="1416"/>
        <v>3720</v>
      </c>
      <c r="X503" s="767"/>
      <c r="Y503" s="768"/>
      <c r="Z503" s="768"/>
      <c r="AA503" s="768"/>
      <c r="AB503" s="29"/>
    </row>
    <row r="504" spans="1:28" ht="12.6" customHeight="1" x14ac:dyDescent="0.25">
      <c r="A504" s="18"/>
      <c r="B504" s="647" t="s">
        <v>318</v>
      </c>
      <c r="C504" s="648"/>
      <c r="D504" s="648"/>
      <c r="E504" s="648"/>
      <c r="F504" s="280">
        <v>6990</v>
      </c>
      <c r="G504" s="280">
        <f t="shared" si="1417"/>
        <v>6990</v>
      </c>
      <c r="H504" s="441">
        <f t="shared" si="1394"/>
        <v>7590</v>
      </c>
      <c r="I504" s="280">
        <f t="shared" si="1410"/>
        <v>7590</v>
      </c>
      <c r="J504" s="441">
        <f t="shared" si="1396"/>
        <v>7400</v>
      </c>
      <c r="K504" s="280">
        <f t="shared" si="1411"/>
        <v>7400</v>
      </c>
      <c r="L504" s="441">
        <f t="shared" si="1398"/>
        <v>7350</v>
      </c>
      <c r="M504" s="280">
        <f t="shared" si="1383"/>
        <v>7350</v>
      </c>
      <c r="N504" s="441">
        <f t="shared" si="1399"/>
        <v>7310</v>
      </c>
      <c r="O504" s="280">
        <f t="shared" si="1412"/>
        <v>7310</v>
      </c>
      <c r="P504" s="441">
        <f t="shared" si="1401"/>
        <v>7280</v>
      </c>
      <c r="Q504" s="280">
        <f t="shared" si="1413"/>
        <v>7280</v>
      </c>
      <c r="R504" s="441">
        <f t="shared" si="1403"/>
        <v>7260</v>
      </c>
      <c r="S504" s="280">
        <f t="shared" si="1414"/>
        <v>7260</v>
      </c>
      <c r="T504" s="441">
        <f t="shared" si="1405"/>
        <v>7220</v>
      </c>
      <c r="U504" s="280">
        <f t="shared" si="1415"/>
        <v>7220</v>
      </c>
      <c r="V504" s="441">
        <f t="shared" si="1407"/>
        <v>7200</v>
      </c>
      <c r="W504" s="280">
        <f t="shared" si="1416"/>
        <v>7200</v>
      </c>
      <c r="X504" s="767"/>
      <c r="Y504" s="768"/>
      <c r="Z504" s="768"/>
      <c r="AA504" s="768"/>
      <c r="AB504" s="190" t="s">
        <v>275</v>
      </c>
    </row>
    <row r="505" spans="1:28" ht="12.6" customHeight="1" x14ac:dyDescent="0.2">
      <c r="A505" s="18"/>
      <c r="B505" s="659" t="s">
        <v>744</v>
      </c>
      <c r="C505" s="897"/>
      <c r="D505" s="897"/>
      <c r="E505" s="897"/>
      <c r="F505" s="279">
        <v>12023</v>
      </c>
      <c r="G505" s="279">
        <f>+F505*$X$1</f>
        <v>12023</v>
      </c>
      <c r="H505" s="610">
        <f>F505+700</f>
        <v>12723</v>
      </c>
      <c r="I505" s="279">
        <f t="shared" si="1395"/>
        <v>12723</v>
      </c>
      <c r="J505" s="610">
        <f t="shared" ref="J505:J511" si="1418">F505+430</f>
        <v>12453</v>
      </c>
      <c r="K505" s="279">
        <f t="shared" si="1411"/>
        <v>12453</v>
      </c>
      <c r="L505" s="610">
        <f t="shared" ref="L505:L511" si="1419">F505+400</f>
        <v>12423</v>
      </c>
      <c r="M505" s="279">
        <f t="shared" si="1383"/>
        <v>12423</v>
      </c>
      <c r="N505" s="610">
        <f t="shared" ref="N505:N511" si="1420">F505+350</f>
        <v>12373</v>
      </c>
      <c r="O505" s="279">
        <f t="shared" ref="O505:O511" si="1421">+N505*$X$1</f>
        <v>12373</v>
      </c>
      <c r="P505" s="610">
        <f t="shared" ref="P505:P511" si="1422">F505+310</f>
        <v>12333</v>
      </c>
      <c r="Q505" s="279">
        <f t="shared" ref="Q505:Q511" si="1423">+P505*$X$1</f>
        <v>12333</v>
      </c>
      <c r="R505" s="610">
        <f t="shared" ref="R505:R511" si="1424">F505+280</f>
        <v>12303</v>
      </c>
      <c r="S505" s="279">
        <f t="shared" ref="S505:S511" si="1425">+R505*$X$1</f>
        <v>12303</v>
      </c>
      <c r="T505" s="610">
        <f t="shared" ref="T505:T511" si="1426">F505+240</f>
        <v>12263</v>
      </c>
      <c r="U505" s="279">
        <f t="shared" ref="U505:U511" si="1427">+T505*$X$1</f>
        <v>12263</v>
      </c>
      <c r="V505" s="610">
        <f t="shared" ref="V505:V511" si="1428">F505+220</f>
        <v>12243</v>
      </c>
      <c r="W505" s="279">
        <f t="shared" ref="W505:W511" si="1429">+V505*$X$1</f>
        <v>12243</v>
      </c>
      <c r="X505" s="144"/>
      <c r="Y505" s="132"/>
      <c r="Z505" s="132"/>
      <c r="AA505" s="135"/>
      <c r="AB505" s="190" t="s">
        <v>276</v>
      </c>
    </row>
    <row r="506" spans="1:28" ht="12.6" customHeight="1" x14ac:dyDescent="0.2">
      <c r="A506" s="18"/>
      <c r="B506" s="647" t="s">
        <v>745</v>
      </c>
      <c r="C506" s="895"/>
      <c r="D506" s="895"/>
      <c r="E506" s="895"/>
      <c r="F506" s="280">
        <v>12076</v>
      </c>
      <c r="G506" s="280">
        <f t="shared" ref="G506" si="1430">+F506*$X$1</f>
        <v>12076</v>
      </c>
      <c r="H506" s="441">
        <f>F506+700</f>
        <v>12776</v>
      </c>
      <c r="I506" s="280">
        <f>+H506*$X$1</f>
        <v>12776</v>
      </c>
      <c r="J506" s="441">
        <f t="shared" si="1418"/>
        <v>12506</v>
      </c>
      <c r="K506" s="280">
        <f t="shared" si="1411"/>
        <v>12506</v>
      </c>
      <c r="L506" s="441">
        <f t="shared" si="1419"/>
        <v>12476</v>
      </c>
      <c r="M506" s="280">
        <f t="shared" si="1383"/>
        <v>12476</v>
      </c>
      <c r="N506" s="441">
        <f t="shared" si="1420"/>
        <v>12426</v>
      </c>
      <c r="O506" s="280">
        <f t="shared" si="1421"/>
        <v>12426</v>
      </c>
      <c r="P506" s="441">
        <f t="shared" si="1422"/>
        <v>12386</v>
      </c>
      <c r="Q506" s="280">
        <f t="shared" si="1423"/>
        <v>12386</v>
      </c>
      <c r="R506" s="441">
        <f t="shared" si="1424"/>
        <v>12356</v>
      </c>
      <c r="S506" s="280">
        <f t="shared" si="1425"/>
        <v>12356</v>
      </c>
      <c r="T506" s="441">
        <f t="shared" si="1426"/>
        <v>12316</v>
      </c>
      <c r="U506" s="280">
        <f t="shared" si="1427"/>
        <v>12316</v>
      </c>
      <c r="V506" s="441">
        <f t="shared" si="1428"/>
        <v>12296</v>
      </c>
      <c r="W506" s="280">
        <f t="shared" si="1429"/>
        <v>12296</v>
      </c>
      <c r="X506" s="144"/>
      <c r="Y506" s="132"/>
      <c r="Z506" s="132"/>
      <c r="AA506" s="135"/>
      <c r="AB506" s="190" t="s">
        <v>277</v>
      </c>
    </row>
    <row r="507" spans="1:28" ht="12.6" customHeight="1" x14ac:dyDescent="0.2">
      <c r="A507" s="18"/>
      <c r="B507" s="649" t="s">
        <v>912</v>
      </c>
      <c r="C507" s="896"/>
      <c r="D507" s="896"/>
      <c r="E507" s="896"/>
      <c r="F507" s="365">
        <f>9.18*X2</f>
        <v>9987.84</v>
      </c>
      <c r="G507" s="279">
        <f t="shared" ref="G507" si="1431">+F507*$X$1</f>
        <v>9987.84</v>
      </c>
      <c r="H507" s="610">
        <f>F507+700</f>
        <v>10687.84</v>
      </c>
      <c r="I507" s="279">
        <f>+H507*$X$1</f>
        <v>10687.84</v>
      </c>
      <c r="J507" s="610">
        <f t="shared" si="1418"/>
        <v>10417.84</v>
      </c>
      <c r="K507" s="279">
        <f t="shared" si="1411"/>
        <v>10417.84</v>
      </c>
      <c r="L507" s="610">
        <f t="shared" si="1419"/>
        <v>10387.84</v>
      </c>
      <c r="M507" s="279">
        <f t="shared" si="1383"/>
        <v>10387.84</v>
      </c>
      <c r="N507" s="610">
        <f t="shared" si="1420"/>
        <v>10337.84</v>
      </c>
      <c r="O507" s="279">
        <f t="shared" si="1421"/>
        <v>10337.84</v>
      </c>
      <c r="P507" s="610">
        <f t="shared" si="1422"/>
        <v>10297.84</v>
      </c>
      <c r="Q507" s="279">
        <f t="shared" si="1423"/>
        <v>10297.84</v>
      </c>
      <c r="R507" s="610">
        <f t="shared" si="1424"/>
        <v>10267.84</v>
      </c>
      <c r="S507" s="279">
        <f t="shared" si="1425"/>
        <v>10267.84</v>
      </c>
      <c r="T507" s="610">
        <f t="shared" si="1426"/>
        <v>10227.84</v>
      </c>
      <c r="U507" s="279">
        <f t="shared" si="1427"/>
        <v>10227.84</v>
      </c>
      <c r="V507" s="610">
        <f t="shared" si="1428"/>
        <v>10207.84</v>
      </c>
      <c r="W507" s="279">
        <f t="shared" si="1429"/>
        <v>10207.84</v>
      </c>
      <c r="X507" s="144"/>
      <c r="Y507" s="132"/>
      <c r="Z507" s="132"/>
      <c r="AA507" s="135"/>
      <c r="AB507" s="190" t="s">
        <v>913</v>
      </c>
    </row>
    <row r="508" spans="1:28" ht="12.6" customHeight="1" x14ac:dyDescent="0.2">
      <c r="A508" s="18"/>
      <c r="B508" s="649" t="s">
        <v>914</v>
      </c>
      <c r="C508" s="896"/>
      <c r="D508" s="896"/>
      <c r="E508" s="896"/>
      <c r="F508" s="366">
        <f>9.4*X2</f>
        <v>10227.200000000001</v>
      </c>
      <c r="G508" s="280">
        <f t="shared" ref="G508" si="1432">+F508*$X$1</f>
        <v>10227.200000000001</v>
      </c>
      <c r="H508" s="441">
        <f>F508+700</f>
        <v>10927.2</v>
      </c>
      <c r="I508" s="280">
        <f t="shared" ref="I508" si="1433">+H508*$X$1</f>
        <v>10927.2</v>
      </c>
      <c r="J508" s="441">
        <f t="shared" si="1418"/>
        <v>10657.2</v>
      </c>
      <c r="K508" s="280">
        <f t="shared" si="1411"/>
        <v>10657.2</v>
      </c>
      <c r="L508" s="441">
        <f t="shared" si="1419"/>
        <v>10627.2</v>
      </c>
      <c r="M508" s="280">
        <f t="shared" si="1383"/>
        <v>10627.2</v>
      </c>
      <c r="N508" s="441">
        <f t="shared" si="1420"/>
        <v>10577.2</v>
      </c>
      <c r="O508" s="280">
        <f t="shared" si="1421"/>
        <v>10577.2</v>
      </c>
      <c r="P508" s="441">
        <f t="shared" si="1422"/>
        <v>10537.2</v>
      </c>
      <c r="Q508" s="280">
        <f t="shared" si="1423"/>
        <v>10537.2</v>
      </c>
      <c r="R508" s="441">
        <f t="shared" si="1424"/>
        <v>10507.2</v>
      </c>
      <c r="S508" s="280">
        <f t="shared" si="1425"/>
        <v>10507.2</v>
      </c>
      <c r="T508" s="441">
        <f t="shared" si="1426"/>
        <v>10467.200000000001</v>
      </c>
      <c r="U508" s="280">
        <f t="shared" si="1427"/>
        <v>10467.200000000001</v>
      </c>
      <c r="V508" s="441">
        <f t="shared" si="1428"/>
        <v>10447.200000000001</v>
      </c>
      <c r="W508" s="280">
        <f t="shared" si="1429"/>
        <v>10447.200000000001</v>
      </c>
      <c r="X508" s="144"/>
      <c r="Y508" s="132"/>
      <c r="Z508" s="132"/>
      <c r="AA508" s="135"/>
      <c r="AB508" s="190" t="s">
        <v>915</v>
      </c>
    </row>
    <row r="509" spans="1:28" ht="12.6" customHeight="1" x14ac:dyDescent="0.2">
      <c r="A509" s="18"/>
      <c r="B509" s="659" t="s">
        <v>278</v>
      </c>
      <c r="C509" s="660"/>
      <c r="D509" s="660"/>
      <c r="E509" s="660"/>
      <c r="F509" s="279">
        <v>8316</v>
      </c>
      <c r="G509" s="279">
        <f>+F509*$X$1</f>
        <v>8316</v>
      </c>
      <c r="H509" s="610"/>
      <c r="I509" s="279"/>
      <c r="J509" s="610">
        <f t="shared" si="1418"/>
        <v>8746</v>
      </c>
      <c r="K509" s="279">
        <f t="shared" si="1411"/>
        <v>8746</v>
      </c>
      <c r="L509" s="610">
        <f t="shared" si="1419"/>
        <v>8716</v>
      </c>
      <c r="M509" s="279">
        <f t="shared" si="1383"/>
        <v>8716</v>
      </c>
      <c r="N509" s="610">
        <f t="shared" si="1420"/>
        <v>8666</v>
      </c>
      <c r="O509" s="279">
        <f t="shared" si="1421"/>
        <v>8666</v>
      </c>
      <c r="P509" s="610">
        <f t="shared" si="1422"/>
        <v>8626</v>
      </c>
      <c r="Q509" s="279">
        <f t="shared" si="1423"/>
        <v>8626</v>
      </c>
      <c r="R509" s="610">
        <f t="shared" si="1424"/>
        <v>8596</v>
      </c>
      <c r="S509" s="279">
        <f t="shared" si="1425"/>
        <v>8596</v>
      </c>
      <c r="T509" s="610">
        <f t="shared" si="1426"/>
        <v>8556</v>
      </c>
      <c r="U509" s="279">
        <f t="shared" si="1427"/>
        <v>8556</v>
      </c>
      <c r="V509" s="610">
        <f t="shared" si="1428"/>
        <v>8536</v>
      </c>
      <c r="W509" s="279">
        <f t="shared" si="1429"/>
        <v>8536</v>
      </c>
      <c r="X509" s="144"/>
      <c r="Y509" s="132"/>
      <c r="Z509" s="132"/>
      <c r="AA509" s="135"/>
      <c r="AB509" s="190" t="s">
        <v>279</v>
      </c>
    </row>
    <row r="510" spans="1:28" ht="12.6" customHeight="1" x14ac:dyDescent="0.2">
      <c r="A510" s="18"/>
      <c r="B510" s="647" t="s">
        <v>280</v>
      </c>
      <c r="C510" s="648"/>
      <c r="D510" s="648"/>
      <c r="E510" s="648"/>
      <c r="F510" s="280">
        <v>9240</v>
      </c>
      <c r="G510" s="280">
        <f>+F510*$X$1</f>
        <v>9240</v>
      </c>
      <c r="H510" s="441"/>
      <c r="I510" s="280"/>
      <c r="J510" s="441">
        <f t="shared" si="1418"/>
        <v>9670</v>
      </c>
      <c r="K510" s="280">
        <f t="shared" si="1411"/>
        <v>9670</v>
      </c>
      <c r="L510" s="441">
        <f t="shared" si="1419"/>
        <v>9640</v>
      </c>
      <c r="M510" s="280">
        <f t="shared" si="1383"/>
        <v>9640</v>
      </c>
      <c r="N510" s="441">
        <f t="shared" si="1420"/>
        <v>9590</v>
      </c>
      <c r="O510" s="280">
        <f t="shared" si="1421"/>
        <v>9590</v>
      </c>
      <c r="P510" s="441">
        <f t="shared" si="1422"/>
        <v>9550</v>
      </c>
      <c r="Q510" s="280">
        <f t="shared" si="1423"/>
        <v>9550</v>
      </c>
      <c r="R510" s="441">
        <f t="shared" si="1424"/>
        <v>9520</v>
      </c>
      <c r="S510" s="280">
        <f t="shared" si="1425"/>
        <v>9520</v>
      </c>
      <c r="T510" s="441">
        <f t="shared" si="1426"/>
        <v>9480</v>
      </c>
      <c r="U510" s="280">
        <f t="shared" si="1427"/>
        <v>9480</v>
      </c>
      <c r="V510" s="441">
        <f t="shared" si="1428"/>
        <v>9460</v>
      </c>
      <c r="W510" s="280">
        <f t="shared" si="1429"/>
        <v>9460</v>
      </c>
      <c r="X510" s="144"/>
      <c r="Y510" s="132"/>
      <c r="Z510" s="132"/>
      <c r="AA510" s="135"/>
      <c r="AB510" s="190" t="s">
        <v>281</v>
      </c>
    </row>
    <row r="511" spans="1:28" ht="12.6" customHeight="1" x14ac:dyDescent="0.2">
      <c r="A511" s="18"/>
      <c r="B511" s="649" t="s">
        <v>917</v>
      </c>
      <c r="C511" s="896"/>
      <c r="D511" s="896"/>
      <c r="E511" s="896"/>
      <c r="F511" s="279">
        <v>11390</v>
      </c>
      <c r="G511" s="279">
        <f t="shared" ref="G511:G513" si="1434">+F511*$X$1</f>
        <v>11390</v>
      </c>
      <c r="H511" s="610"/>
      <c r="I511" s="279"/>
      <c r="J511" s="610">
        <f t="shared" si="1418"/>
        <v>11820</v>
      </c>
      <c r="K511" s="279">
        <f t="shared" si="1411"/>
        <v>11820</v>
      </c>
      <c r="L511" s="610">
        <f t="shared" si="1419"/>
        <v>11790</v>
      </c>
      <c r="M511" s="279">
        <f t="shared" si="1383"/>
        <v>11790</v>
      </c>
      <c r="N511" s="610">
        <f t="shared" si="1420"/>
        <v>11740</v>
      </c>
      <c r="O511" s="279">
        <f t="shared" si="1421"/>
        <v>11740</v>
      </c>
      <c r="P511" s="610">
        <f t="shared" si="1422"/>
        <v>11700</v>
      </c>
      <c r="Q511" s="279">
        <f t="shared" si="1423"/>
        <v>11700</v>
      </c>
      <c r="R511" s="610">
        <f t="shared" si="1424"/>
        <v>11670</v>
      </c>
      <c r="S511" s="279">
        <f t="shared" si="1425"/>
        <v>11670</v>
      </c>
      <c r="T511" s="610">
        <f t="shared" si="1426"/>
        <v>11630</v>
      </c>
      <c r="U511" s="279">
        <f t="shared" si="1427"/>
        <v>11630</v>
      </c>
      <c r="V511" s="610">
        <f t="shared" si="1428"/>
        <v>11610</v>
      </c>
      <c r="W511" s="279">
        <f t="shared" si="1429"/>
        <v>11610</v>
      </c>
      <c r="X511" s="144"/>
      <c r="Y511" s="132"/>
      <c r="Z511" s="132"/>
      <c r="AA511" s="135"/>
      <c r="AB511" s="190" t="s">
        <v>916</v>
      </c>
    </row>
    <row r="512" spans="1:28" ht="12.6" customHeight="1" x14ac:dyDescent="0.2">
      <c r="A512" s="18"/>
      <c r="B512" s="649" t="s">
        <v>961</v>
      </c>
      <c r="C512" s="650"/>
      <c r="D512" s="650"/>
      <c r="E512" s="650"/>
      <c r="F512" s="366">
        <f>4.65*X2</f>
        <v>5059.2000000000007</v>
      </c>
      <c r="G512" s="280">
        <f t="shared" si="1434"/>
        <v>5059.2000000000007</v>
      </c>
      <c r="H512" s="441">
        <f t="shared" ref="H512:H517" si="1435">F512+600</f>
        <v>5659.2000000000007</v>
      </c>
      <c r="I512" s="280">
        <f t="shared" ref="I512:I513" si="1436">+H512*$X$1</f>
        <v>5659.2000000000007</v>
      </c>
      <c r="J512" s="441">
        <f>F512+410</f>
        <v>5469.2000000000007</v>
      </c>
      <c r="K512" s="280">
        <f t="shared" ref="K512:K513" si="1437">+J512*$X$1</f>
        <v>5469.2000000000007</v>
      </c>
      <c r="L512" s="441">
        <f>F512+360</f>
        <v>5419.2000000000007</v>
      </c>
      <c r="M512" s="280">
        <f t="shared" si="1383"/>
        <v>5419.2000000000007</v>
      </c>
      <c r="N512" s="441">
        <f>F512+320</f>
        <v>5379.2000000000007</v>
      </c>
      <c r="O512" s="280">
        <f t="shared" ref="O512:O513" si="1438">+N512*$X$1</f>
        <v>5379.2000000000007</v>
      </c>
      <c r="P512" s="441">
        <f>F512+290</f>
        <v>5349.2000000000007</v>
      </c>
      <c r="Q512" s="280">
        <f t="shared" ref="Q512:Q513" si="1439">+P512*$X$1</f>
        <v>5349.2000000000007</v>
      </c>
      <c r="R512" s="441">
        <f>F512+270</f>
        <v>5329.2000000000007</v>
      </c>
      <c r="S512" s="280">
        <f t="shared" ref="S512:S513" si="1440">+R512*$X$1</f>
        <v>5329.2000000000007</v>
      </c>
      <c r="T512" s="441">
        <f>F512+230</f>
        <v>5289.2000000000007</v>
      </c>
      <c r="U512" s="280">
        <f t="shared" ref="U512:U513" si="1441">+T512*$X$1</f>
        <v>5289.2000000000007</v>
      </c>
      <c r="V512" s="441">
        <f>F512+210</f>
        <v>5269.2000000000007</v>
      </c>
      <c r="W512" s="280">
        <f t="shared" ref="W512:W513" si="1442">+V512*$X$1</f>
        <v>5269.2000000000007</v>
      </c>
      <c r="X512" s="746"/>
      <c r="Y512" s="747"/>
      <c r="Z512" s="747"/>
      <c r="AA512" s="748"/>
      <c r="AB512" s="190" t="s">
        <v>962</v>
      </c>
    </row>
    <row r="513" spans="1:34" ht="12.6" customHeight="1" x14ac:dyDescent="0.2">
      <c r="A513" s="18"/>
      <c r="B513" s="649" t="s">
        <v>963</v>
      </c>
      <c r="C513" s="650"/>
      <c r="D513" s="650"/>
      <c r="E513" s="650"/>
      <c r="F513" s="365">
        <f>3.61*X2</f>
        <v>3927.68</v>
      </c>
      <c r="G513" s="279">
        <f t="shared" si="1434"/>
        <v>3927.68</v>
      </c>
      <c r="H513" s="610">
        <f t="shared" si="1435"/>
        <v>4527.68</v>
      </c>
      <c r="I513" s="279">
        <f t="shared" si="1436"/>
        <v>4527.68</v>
      </c>
      <c r="J513" s="610">
        <f>F513+410</f>
        <v>4337.68</v>
      </c>
      <c r="K513" s="279">
        <f t="shared" si="1437"/>
        <v>4337.68</v>
      </c>
      <c r="L513" s="610">
        <f>F513+360</f>
        <v>4287.68</v>
      </c>
      <c r="M513" s="279">
        <f t="shared" si="1383"/>
        <v>4287.68</v>
      </c>
      <c r="N513" s="610">
        <f>F513+320</f>
        <v>4247.68</v>
      </c>
      <c r="O513" s="279">
        <f t="shared" si="1438"/>
        <v>4247.68</v>
      </c>
      <c r="P513" s="610">
        <f>F513+290</f>
        <v>4217.68</v>
      </c>
      <c r="Q513" s="279">
        <f t="shared" si="1439"/>
        <v>4217.68</v>
      </c>
      <c r="R513" s="610">
        <f>F513+270</f>
        <v>4197.68</v>
      </c>
      <c r="S513" s="279">
        <f t="shared" si="1440"/>
        <v>4197.68</v>
      </c>
      <c r="T513" s="610">
        <f>F513+230</f>
        <v>4157.68</v>
      </c>
      <c r="U513" s="279">
        <f t="shared" si="1441"/>
        <v>4157.68</v>
      </c>
      <c r="V513" s="610">
        <f>F513+210</f>
        <v>4137.68</v>
      </c>
      <c r="W513" s="279">
        <f t="shared" si="1442"/>
        <v>4137.68</v>
      </c>
      <c r="X513" s="746"/>
      <c r="Y513" s="747"/>
      <c r="Z513" s="747"/>
      <c r="AA513" s="748"/>
      <c r="AB513" s="190" t="s">
        <v>964</v>
      </c>
    </row>
    <row r="514" spans="1:34" ht="12.6" customHeight="1" x14ac:dyDescent="0.2">
      <c r="A514" s="18"/>
      <c r="B514" s="647" t="s">
        <v>552</v>
      </c>
      <c r="C514" s="648"/>
      <c r="D514" s="648"/>
      <c r="E514" s="648"/>
      <c r="F514" s="366">
        <f>3.82*X2</f>
        <v>4156.16</v>
      </c>
      <c r="G514" s="280">
        <f t="shared" ref="G514" si="1443">+F514*$X$1</f>
        <v>4156.16</v>
      </c>
      <c r="H514" s="441">
        <f t="shared" si="1435"/>
        <v>4756.16</v>
      </c>
      <c r="I514" s="280">
        <f t="shared" ref="I514:I517" si="1444">+H514*$X$1</f>
        <v>4756.16</v>
      </c>
      <c r="J514" s="441">
        <f>F514+350</f>
        <v>4506.16</v>
      </c>
      <c r="K514" s="280">
        <f t="shared" ref="K514:K517" si="1445">+J514*$X$1</f>
        <v>4506.16</v>
      </c>
      <c r="L514" s="441">
        <f>F514+300</f>
        <v>4456.16</v>
      </c>
      <c r="M514" s="280">
        <f t="shared" ref="M514" si="1446">+L514*$X$1</f>
        <v>4456.16</v>
      </c>
      <c r="N514" s="441">
        <f>F514+270</f>
        <v>4426.16</v>
      </c>
      <c r="O514" s="280">
        <f>+N514*$X$1</f>
        <v>4426.16</v>
      </c>
      <c r="P514" s="441">
        <f>F514+240</f>
        <v>4396.16</v>
      </c>
      <c r="Q514" s="280">
        <f t="shared" ref="Q514:Q517" si="1447">+P514*$X$1</f>
        <v>4396.16</v>
      </c>
      <c r="R514" s="441">
        <f>F514+220</f>
        <v>4376.16</v>
      </c>
      <c r="S514" s="280">
        <f t="shared" ref="S514:S517" si="1448">+R514*$X$1</f>
        <v>4376.16</v>
      </c>
      <c r="T514" s="441">
        <f>F514+190</f>
        <v>4346.16</v>
      </c>
      <c r="U514" s="280">
        <f t="shared" ref="U514:U517" si="1449">+T514*$X$1</f>
        <v>4346.16</v>
      </c>
      <c r="V514" s="441">
        <f>F514+150</f>
        <v>4306.16</v>
      </c>
      <c r="W514" s="280">
        <f t="shared" ref="W514:W517" si="1450">+V514*$X$1</f>
        <v>4306.16</v>
      </c>
      <c r="X514" s="746"/>
      <c r="Y514" s="747"/>
      <c r="Z514" s="747"/>
      <c r="AA514" s="748"/>
      <c r="AB514" s="190" t="s">
        <v>282</v>
      </c>
    </row>
    <row r="515" spans="1:34" ht="12.6" customHeight="1" x14ac:dyDescent="0.2">
      <c r="A515" s="18"/>
      <c r="B515" s="659" t="s">
        <v>627</v>
      </c>
      <c r="C515" s="660"/>
      <c r="D515" s="660"/>
      <c r="E515" s="660"/>
      <c r="F515" s="365">
        <f>3.82*X2</f>
        <v>4156.16</v>
      </c>
      <c r="G515" s="279">
        <f t="shared" ref="G515" si="1451">+F515*$X$1</f>
        <v>4156.16</v>
      </c>
      <c r="H515" s="610">
        <f t="shared" si="1435"/>
        <v>4756.16</v>
      </c>
      <c r="I515" s="279">
        <f t="shared" si="1444"/>
        <v>4756.16</v>
      </c>
      <c r="J515" s="610">
        <f>F515+410</f>
        <v>4566.16</v>
      </c>
      <c r="K515" s="279">
        <f t="shared" si="1445"/>
        <v>4566.16</v>
      </c>
      <c r="L515" s="610">
        <f>F515+360</f>
        <v>4516.16</v>
      </c>
      <c r="M515" s="279">
        <f>+L515*$X$1</f>
        <v>4516.16</v>
      </c>
      <c r="N515" s="610">
        <f>F515+320</f>
        <v>4476.16</v>
      </c>
      <c r="O515" s="279">
        <f t="shared" ref="O515:O517" si="1452">+N515*$X$1</f>
        <v>4476.16</v>
      </c>
      <c r="P515" s="610">
        <f>F515+290</f>
        <v>4446.16</v>
      </c>
      <c r="Q515" s="279">
        <f t="shared" si="1447"/>
        <v>4446.16</v>
      </c>
      <c r="R515" s="610">
        <f>F515+270</f>
        <v>4426.16</v>
      </c>
      <c r="S515" s="279">
        <f t="shared" si="1448"/>
        <v>4426.16</v>
      </c>
      <c r="T515" s="610">
        <f>F515+230</f>
        <v>4386.16</v>
      </c>
      <c r="U515" s="279">
        <f t="shared" si="1449"/>
        <v>4386.16</v>
      </c>
      <c r="V515" s="610">
        <f>F515+210</f>
        <v>4366.16</v>
      </c>
      <c r="W515" s="279">
        <f t="shared" si="1450"/>
        <v>4366.16</v>
      </c>
      <c r="X515" s="746"/>
      <c r="Y515" s="747"/>
      <c r="Z515" s="747"/>
      <c r="AA515" s="748"/>
      <c r="AB515" s="190" t="s">
        <v>628</v>
      </c>
    </row>
    <row r="516" spans="1:34" ht="12.6" customHeight="1" x14ac:dyDescent="0.2">
      <c r="A516" s="18"/>
      <c r="B516" s="647" t="s">
        <v>383</v>
      </c>
      <c r="C516" s="766"/>
      <c r="D516" s="766"/>
      <c r="E516" s="766"/>
      <c r="F516" s="366">
        <f>3.116*X2</f>
        <v>3390.2080000000001</v>
      </c>
      <c r="G516" s="280">
        <f t="shared" ref="G516" si="1453">+F516*$X$1</f>
        <v>3390.2080000000001</v>
      </c>
      <c r="H516" s="441">
        <f t="shared" si="1435"/>
        <v>3990.2080000000001</v>
      </c>
      <c r="I516" s="280">
        <f t="shared" si="1444"/>
        <v>3990.2080000000001</v>
      </c>
      <c r="J516" s="441">
        <f>F516+410</f>
        <v>3800.2080000000001</v>
      </c>
      <c r="K516" s="280">
        <f t="shared" si="1445"/>
        <v>3800.2080000000001</v>
      </c>
      <c r="L516" s="441">
        <f>F516+360</f>
        <v>3750.2080000000001</v>
      </c>
      <c r="M516" s="280">
        <f>+L516*$X$1</f>
        <v>3750.2080000000001</v>
      </c>
      <c r="N516" s="441">
        <f>F516+320</f>
        <v>3710.2080000000001</v>
      </c>
      <c r="O516" s="280">
        <f t="shared" si="1452"/>
        <v>3710.2080000000001</v>
      </c>
      <c r="P516" s="441">
        <f>F516+290</f>
        <v>3680.2080000000001</v>
      </c>
      <c r="Q516" s="280">
        <f t="shared" si="1447"/>
        <v>3680.2080000000001</v>
      </c>
      <c r="R516" s="441">
        <f>F516+270</f>
        <v>3660.2080000000001</v>
      </c>
      <c r="S516" s="280">
        <f t="shared" si="1448"/>
        <v>3660.2080000000001</v>
      </c>
      <c r="T516" s="441">
        <f>F516+230</f>
        <v>3620.2080000000001</v>
      </c>
      <c r="U516" s="280">
        <f t="shared" si="1449"/>
        <v>3620.2080000000001</v>
      </c>
      <c r="V516" s="441">
        <f>F516+210</f>
        <v>3600.2080000000001</v>
      </c>
      <c r="W516" s="280">
        <f t="shared" si="1450"/>
        <v>3600.2080000000001</v>
      </c>
      <c r="X516" s="746"/>
      <c r="Y516" s="747"/>
      <c r="Z516" s="747"/>
      <c r="AA516" s="748"/>
      <c r="AB516" s="190" t="s">
        <v>450</v>
      </c>
    </row>
    <row r="517" spans="1:34" ht="12.6" customHeight="1" x14ac:dyDescent="0.2">
      <c r="A517" s="18"/>
      <c r="B517" s="659" t="s">
        <v>673</v>
      </c>
      <c r="C517" s="728"/>
      <c r="D517" s="728"/>
      <c r="E517" s="728"/>
      <c r="F517" s="365">
        <f>5*X2</f>
        <v>5440</v>
      </c>
      <c r="G517" s="279">
        <f t="shared" ref="G517" si="1454">+F517*$X$1</f>
        <v>5440</v>
      </c>
      <c r="H517" s="610">
        <f t="shared" si="1435"/>
        <v>6040</v>
      </c>
      <c r="I517" s="279">
        <f t="shared" si="1444"/>
        <v>6040</v>
      </c>
      <c r="J517" s="610">
        <f>F517+410</f>
        <v>5850</v>
      </c>
      <c r="K517" s="279">
        <f t="shared" si="1445"/>
        <v>5850</v>
      </c>
      <c r="L517" s="610">
        <f>F517+360</f>
        <v>5800</v>
      </c>
      <c r="M517" s="279">
        <f>+L517*$X$1</f>
        <v>5800</v>
      </c>
      <c r="N517" s="610">
        <f>F517+320</f>
        <v>5760</v>
      </c>
      <c r="O517" s="279">
        <f t="shared" si="1452"/>
        <v>5760</v>
      </c>
      <c r="P517" s="610">
        <f>F517+290</f>
        <v>5730</v>
      </c>
      <c r="Q517" s="279">
        <f t="shared" si="1447"/>
        <v>5730</v>
      </c>
      <c r="R517" s="610">
        <f>F517+270</f>
        <v>5710</v>
      </c>
      <c r="S517" s="279">
        <f t="shared" si="1448"/>
        <v>5710</v>
      </c>
      <c r="T517" s="610">
        <f>F517+230</f>
        <v>5670</v>
      </c>
      <c r="U517" s="279">
        <f t="shared" si="1449"/>
        <v>5670</v>
      </c>
      <c r="V517" s="610">
        <f>F517+210</f>
        <v>5650</v>
      </c>
      <c r="W517" s="279">
        <f t="shared" si="1450"/>
        <v>5650</v>
      </c>
      <c r="X517" s="746"/>
      <c r="Y517" s="747"/>
      <c r="Z517" s="747"/>
      <c r="AA517" s="748"/>
      <c r="AB517" s="190" t="s">
        <v>674</v>
      </c>
    </row>
    <row r="518" spans="1:34" ht="17.25" customHeight="1" x14ac:dyDescent="0.2">
      <c r="A518" s="102"/>
      <c r="B518" s="226"/>
      <c r="C518" s="61"/>
      <c r="D518" s="61"/>
      <c r="E518" s="61"/>
      <c r="F518" s="127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227"/>
      <c r="Y518" s="228"/>
      <c r="Z518" s="228"/>
      <c r="AA518" s="227"/>
      <c r="AB518" s="38"/>
      <c r="AC518" s="64"/>
    </row>
    <row r="519" spans="1:34" ht="14.25" customHeight="1" x14ac:dyDescent="0.2">
      <c r="B519" s="762" t="s">
        <v>481</v>
      </c>
      <c r="C519" s="763"/>
      <c r="D519" s="763"/>
      <c r="E519" s="763"/>
      <c r="F519" s="763"/>
      <c r="G519" s="763"/>
      <c r="H519" s="763"/>
      <c r="I519" s="763"/>
      <c r="J519" s="763"/>
      <c r="K519" s="763"/>
      <c r="L519" s="763"/>
      <c r="M519" s="763"/>
      <c r="N519" s="763"/>
      <c r="O519" s="763"/>
      <c r="P519" s="763"/>
      <c r="Q519" s="763"/>
      <c r="R519" s="763"/>
      <c r="S519" s="763"/>
      <c r="T519" s="763"/>
      <c r="U519" s="763"/>
      <c r="V519" s="763"/>
      <c r="W519" s="763"/>
      <c r="AB519" s="4"/>
      <c r="AF519" s="760"/>
      <c r="AG519" s="761"/>
      <c r="AH519" s="761"/>
    </row>
    <row r="520" spans="1:34" ht="13.5" customHeight="1" x14ac:dyDescent="0.2">
      <c r="B520" s="783" t="s">
        <v>11</v>
      </c>
      <c r="C520" s="783" t="s">
        <v>12</v>
      </c>
      <c r="D520" s="784"/>
      <c r="E520" s="784"/>
      <c r="F520" s="685" t="s">
        <v>283</v>
      </c>
      <c r="G520" s="685" t="s">
        <v>13</v>
      </c>
      <c r="H520" s="692" t="s">
        <v>903</v>
      </c>
      <c r="I520" s="692"/>
      <c r="J520" s="693"/>
      <c r="K520" s="693"/>
      <c r="L520" s="693"/>
      <c r="M520" s="693"/>
      <c r="N520" s="693"/>
      <c r="O520" s="693"/>
      <c r="P520" s="693"/>
      <c r="Q520" s="693"/>
      <c r="R520" s="693"/>
      <c r="S520" s="693"/>
      <c r="T520" s="693"/>
      <c r="U520" s="693"/>
      <c r="V520" s="693"/>
      <c r="W520" s="693"/>
      <c r="X520" s="651" t="s">
        <v>14</v>
      </c>
      <c r="Y520" s="652"/>
      <c r="Z520" s="652"/>
      <c r="AA520" s="653"/>
      <c r="AB520" s="798" t="s">
        <v>15</v>
      </c>
      <c r="AF520" s="760" t="s">
        <v>3</v>
      </c>
      <c r="AG520" s="761"/>
      <c r="AH520" s="761"/>
    </row>
    <row r="521" spans="1:34" ht="9.75" customHeight="1" x14ac:dyDescent="0.2">
      <c r="B521" s="784"/>
      <c r="C521" s="784"/>
      <c r="D521" s="784"/>
      <c r="E521" s="784"/>
      <c r="F521" s="686"/>
      <c r="G521" s="686"/>
      <c r="H521" s="453"/>
      <c r="I521" s="452" t="s">
        <v>547</v>
      </c>
      <c r="J521" s="453"/>
      <c r="K521" s="452" t="s">
        <v>284</v>
      </c>
      <c r="L521" s="453"/>
      <c r="M521" s="452" t="s">
        <v>285</v>
      </c>
      <c r="N521" s="453"/>
      <c r="O521" s="452" t="s">
        <v>549</v>
      </c>
      <c r="P521" s="453"/>
      <c r="Q521" s="452" t="s">
        <v>17</v>
      </c>
      <c r="R521" s="453"/>
      <c r="S521" s="452" t="s">
        <v>18</v>
      </c>
      <c r="T521" s="453"/>
      <c r="U521" s="452" t="s">
        <v>19</v>
      </c>
      <c r="V521" s="453"/>
      <c r="W521" s="452" t="s">
        <v>550</v>
      </c>
      <c r="X521" s="654"/>
      <c r="Y521" s="655"/>
      <c r="Z521" s="655"/>
      <c r="AA521" s="656"/>
      <c r="AB521" s="799"/>
    </row>
    <row r="522" spans="1:34" ht="12" customHeight="1" x14ac:dyDescent="0.2">
      <c r="A522" s="4"/>
      <c r="B522" s="785" t="s">
        <v>737</v>
      </c>
      <c r="C522" s="725"/>
      <c r="D522" s="725"/>
      <c r="E522" s="725"/>
      <c r="F522" s="369">
        <f>8.8*X2</f>
        <v>9574.4000000000015</v>
      </c>
      <c r="G522" s="309">
        <f t="shared" ref="G522" si="1455">+F522*$X$1</f>
        <v>9574.4000000000015</v>
      </c>
      <c r="H522" s="100">
        <f>F522+6000</f>
        <v>15574.400000000001</v>
      </c>
      <c r="I522" s="309">
        <f t="shared" ref="I522" si="1456">+H522*$X$1</f>
        <v>15574.400000000001</v>
      </c>
      <c r="J522" s="100">
        <f>F522+2000</f>
        <v>11574.400000000001</v>
      </c>
      <c r="K522" s="309">
        <f t="shared" ref="K522" si="1457">+J522*$X$1</f>
        <v>11574.400000000001</v>
      </c>
      <c r="L522" s="100">
        <f>F522+1700</f>
        <v>11274.400000000001</v>
      </c>
      <c r="M522" s="309">
        <f t="shared" ref="M522" si="1458">+L522*$X$1</f>
        <v>11274.400000000001</v>
      </c>
      <c r="N522" s="100">
        <f>F522+1550</f>
        <v>11124.400000000001</v>
      </c>
      <c r="O522" s="309">
        <f t="shared" ref="O522" si="1459">+N522*$X$1</f>
        <v>11124.400000000001</v>
      </c>
      <c r="P522" s="100">
        <f>F522+1350</f>
        <v>10924.400000000001</v>
      </c>
      <c r="Q522" s="309">
        <f t="shared" ref="Q522" si="1460">+P522*$X$1</f>
        <v>10924.400000000001</v>
      </c>
      <c r="R522" s="100">
        <f>F522+1200</f>
        <v>10774.400000000001</v>
      </c>
      <c r="S522" s="309">
        <f t="shared" ref="S522" si="1461">+R522*$X$1</f>
        <v>10774.400000000001</v>
      </c>
      <c r="T522" s="100">
        <f>F522+1050</f>
        <v>10624.400000000001</v>
      </c>
      <c r="U522" s="309">
        <f t="shared" ref="U522" si="1462">+T522*$X$1</f>
        <v>10624.400000000001</v>
      </c>
      <c r="V522" s="100">
        <f>F522+900</f>
        <v>10474.400000000001</v>
      </c>
      <c r="W522" s="309">
        <f t="shared" ref="W522" si="1463">+V522*$X$1</f>
        <v>10474.400000000001</v>
      </c>
      <c r="X522" s="137"/>
      <c r="Y522" s="132"/>
      <c r="Z522" s="138"/>
      <c r="AA522" s="139"/>
      <c r="AB522" s="400" t="s">
        <v>741</v>
      </c>
    </row>
    <row r="523" spans="1:34" ht="12" customHeight="1" x14ac:dyDescent="0.2">
      <c r="A523" s="4"/>
      <c r="B523" s="795" t="s">
        <v>736</v>
      </c>
      <c r="C523" s="711"/>
      <c r="D523" s="711"/>
      <c r="E523" s="711"/>
      <c r="F523" s="370">
        <f>8.8*X2</f>
        <v>9574.4000000000015</v>
      </c>
      <c r="G523" s="296">
        <f t="shared" ref="G523" si="1464">+F523*$X$1</f>
        <v>9574.4000000000015</v>
      </c>
      <c r="H523" s="101">
        <f>F523+5000</f>
        <v>14574.400000000001</v>
      </c>
      <c r="I523" s="296">
        <f t="shared" ref="I523" si="1465">+H523*$X$1</f>
        <v>14574.400000000001</v>
      </c>
      <c r="J523" s="101">
        <f>F523+1200</f>
        <v>10774.400000000001</v>
      </c>
      <c r="K523" s="296">
        <f t="shared" ref="K523" si="1466">+J523*$X$1</f>
        <v>10774.400000000001</v>
      </c>
      <c r="L523" s="101">
        <f>F523+1000</f>
        <v>10574.400000000001</v>
      </c>
      <c r="M523" s="296">
        <f t="shared" ref="M523" si="1467">+L523*$X$1</f>
        <v>10574.400000000001</v>
      </c>
      <c r="N523" s="101">
        <f>F523+850</f>
        <v>10424.400000000001</v>
      </c>
      <c r="O523" s="296">
        <f t="shared" ref="O523" si="1468">+N523*$X$1</f>
        <v>10424.400000000001</v>
      </c>
      <c r="P523" s="101">
        <f>F523+740</f>
        <v>10314.400000000001</v>
      </c>
      <c r="Q523" s="296">
        <f t="shared" ref="Q523" si="1469">+P523*$X$1</f>
        <v>10314.400000000001</v>
      </c>
      <c r="R523" s="101">
        <f>F523+650</f>
        <v>10224.400000000001</v>
      </c>
      <c r="S523" s="296">
        <f t="shared" ref="S523" si="1470">+R523*$X$1</f>
        <v>10224.400000000001</v>
      </c>
      <c r="T523" s="101">
        <f>F523+560</f>
        <v>10134.400000000001</v>
      </c>
      <c r="U523" s="296">
        <f t="shared" ref="U523" si="1471">+T523*$X$1</f>
        <v>10134.400000000001</v>
      </c>
      <c r="V523" s="101">
        <f>F523+450</f>
        <v>10024.400000000001</v>
      </c>
      <c r="W523" s="296">
        <f t="shared" ref="W523" si="1472">+V523*$X$1</f>
        <v>10024.400000000001</v>
      </c>
      <c r="X523" s="137"/>
      <c r="Y523" s="132"/>
      <c r="Z523" s="138"/>
      <c r="AA523" s="139"/>
      <c r="AB523" s="386">
        <v>873</v>
      </c>
    </row>
    <row r="524" spans="1:34" ht="12" customHeight="1" x14ac:dyDescent="0.2">
      <c r="A524" s="4"/>
      <c r="B524" s="785" t="s">
        <v>690</v>
      </c>
      <c r="C524" s="725"/>
      <c r="D524" s="725"/>
      <c r="E524" s="725"/>
      <c r="F524" s="369">
        <f>17.6*X2</f>
        <v>19148.800000000003</v>
      </c>
      <c r="G524" s="309">
        <f t="shared" ref="G524" si="1473">+F524*$X$1</f>
        <v>19148.800000000003</v>
      </c>
      <c r="H524" s="101">
        <f>F524+5000</f>
        <v>24148.800000000003</v>
      </c>
      <c r="I524" s="309">
        <f t="shared" ref="I524:I525" si="1474">+H524*$X$1</f>
        <v>24148.800000000003</v>
      </c>
      <c r="J524" s="100">
        <f>F524+1200</f>
        <v>20348.800000000003</v>
      </c>
      <c r="K524" s="309">
        <f t="shared" ref="K524:K525" si="1475">+J524*$X$1</f>
        <v>20348.800000000003</v>
      </c>
      <c r="L524" s="100">
        <f>F524+1000</f>
        <v>20148.800000000003</v>
      </c>
      <c r="M524" s="309">
        <f t="shared" ref="M524:M525" si="1476">+L524*$X$1</f>
        <v>20148.800000000003</v>
      </c>
      <c r="N524" s="100">
        <f>F524+850</f>
        <v>19998.800000000003</v>
      </c>
      <c r="O524" s="309">
        <f t="shared" ref="O524:O525" si="1477">+N524*$X$1</f>
        <v>19998.800000000003</v>
      </c>
      <c r="P524" s="100">
        <f>F524+740</f>
        <v>19888.800000000003</v>
      </c>
      <c r="Q524" s="309">
        <f t="shared" ref="Q524:Q525" si="1478">+P524*$X$1</f>
        <v>19888.800000000003</v>
      </c>
      <c r="R524" s="100">
        <f>F524+650</f>
        <v>19798.800000000003</v>
      </c>
      <c r="S524" s="309">
        <f t="shared" ref="S524:S525" si="1479">+R524*$X$1</f>
        <v>19798.800000000003</v>
      </c>
      <c r="T524" s="100">
        <f>F524+560</f>
        <v>19708.800000000003</v>
      </c>
      <c r="U524" s="309">
        <f t="shared" ref="U524:U525" si="1480">+T524*$X$1</f>
        <v>19708.800000000003</v>
      </c>
      <c r="V524" s="100">
        <f>F524+450</f>
        <v>19598.800000000003</v>
      </c>
      <c r="W524" s="309">
        <f t="shared" ref="W524:W525" si="1481">+V524*$X$1</f>
        <v>19598.800000000003</v>
      </c>
      <c r="X524" s="137"/>
      <c r="Y524" s="132"/>
      <c r="Z524" s="138"/>
      <c r="AA524" s="139"/>
      <c r="AB524" s="386">
        <v>874</v>
      </c>
    </row>
    <row r="525" spans="1:34" ht="12.6" customHeight="1" x14ac:dyDescent="0.2">
      <c r="A525" s="4"/>
      <c r="B525" s="795" t="s">
        <v>657</v>
      </c>
      <c r="C525" s="711"/>
      <c r="D525" s="711"/>
      <c r="E525" s="711"/>
      <c r="F525" s="370">
        <f>11*X2</f>
        <v>11968</v>
      </c>
      <c r="G525" s="296">
        <f t="shared" ref="G525:G526" si="1482">+F525*$X$1</f>
        <v>11968</v>
      </c>
      <c r="H525" s="101">
        <f>F525+6000</f>
        <v>17968</v>
      </c>
      <c r="I525" s="296">
        <f t="shared" si="1474"/>
        <v>17968</v>
      </c>
      <c r="J525" s="101">
        <f>F525+2000</f>
        <v>13968</v>
      </c>
      <c r="K525" s="296">
        <f t="shared" si="1475"/>
        <v>13968</v>
      </c>
      <c r="L525" s="101">
        <f>F525+1700</f>
        <v>13668</v>
      </c>
      <c r="M525" s="296">
        <f t="shared" si="1476"/>
        <v>13668</v>
      </c>
      <c r="N525" s="101">
        <f>F525+1550</f>
        <v>13518</v>
      </c>
      <c r="O525" s="296">
        <f t="shared" si="1477"/>
        <v>13518</v>
      </c>
      <c r="P525" s="101">
        <f>F525+1350</f>
        <v>13318</v>
      </c>
      <c r="Q525" s="296">
        <f t="shared" si="1478"/>
        <v>13318</v>
      </c>
      <c r="R525" s="101">
        <f>F525+1200</f>
        <v>13168</v>
      </c>
      <c r="S525" s="296">
        <f t="shared" si="1479"/>
        <v>13168</v>
      </c>
      <c r="T525" s="101">
        <f>F525+1050</f>
        <v>13018</v>
      </c>
      <c r="U525" s="296">
        <f t="shared" si="1480"/>
        <v>13018</v>
      </c>
      <c r="V525" s="101">
        <f>F525+900</f>
        <v>12868</v>
      </c>
      <c r="W525" s="296">
        <f t="shared" si="1481"/>
        <v>12868</v>
      </c>
      <c r="X525" s="137"/>
      <c r="Y525" s="132"/>
      <c r="Z525" s="138"/>
      <c r="AA525" s="139"/>
      <c r="AB525" s="386" t="s">
        <v>667</v>
      </c>
    </row>
    <row r="526" spans="1:34" ht="12" customHeight="1" x14ac:dyDescent="0.2">
      <c r="A526" s="4"/>
      <c r="B526" s="779" t="s">
        <v>658</v>
      </c>
      <c r="C526" s="648"/>
      <c r="D526" s="648"/>
      <c r="E526" s="648"/>
      <c r="F526" s="369">
        <f>11*X2</f>
        <v>11968</v>
      </c>
      <c r="G526" s="309">
        <f t="shared" si="1482"/>
        <v>11968</v>
      </c>
      <c r="H526" s="101">
        <f>F526+5000</f>
        <v>16968</v>
      </c>
      <c r="I526" s="309">
        <f t="shared" ref="I526:I528" si="1483">+H526*$X$1</f>
        <v>16968</v>
      </c>
      <c r="J526" s="100">
        <f>F526+1200</f>
        <v>13168</v>
      </c>
      <c r="K526" s="309">
        <f t="shared" ref="K526:K528" si="1484">+J526*$X$1</f>
        <v>13168</v>
      </c>
      <c r="L526" s="100">
        <f>F526+1000</f>
        <v>12968</v>
      </c>
      <c r="M526" s="309">
        <f t="shared" ref="M526:M528" si="1485">+L526*$X$1</f>
        <v>12968</v>
      </c>
      <c r="N526" s="100">
        <f>F526+850</f>
        <v>12818</v>
      </c>
      <c r="O526" s="309">
        <f t="shared" ref="O526:O528" si="1486">+N526*$X$1</f>
        <v>12818</v>
      </c>
      <c r="P526" s="100">
        <f>F526+740</f>
        <v>12708</v>
      </c>
      <c r="Q526" s="309">
        <f t="shared" ref="Q526:Q528" si="1487">+P526*$X$1</f>
        <v>12708</v>
      </c>
      <c r="R526" s="100">
        <f>F526+650</f>
        <v>12618</v>
      </c>
      <c r="S526" s="309">
        <f t="shared" ref="S526:S528" si="1488">+R526*$X$1</f>
        <v>12618</v>
      </c>
      <c r="T526" s="100">
        <f>F526+560</f>
        <v>12528</v>
      </c>
      <c r="U526" s="309">
        <f t="shared" ref="U526:U528" si="1489">+T526*$X$1</f>
        <v>12528</v>
      </c>
      <c r="V526" s="100">
        <f>F526+450</f>
        <v>12418</v>
      </c>
      <c r="W526" s="309">
        <f t="shared" ref="W526:W528" si="1490">+V526*$X$1</f>
        <v>12418</v>
      </c>
      <c r="X526" s="137"/>
      <c r="Y526" s="132"/>
      <c r="Z526" s="138"/>
      <c r="AA526" s="139"/>
      <c r="AB526" s="386">
        <v>875</v>
      </c>
    </row>
    <row r="527" spans="1:34" ht="12.6" customHeight="1" x14ac:dyDescent="0.2">
      <c r="A527" s="4"/>
      <c r="B527" s="795" t="s">
        <v>738</v>
      </c>
      <c r="C527" s="711"/>
      <c r="D527" s="711"/>
      <c r="E527" s="711"/>
      <c r="F527" s="370">
        <f>18.1*X2</f>
        <v>19692.800000000003</v>
      </c>
      <c r="G527" s="296">
        <f t="shared" ref="G527" si="1491">+F527*$X$1</f>
        <v>19692.800000000003</v>
      </c>
      <c r="H527" s="101">
        <f>F527+5000</f>
        <v>24692.800000000003</v>
      </c>
      <c r="I527" s="296">
        <f t="shared" si="1483"/>
        <v>24692.800000000003</v>
      </c>
      <c r="J527" s="101">
        <f>F527+1200</f>
        <v>20892.800000000003</v>
      </c>
      <c r="K527" s="296">
        <f t="shared" si="1484"/>
        <v>20892.800000000003</v>
      </c>
      <c r="L527" s="101">
        <f>F527+1000</f>
        <v>20692.800000000003</v>
      </c>
      <c r="M527" s="296">
        <f t="shared" si="1485"/>
        <v>20692.800000000003</v>
      </c>
      <c r="N527" s="101">
        <f>F527+850</f>
        <v>20542.800000000003</v>
      </c>
      <c r="O527" s="296">
        <f t="shared" si="1486"/>
        <v>20542.800000000003</v>
      </c>
      <c r="P527" s="101">
        <f>F527+740</f>
        <v>20432.800000000003</v>
      </c>
      <c r="Q527" s="296">
        <f t="shared" si="1487"/>
        <v>20432.800000000003</v>
      </c>
      <c r="R527" s="101">
        <f>F527+650</f>
        <v>20342.800000000003</v>
      </c>
      <c r="S527" s="296">
        <f t="shared" si="1488"/>
        <v>20342.800000000003</v>
      </c>
      <c r="T527" s="101">
        <f>F527+560</f>
        <v>20252.800000000003</v>
      </c>
      <c r="U527" s="296">
        <f t="shared" si="1489"/>
        <v>20252.800000000003</v>
      </c>
      <c r="V527" s="101">
        <f>F527+450</f>
        <v>20142.800000000003</v>
      </c>
      <c r="W527" s="296">
        <f t="shared" si="1490"/>
        <v>20142.800000000003</v>
      </c>
      <c r="X527" s="137"/>
      <c r="Y527" s="132"/>
      <c r="Z527" s="138"/>
      <c r="AA527" s="139"/>
      <c r="AB527" s="386">
        <v>876</v>
      </c>
    </row>
    <row r="528" spans="1:34" ht="12.6" customHeight="1" x14ac:dyDescent="0.2">
      <c r="A528" s="4"/>
      <c r="B528" s="785" t="s">
        <v>691</v>
      </c>
      <c r="C528" s="725"/>
      <c r="D528" s="725"/>
      <c r="E528" s="725"/>
      <c r="F528" s="369">
        <f>15.37*X2</f>
        <v>16722.559999999998</v>
      </c>
      <c r="G528" s="309">
        <f t="shared" ref="G528" si="1492">+F528*$X$1</f>
        <v>16722.559999999998</v>
      </c>
      <c r="H528" s="100">
        <f>F528+6000</f>
        <v>22722.559999999998</v>
      </c>
      <c r="I528" s="309">
        <f t="shared" si="1483"/>
        <v>22722.559999999998</v>
      </c>
      <c r="J528" s="100">
        <f>F528+2000</f>
        <v>18722.559999999998</v>
      </c>
      <c r="K528" s="309">
        <f t="shared" si="1484"/>
        <v>18722.559999999998</v>
      </c>
      <c r="L528" s="100">
        <f>F528+1700</f>
        <v>18422.559999999998</v>
      </c>
      <c r="M528" s="309">
        <f t="shared" si="1485"/>
        <v>18422.559999999998</v>
      </c>
      <c r="N528" s="100">
        <f>F528+1550</f>
        <v>18272.559999999998</v>
      </c>
      <c r="O528" s="309">
        <f t="shared" si="1486"/>
        <v>18272.559999999998</v>
      </c>
      <c r="P528" s="100">
        <f>F528+1350</f>
        <v>18072.559999999998</v>
      </c>
      <c r="Q528" s="309">
        <f t="shared" si="1487"/>
        <v>18072.559999999998</v>
      </c>
      <c r="R528" s="100">
        <f>F528+1200</f>
        <v>17922.559999999998</v>
      </c>
      <c r="S528" s="309">
        <f t="shared" si="1488"/>
        <v>17922.559999999998</v>
      </c>
      <c r="T528" s="100">
        <f>F528+1050</f>
        <v>17772.559999999998</v>
      </c>
      <c r="U528" s="309">
        <f t="shared" si="1489"/>
        <v>17772.559999999998</v>
      </c>
      <c r="V528" s="100">
        <f>F528+900</f>
        <v>17622.559999999998</v>
      </c>
      <c r="W528" s="309">
        <f t="shared" si="1490"/>
        <v>17622.559999999998</v>
      </c>
      <c r="X528" s="137"/>
      <c r="Y528" s="132"/>
      <c r="Z528" s="138"/>
      <c r="AA528" s="139"/>
      <c r="AB528" s="386" t="s">
        <v>614</v>
      </c>
    </row>
    <row r="529" spans="1:28" ht="12.6" customHeight="1" x14ac:dyDescent="0.2">
      <c r="A529" s="4"/>
      <c r="B529" s="795" t="s">
        <v>692</v>
      </c>
      <c r="C529" s="711"/>
      <c r="D529" s="711"/>
      <c r="E529" s="711"/>
      <c r="F529" s="370">
        <f>15.37*X2</f>
        <v>16722.559999999998</v>
      </c>
      <c r="G529" s="296">
        <f t="shared" ref="G529" si="1493">+F529*$X$1</f>
        <v>16722.559999999998</v>
      </c>
      <c r="H529" s="101">
        <f>F529+5000</f>
        <v>21722.559999999998</v>
      </c>
      <c r="I529" s="296">
        <f t="shared" ref="I529:I530" si="1494">+H529*$X$1</f>
        <v>21722.559999999998</v>
      </c>
      <c r="J529" s="101">
        <f>F529+1200</f>
        <v>17922.559999999998</v>
      </c>
      <c r="K529" s="296">
        <f t="shared" ref="K529:K530" si="1495">+J529*$X$1</f>
        <v>17922.559999999998</v>
      </c>
      <c r="L529" s="101">
        <f>F529+1000</f>
        <v>17722.559999999998</v>
      </c>
      <c r="M529" s="296">
        <f t="shared" ref="M529:M530" si="1496">+L529*$X$1</f>
        <v>17722.559999999998</v>
      </c>
      <c r="N529" s="101">
        <f>F529+850</f>
        <v>17572.559999999998</v>
      </c>
      <c r="O529" s="296">
        <f t="shared" ref="O529:O530" si="1497">+N529*$X$1</f>
        <v>17572.559999999998</v>
      </c>
      <c r="P529" s="101">
        <f>F529+740</f>
        <v>17462.559999999998</v>
      </c>
      <c r="Q529" s="296">
        <f t="shared" ref="Q529:Q530" si="1498">+P529*$X$1</f>
        <v>17462.559999999998</v>
      </c>
      <c r="R529" s="101">
        <f>F529+650</f>
        <v>17372.559999999998</v>
      </c>
      <c r="S529" s="296">
        <f t="shared" ref="S529:S530" si="1499">+R529*$X$1</f>
        <v>17372.559999999998</v>
      </c>
      <c r="T529" s="101">
        <f>F529+560</f>
        <v>17282.559999999998</v>
      </c>
      <c r="U529" s="296">
        <f t="shared" ref="U529:U530" si="1500">+T529*$X$1</f>
        <v>17282.559999999998</v>
      </c>
      <c r="V529" s="101">
        <f>F529+450</f>
        <v>17172.559999999998</v>
      </c>
      <c r="W529" s="296">
        <f t="shared" ref="W529:W530" si="1501">+V529*$X$1</f>
        <v>17172.559999999998</v>
      </c>
      <c r="X529" s="137"/>
      <c r="Y529" s="132"/>
      <c r="Z529" s="138"/>
      <c r="AA529" s="139"/>
      <c r="AB529" s="386">
        <v>878</v>
      </c>
    </row>
    <row r="530" spans="1:28" ht="12.6" customHeight="1" x14ac:dyDescent="0.2">
      <c r="A530" s="4"/>
      <c r="B530" s="785" t="s">
        <v>659</v>
      </c>
      <c r="C530" s="725"/>
      <c r="D530" s="725"/>
      <c r="E530" s="725"/>
      <c r="F530" s="369">
        <f>22.75*X2</f>
        <v>24752</v>
      </c>
      <c r="G530" s="309">
        <f t="shared" ref="G530" si="1502">+F530*$X$1</f>
        <v>24752</v>
      </c>
      <c r="H530" s="100">
        <f>F530+6000</f>
        <v>30752</v>
      </c>
      <c r="I530" s="309">
        <f t="shared" si="1494"/>
        <v>30752</v>
      </c>
      <c r="J530" s="100">
        <f>F530+2000</f>
        <v>26752</v>
      </c>
      <c r="K530" s="309">
        <f t="shared" si="1495"/>
        <v>26752</v>
      </c>
      <c r="L530" s="100">
        <f>F530+1700</f>
        <v>26452</v>
      </c>
      <c r="M530" s="309">
        <f t="shared" si="1496"/>
        <v>26452</v>
      </c>
      <c r="N530" s="100">
        <f>F530+1550</f>
        <v>26302</v>
      </c>
      <c r="O530" s="309">
        <f t="shared" si="1497"/>
        <v>26302</v>
      </c>
      <c r="P530" s="100">
        <f>F530+1350</f>
        <v>26102</v>
      </c>
      <c r="Q530" s="309">
        <f t="shared" si="1498"/>
        <v>26102</v>
      </c>
      <c r="R530" s="100">
        <f>F530+1200</f>
        <v>25952</v>
      </c>
      <c r="S530" s="309">
        <f t="shared" si="1499"/>
        <v>25952</v>
      </c>
      <c r="T530" s="100">
        <f>F530+1050</f>
        <v>25802</v>
      </c>
      <c r="U530" s="309">
        <f t="shared" si="1500"/>
        <v>25802</v>
      </c>
      <c r="V530" s="100">
        <f>F530+900</f>
        <v>25652</v>
      </c>
      <c r="W530" s="309">
        <f t="shared" si="1501"/>
        <v>25652</v>
      </c>
      <c r="X530" s="137"/>
      <c r="Y530" s="132"/>
      <c r="Z530" s="138"/>
      <c r="AA530" s="139"/>
      <c r="AB530" s="386" t="s">
        <v>577</v>
      </c>
    </row>
    <row r="531" spans="1:28" ht="12.6" customHeight="1" x14ac:dyDescent="0.2">
      <c r="A531" s="4"/>
      <c r="B531" s="778" t="s">
        <v>660</v>
      </c>
      <c r="C531" s="728"/>
      <c r="D531" s="728"/>
      <c r="E531" s="728"/>
      <c r="F531" s="370">
        <f>22.75*X2</f>
        <v>24752</v>
      </c>
      <c r="G531" s="296">
        <f t="shared" ref="G531:G532" si="1503">+F531*$X$1</f>
        <v>24752</v>
      </c>
      <c r="H531" s="101">
        <f>F531+5000</f>
        <v>29752</v>
      </c>
      <c r="I531" s="296">
        <f t="shared" ref="I531:I532" si="1504">+H531*$X$1</f>
        <v>29752</v>
      </c>
      <c r="J531" s="101">
        <f>F531+1200</f>
        <v>25952</v>
      </c>
      <c r="K531" s="296">
        <f t="shared" ref="K531:K532" si="1505">+J531*$X$1</f>
        <v>25952</v>
      </c>
      <c r="L531" s="101">
        <f>F531+1000</f>
        <v>25752</v>
      </c>
      <c r="M531" s="296">
        <f t="shared" ref="M531:M532" si="1506">+L531*$X$1</f>
        <v>25752</v>
      </c>
      <c r="N531" s="101">
        <f>F531+850</f>
        <v>25602</v>
      </c>
      <c r="O531" s="296">
        <f t="shared" ref="O531:O532" si="1507">+N531*$X$1</f>
        <v>25602</v>
      </c>
      <c r="P531" s="101">
        <f>F531+740</f>
        <v>25492</v>
      </c>
      <c r="Q531" s="296">
        <f t="shared" ref="Q531:Q532" si="1508">+P531*$X$1</f>
        <v>25492</v>
      </c>
      <c r="R531" s="101">
        <f>F531+650</f>
        <v>25402</v>
      </c>
      <c r="S531" s="296">
        <f t="shared" ref="S531:S532" si="1509">+R531*$X$1</f>
        <v>25402</v>
      </c>
      <c r="T531" s="101">
        <f>F531+560</f>
        <v>25312</v>
      </c>
      <c r="U531" s="296">
        <f t="shared" ref="U531:U532" si="1510">+T531*$X$1</f>
        <v>25312</v>
      </c>
      <c r="V531" s="101">
        <f>F531+450</f>
        <v>25202</v>
      </c>
      <c r="W531" s="296">
        <f t="shared" ref="W531:W532" si="1511">+V531*$X$1</f>
        <v>25202</v>
      </c>
      <c r="X531" s="137"/>
      <c r="Y531" s="132"/>
      <c r="Z531" s="138"/>
      <c r="AA531" s="139"/>
      <c r="AB531" s="386">
        <v>880</v>
      </c>
    </row>
    <row r="532" spans="1:28" ht="12.6" customHeight="1" x14ac:dyDescent="0.2">
      <c r="A532" s="4"/>
      <c r="B532" s="785" t="s">
        <v>661</v>
      </c>
      <c r="C532" s="725"/>
      <c r="D532" s="725"/>
      <c r="E532" s="725"/>
      <c r="F532" s="369">
        <f>31.386*X2</f>
        <v>34147.968000000001</v>
      </c>
      <c r="G532" s="309">
        <f t="shared" si="1503"/>
        <v>34147.968000000001</v>
      </c>
      <c r="H532" s="100">
        <f>F532+6000</f>
        <v>40147.968000000001</v>
      </c>
      <c r="I532" s="309">
        <f t="shared" si="1504"/>
        <v>40147.968000000001</v>
      </c>
      <c r="J532" s="100">
        <f>F532+2000</f>
        <v>36147.968000000001</v>
      </c>
      <c r="K532" s="309">
        <f t="shared" si="1505"/>
        <v>36147.968000000001</v>
      </c>
      <c r="L532" s="100">
        <f>F532+1700</f>
        <v>35847.968000000001</v>
      </c>
      <c r="M532" s="309">
        <f t="shared" si="1506"/>
        <v>35847.968000000001</v>
      </c>
      <c r="N532" s="100">
        <f>F532+1550</f>
        <v>35697.968000000001</v>
      </c>
      <c r="O532" s="309">
        <f t="shared" si="1507"/>
        <v>35697.968000000001</v>
      </c>
      <c r="P532" s="100">
        <f>F532+1350</f>
        <v>35497.968000000001</v>
      </c>
      <c r="Q532" s="309">
        <f t="shared" si="1508"/>
        <v>35497.968000000001</v>
      </c>
      <c r="R532" s="100">
        <f>F532+1200</f>
        <v>35347.968000000001</v>
      </c>
      <c r="S532" s="309">
        <f t="shared" si="1509"/>
        <v>35347.968000000001</v>
      </c>
      <c r="T532" s="100">
        <f>F532+1050</f>
        <v>35197.968000000001</v>
      </c>
      <c r="U532" s="309">
        <f t="shared" si="1510"/>
        <v>35197.968000000001</v>
      </c>
      <c r="V532" s="100">
        <f>F532+900</f>
        <v>35047.968000000001</v>
      </c>
      <c r="W532" s="309">
        <f t="shared" si="1511"/>
        <v>35047.968000000001</v>
      </c>
      <c r="X532" s="137"/>
      <c r="Y532" s="132"/>
      <c r="Z532" s="138"/>
      <c r="AA532" s="139"/>
      <c r="AB532" s="386" t="s">
        <v>578</v>
      </c>
    </row>
    <row r="533" spans="1:28" ht="12.6" customHeight="1" x14ac:dyDescent="0.2">
      <c r="A533" s="4"/>
      <c r="B533" s="778" t="s">
        <v>662</v>
      </c>
      <c r="C533" s="660"/>
      <c r="D533" s="660"/>
      <c r="E533" s="660"/>
      <c r="F533" s="370">
        <f>31.386*X2</f>
        <v>34147.968000000001</v>
      </c>
      <c r="G533" s="296">
        <f t="shared" ref="G533:G534" si="1512">+F533*$X$1</f>
        <v>34147.968000000001</v>
      </c>
      <c r="H533" s="101">
        <f>F533+5000</f>
        <v>39147.968000000001</v>
      </c>
      <c r="I533" s="296">
        <f t="shared" ref="I533:I536" si="1513">+H533*$X$1</f>
        <v>39147.968000000001</v>
      </c>
      <c r="J533" s="101">
        <f>F533+1200</f>
        <v>35347.968000000001</v>
      </c>
      <c r="K533" s="296">
        <f t="shared" ref="K533:K536" si="1514">+J533*$X$1</f>
        <v>35347.968000000001</v>
      </c>
      <c r="L533" s="101">
        <f>F533+1000</f>
        <v>35147.968000000001</v>
      </c>
      <c r="M533" s="296">
        <f t="shared" ref="M533:M536" si="1515">+L533*$X$1</f>
        <v>35147.968000000001</v>
      </c>
      <c r="N533" s="101">
        <f>F533+850</f>
        <v>34997.968000000001</v>
      </c>
      <c r="O533" s="296">
        <f t="shared" ref="O533:O536" si="1516">+N533*$X$1</f>
        <v>34997.968000000001</v>
      </c>
      <c r="P533" s="101">
        <f>F533+740</f>
        <v>34887.968000000001</v>
      </c>
      <c r="Q533" s="296">
        <f t="shared" ref="Q533:Q536" si="1517">+P533*$X$1</f>
        <v>34887.968000000001</v>
      </c>
      <c r="R533" s="101">
        <f>F533+650</f>
        <v>34797.968000000001</v>
      </c>
      <c r="S533" s="296">
        <f t="shared" ref="S533:S536" si="1518">+R533*$X$1</f>
        <v>34797.968000000001</v>
      </c>
      <c r="T533" s="101">
        <f>F533+560</f>
        <v>34707.968000000001</v>
      </c>
      <c r="U533" s="296">
        <f t="shared" ref="U533:U536" si="1519">+T533*$X$1</f>
        <v>34707.968000000001</v>
      </c>
      <c r="V533" s="101">
        <f>F533+450</f>
        <v>34597.968000000001</v>
      </c>
      <c r="W533" s="296">
        <f t="shared" ref="W533:W536" si="1520">+V533*$X$1</f>
        <v>34597.968000000001</v>
      </c>
      <c r="X533" s="137"/>
      <c r="Y533" s="132"/>
      <c r="Z533" s="138"/>
      <c r="AA533" s="139"/>
      <c r="AB533" s="386">
        <v>881</v>
      </c>
    </row>
    <row r="534" spans="1:28" ht="12.6" customHeight="1" x14ac:dyDescent="0.2">
      <c r="A534" s="4"/>
      <c r="B534" s="785" t="s">
        <v>663</v>
      </c>
      <c r="C534" s="725"/>
      <c r="D534" s="725"/>
      <c r="E534" s="725"/>
      <c r="F534" s="369">
        <f>19.4*X2</f>
        <v>21107.199999999997</v>
      </c>
      <c r="G534" s="309">
        <f t="shared" si="1512"/>
        <v>21107.199999999997</v>
      </c>
      <c r="H534" s="100">
        <f>F534+5000</f>
        <v>26107.199999999997</v>
      </c>
      <c r="I534" s="309">
        <f t="shared" si="1513"/>
        <v>26107.199999999997</v>
      </c>
      <c r="J534" s="100">
        <f>F534+1200</f>
        <v>22307.199999999997</v>
      </c>
      <c r="K534" s="309">
        <f t="shared" si="1514"/>
        <v>22307.199999999997</v>
      </c>
      <c r="L534" s="100">
        <f>F534+1000</f>
        <v>22107.199999999997</v>
      </c>
      <c r="M534" s="309">
        <f t="shared" si="1515"/>
        <v>22107.199999999997</v>
      </c>
      <c r="N534" s="100">
        <f>F534+850</f>
        <v>21957.199999999997</v>
      </c>
      <c r="O534" s="309">
        <f t="shared" si="1516"/>
        <v>21957.199999999997</v>
      </c>
      <c r="P534" s="100">
        <f>F534+740</f>
        <v>21847.199999999997</v>
      </c>
      <c r="Q534" s="309">
        <f t="shared" si="1517"/>
        <v>21847.199999999997</v>
      </c>
      <c r="R534" s="100">
        <f>F534+650</f>
        <v>21757.199999999997</v>
      </c>
      <c r="S534" s="309">
        <f t="shared" si="1518"/>
        <v>21757.199999999997</v>
      </c>
      <c r="T534" s="100">
        <f>F534+560</f>
        <v>21667.199999999997</v>
      </c>
      <c r="U534" s="309">
        <f t="shared" si="1519"/>
        <v>21667.199999999997</v>
      </c>
      <c r="V534" s="100">
        <f>F534+450</f>
        <v>21557.199999999997</v>
      </c>
      <c r="W534" s="309">
        <f t="shared" si="1520"/>
        <v>21557.199999999997</v>
      </c>
      <c r="X534" s="137"/>
      <c r="Y534" s="132"/>
      <c r="Z534" s="138"/>
      <c r="AA534" s="139"/>
      <c r="AB534" s="386">
        <v>882</v>
      </c>
    </row>
    <row r="535" spans="1:28" ht="12.6" customHeight="1" x14ac:dyDescent="0.2">
      <c r="A535" s="4"/>
      <c r="B535" s="795" t="s">
        <v>449</v>
      </c>
      <c r="C535" s="711"/>
      <c r="D535" s="711"/>
      <c r="E535" s="711"/>
      <c r="F535" s="370">
        <f>24*X2</f>
        <v>26112</v>
      </c>
      <c r="G535" s="296">
        <f t="shared" ref="G535:G537" si="1521">+F535*$X$1</f>
        <v>26112</v>
      </c>
      <c r="H535" s="101">
        <f>F535+5000</f>
        <v>31112</v>
      </c>
      <c r="I535" s="296">
        <f t="shared" si="1513"/>
        <v>31112</v>
      </c>
      <c r="J535" s="101">
        <f>F535+1200</f>
        <v>27312</v>
      </c>
      <c r="K535" s="296">
        <f t="shared" si="1514"/>
        <v>27312</v>
      </c>
      <c r="L535" s="101">
        <f>F535+1000</f>
        <v>27112</v>
      </c>
      <c r="M535" s="296">
        <f t="shared" si="1515"/>
        <v>27112</v>
      </c>
      <c r="N535" s="101">
        <f>F535+850</f>
        <v>26962</v>
      </c>
      <c r="O535" s="296">
        <f t="shared" si="1516"/>
        <v>26962</v>
      </c>
      <c r="P535" s="101">
        <f>F535+740</f>
        <v>26852</v>
      </c>
      <c r="Q535" s="296">
        <f t="shared" si="1517"/>
        <v>26852</v>
      </c>
      <c r="R535" s="101">
        <f>F535+650</f>
        <v>26762</v>
      </c>
      <c r="S535" s="296">
        <f t="shared" si="1518"/>
        <v>26762</v>
      </c>
      <c r="T535" s="101">
        <f>F535+560</f>
        <v>26672</v>
      </c>
      <c r="U535" s="296">
        <f t="shared" si="1519"/>
        <v>26672</v>
      </c>
      <c r="V535" s="101">
        <f>F535+450</f>
        <v>26562</v>
      </c>
      <c r="W535" s="296">
        <f t="shared" si="1520"/>
        <v>26562</v>
      </c>
      <c r="X535" s="137"/>
      <c r="Y535" s="132"/>
      <c r="Z535" s="138"/>
      <c r="AA535" s="139"/>
      <c r="AB535" s="386">
        <v>883</v>
      </c>
    </row>
    <row r="536" spans="1:28" ht="12.6" customHeight="1" x14ac:dyDescent="0.2">
      <c r="A536" s="4"/>
      <c r="B536" s="789" t="s">
        <v>748</v>
      </c>
      <c r="C536" s="694"/>
      <c r="D536" s="694"/>
      <c r="E536" s="695"/>
      <c r="F536" s="369">
        <f>16.15*X2</f>
        <v>17571.199999999997</v>
      </c>
      <c r="G536" s="309">
        <f t="shared" si="1521"/>
        <v>17571.199999999997</v>
      </c>
      <c r="H536" s="100">
        <f>F536+6000</f>
        <v>23571.199999999997</v>
      </c>
      <c r="I536" s="309">
        <f t="shared" si="1513"/>
        <v>23571.199999999997</v>
      </c>
      <c r="J536" s="100">
        <f>F536+2000</f>
        <v>19571.199999999997</v>
      </c>
      <c r="K536" s="309">
        <f t="shared" si="1514"/>
        <v>19571.199999999997</v>
      </c>
      <c r="L536" s="100">
        <f>F536+1700</f>
        <v>19271.199999999997</v>
      </c>
      <c r="M536" s="309">
        <f t="shared" si="1515"/>
        <v>19271.199999999997</v>
      </c>
      <c r="N536" s="100">
        <f>F536+1550</f>
        <v>19121.199999999997</v>
      </c>
      <c r="O536" s="309">
        <f t="shared" si="1516"/>
        <v>19121.199999999997</v>
      </c>
      <c r="P536" s="100">
        <f>F536+1350</f>
        <v>18921.199999999997</v>
      </c>
      <c r="Q536" s="309">
        <f t="shared" si="1517"/>
        <v>18921.199999999997</v>
      </c>
      <c r="R536" s="100">
        <f>F536+1200</f>
        <v>18771.199999999997</v>
      </c>
      <c r="S536" s="309">
        <f t="shared" si="1518"/>
        <v>18771.199999999997</v>
      </c>
      <c r="T536" s="100">
        <f>F536+1050</f>
        <v>18621.199999999997</v>
      </c>
      <c r="U536" s="309">
        <f t="shared" si="1519"/>
        <v>18621.199999999997</v>
      </c>
      <c r="V536" s="100">
        <f>F536+900</f>
        <v>18471.199999999997</v>
      </c>
      <c r="W536" s="309">
        <f t="shared" si="1520"/>
        <v>18471.199999999997</v>
      </c>
      <c r="X536" s="137"/>
      <c r="Y536" s="132"/>
      <c r="Z536" s="138"/>
      <c r="AA536" s="139"/>
      <c r="AB536" s="386" t="s">
        <v>747</v>
      </c>
    </row>
    <row r="537" spans="1:28" ht="12.6" customHeight="1" x14ac:dyDescent="0.2">
      <c r="A537" s="4"/>
      <c r="B537" s="1170" t="s">
        <v>749</v>
      </c>
      <c r="C537" s="809"/>
      <c r="D537" s="809"/>
      <c r="E537" s="810"/>
      <c r="F537" s="370">
        <f>16.15*X2</f>
        <v>17571.199999999997</v>
      </c>
      <c r="G537" s="296">
        <f t="shared" si="1521"/>
        <v>17571.199999999997</v>
      </c>
      <c r="H537" s="101">
        <f>F537+5000</f>
        <v>22571.199999999997</v>
      </c>
      <c r="I537" s="296">
        <f t="shared" ref="I537:I538" si="1522">+H537*$X$1</f>
        <v>22571.199999999997</v>
      </c>
      <c r="J537" s="101">
        <f>F537+1200</f>
        <v>18771.199999999997</v>
      </c>
      <c r="K537" s="296">
        <f t="shared" ref="K537:K538" si="1523">+J537*$X$1</f>
        <v>18771.199999999997</v>
      </c>
      <c r="L537" s="101">
        <f>F537+1000</f>
        <v>18571.199999999997</v>
      </c>
      <c r="M537" s="296">
        <f t="shared" ref="M537:M538" si="1524">+L537*$X$1</f>
        <v>18571.199999999997</v>
      </c>
      <c r="N537" s="101">
        <f>F537+850</f>
        <v>18421.199999999997</v>
      </c>
      <c r="O537" s="296">
        <f t="shared" ref="O537:O538" si="1525">+N537*$X$1</f>
        <v>18421.199999999997</v>
      </c>
      <c r="P537" s="101">
        <f>F537+740</f>
        <v>18311.199999999997</v>
      </c>
      <c r="Q537" s="296">
        <f t="shared" ref="Q537:Q538" si="1526">+P537*$X$1</f>
        <v>18311.199999999997</v>
      </c>
      <c r="R537" s="101">
        <f>F537+650</f>
        <v>18221.199999999997</v>
      </c>
      <c r="S537" s="296">
        <f t="shared" ref="S537:S538" si="1527">+R537*$X$1</f>
        <v>18221.199999999997</v>
      </c>
      <c r="T537" s="101">
        <f>F537+560</f>
        <v>18131.199999999997</v>
      </c>
      <c r="U537" s="296">
        <f t="shared" ref="U537:U538" si="1528">+T537*$X$1</f>
        <v>18131.199999999997</v>
      </c>
      <c r="V537" s="101">
        <f>F537+450</f>
        <v>18021.199999999997</v>
      </c>
      <c r="W537" s="296">
        <f t="shared" ref="W537:W538" si="1529">+V537*$X$1</f>
        <v>18021.199999999997</v>
      </c>
      <c r="X537" s="137"/>
      <c r="Y537" s="132"/>
      <c r="Z537" s="138"/>
      <c r="AA537" s="139"/>
      <c r="AB537" s="386">
        <v>886</v>
      </c>
    </row>
    <row r="538" spans="1:28" ht="12.6" customHeight="1" x14ac:dyDescent="0.2">
      <c r="A538" s="4"/>
      <c r="B538" s="785" t="s">
        <v>694</v>
      </c>
      <c r="C538" s="725"/>
      <c r="D538" s="725"/>
      <c r="E538" s="725"/>
      <c r="F538" s="366">
        <f>22.33*X2</f>
        <v>24295.039999999997</v>
      </c>
      <c r="G538" s="280">
        <f t="shared" ref="G538" si="1530">+F538*$X$1</f>
        <v>24295.039999999997</v>
      </c>
      <c r="H538" s="100">
        <f>F538+6000</f>
        <v>30295.039999999997</v>
      </c>
      <c r="I538" s="309">
        <f t="shared" si="1522"/>
        <v>30295.039999999997</v>
      </c>
      <c r="J538" s="100">
        <f>F538+2000</f>
        <v>26295.039999999997</v>
      </c>
      <c r="K538" s="309">
        <f t="shared" si="1523"/>
        <v>26295.039999999997</v>
      </c>
      <c r="L538" s="100">
        <f>F538+1700</f>
        <v>25995.039999999997</v>
      </c>
      <c r="M538" s="309">
        <f t="shared" si="1524"/>
        <v>25995.039999999997</v>
      </c>
      <c r="N538" s="100">
        <f>F538+1550</f>
        <v>25845.039999999997</v>
      </c>
      <c r="O538" s="309">
        <f t="shared" si="1525"/>
        <v>25845.039999999997</v>
      </c>
      <c r="P538" s="100">
        <f>F538+1350</f>
        <v>25645.039999999997</v>
      </c>
      <c r="Q538" s="309">
        <f t="shared" si="1526"/>
        <v>25645.039999999997</v>
      </c>
      <c r="R538" s="100">
        <f>F538+1200</f>
        <v>25495.039999999997</v>
      </c>
      <c r="S538" s="309">
        <f t="shared" si="1527"/>
        <v>25495.039999999997</v>
      </c>
      <c r="T538" s="100">
        <f>F538+1050</f>
        <v>25345.039999999997</v>
      </c>
      <c r="U538" s="309">
        <f t="shared" si="1528"/>
        <v>25345.039999999997</v>
      </c>
      <c r="V538" s="100">
        <f>F538+900</f>
        <v>25195.039999999997</v>
      </c>
      <c r="W538" s="309">
        <f t="shared" si="1529"/>
        <v>25195.039999999997</v>
      </c>
      <c r="X538" s="137"/>
      <c r="Y538" s="132"/>
      <c r="Z538" s="138"/>
      <c r="AA538" s="139"/>
      <c r="AB538" s="386" t="s">
        <v>677</v>
      </c>
    </row>
    <row r="539" spans="1:28" ht="12.6" customHeight="1" x14ac:dyDescent="0.2">
      <c r="A539" s="4"/>
      <c r="B539" s="795" t="s">
        <v>693</v>
      </c>
      <c r="C539" s="711"/>
      <c r="D539" s="711"/>
      <c r="E539" s="711"/>
      <c r="F539" s="365">
        <f>22.33*X2</f>
        <v>24295.039999999997</v>
      </c>
      <c r="G539" s="279">
        <f t="shared" ref="G539" si="1531">+F539*$X$1</f>
        <v>24295.039999999997</v>
      </c>
      <c r="H539" s="101">
        <f>F539+5000</f>
        <v>29295.039999999997</v>
      </c>
      <c r="I539" s="296">
        <f t="shared" ref="I539:I542" si="1532">+H539*$X$1</f>
        <v>29295.039999999997</v>
      </c>
      <c r="J539" s="101">
        <f>F539+1200</f>
        <v>25495.039999999997</v>
      </c>
      <c r="K539" s="296">
        <f t="shared" ref="K539:K542" si="1533">+J539*$X$1</f>
        <v>25495.039999999997</v>
      </c>
      <c r="L539" s="101">
        <f>F539+1000</f>
        <v>25295.039999999997</v>
      </c>
      <c r="M539" s="296">
        <f t="shared" ref="M539:M542" si="1534">+L539*$X$1</f>
        <v>25295.039999999997</v>
      </c>
      <c r="N539" s="101">
        <f>F539+850</f>
        <v>25145.039999999997</v>
      </c>
      <c r="O539" s="296">
        <f t="shared" ref="O539:O542" si="1535">+N539*$X$1</f>
        <v>25145.039999999997</v>
      </c>
      <c r="P539" s="101">
        <f>F539+740</f>
        <v>25035.039999999997</v>
      </c>
      <c r="Q539" s="296">
        <f t="shared" ref="Q539:Q542" si="1536">+P539*$X$1</f>
        <v>25035.039999999997</v>
      </c>
      <c r="R539" s="101">
        <f>F539+650</f>
        <v>24945.039999999997</v>
      </c>
      <c r="S539" s="296">
        <f t="shared" ref="S539:S542" si="1537">+R539*$X$1</f>
        <v>24945.039999999997</v>
      </c>
      <c r="T539" s="101">
        <f>F539+560</f>
        <v>24855.039999999997</v>
      </c>
      <c r="U539" s="296">
        <f t="shared" ref="U539:U542" si="1538">+T539*$X$1</f>
        <v>24855.039999999997</v>
      </c>
      <c r="V539" s="101">
        <f>F539+450</f>
        <v>24745.039999999997</v>
      </c>
      <c r="W539" s="296">
        <f t="shared" ref="W539:W542" si="1539">+V539*$X$1</f>
        <v>24745.039999999997</v>
      </c>
      <c r="X539" s="137"/>
      <c r="Y539" s="132"/>
      <c r="Z539" s="138"/>
      <c r="AA539" s="139"/>
      <c r="AB539" s="386">
        <v>887</v>
      </c>
    </row>
    <row r="540" spans="1:28" ht="12.6" customHeight="1" x14ac:dyDescent="0.2">
      <c r="A540" s="4"/>
      <c r="B540" s="779" t="s">
        <v>613</v>
      </c>
      <c r="C540" s="648"/>
      <c r="D540" s="648"/>
      <c r="E540" s="648"/>
      <c r="F540" s="366">
        <f>14.7*X2</f>
        <v>15993.599999999999</v>
      </c>
      <c r="G540" s="280">
        <f t="shared" ref="G540" si="1540">+F540*$X$1</f>
        <v>15993.599999999999</v>
      </c>
      <c r="H540" s="100">
        <f>F540+5000</f>
        <v>20993.599999999999</v>
      </c>
      <c r="I540" s="309">
        <f t="shared" si="1532"/>
        <v>20993.599999999999</v>
      </c>
      <c r="J540" s="100">
        <f>F540+1200</f>
        <v>17193.599999999999</v>
      </c>
      <c r="K540" s="309">
        <f t="shared" si="1533"/>
        <v>17193.599999999999</v>
      </c>
      <c r="L540" s="100">
        <f>F540+1000</f>
        <v>16993.599999999999</v>
      </c>
      <c r="M540" s="309">
        <f t="shared" si="1534"/>
        <v>16993.599999999999</v>
      </c>
      <c r="N540" s="100">
        <f>F540+850</f>
        <v>16843.599999999999</v>
      </c>
      <c r="O540" s="309">
        <f t="shared" si="1535"/>
        <v>16843.599999999999</v>
      </c>
      <c r="P540" s="100">
        <f>F540+740</f>
        <v>16733.599999999999</v>
      </c>
      <c r="Q540" s="309">
        <f t="shared" si="1536"/>
        <v>16733.599999999999</v>
      </c>
      <c r="R540" s="100">
        <f>F540+650</f>
        <v>16643.599999999999</v>
      </c>
      <c r="S540" s="309">
        <f t="shared" si="1537"/>
        <v>16643.599999999999</v>
      </c>
      <c r="T540" s="100">
        <f>F540+560</f>
        <v>16553.599999999999</v>
      </c>
      <c r="U540" s="309">
        <f t="shared" si="1538"/>
        <v>16553.599999999999</v>
      </c>
      <c r="V540" s="100">
        <f>F540+450</f>
        <v>16443.599999999999</v>
      </c>
      <c r="W540" s="309">
        <f t="shared" si="1539"/>
        <v>16443.599999999999</v>
      </c>
      <c r="X540" s="137"/>
      <c r="Y540" s="132"/>
      <c r="Z540" s="138"/>
      <c r="AA540" s="139"/>
      <c r="AB540" s="386">
        <v>888</v>
      </c>
    </row>
    <row r="541" spans="1:28" ht="12.6" customHeight="1" x14ac:dyDescent="0.2">
      <c r="A541" s="4"/>
      <c r="B541" s="778" t="s">
        <v>409</v>
      </c>
      <c r="C541" s="721"/>
      <c r="D541" s="721"/>
      <c r="E541" s="721"/>
      <c r="F541" s="365">
        <f>16.75*X2</f>
        <v>18224</v>
      </c>
      <c r="G541" s="279">
        <f t="shared" ref="G541" si="1541">+F541*$X$1</f>
        <v>18224</v>
      </c>
      <c r="H541" s="101">
        <f>F541+5000</f>
        <v>23224</v>
      </c>
      <c r="I541" s="296">
        <f t="shared" si="1532"/>
        <v>23224</v>
      </c>
      <c r="J541" s="101">
        <f>F541+1200</f>
        <v>19424</v>
      </c>
      <c r="K541" s="296">
        <f t="shared" si="1533"/>
        <v>19424</v>
      </c>
      <c r="L541" s="101">
        <f>F541+1000</f>
        <v>19224</v>
      </c>
      <c r="M541" s="296">
        <f t="shared" si="1534"/>
        <v>19224</v>
      </c>
      <c r="N541" s="101">
        <f>F541+850</f>
        <v>19074</v>
      </c>
      <c r="O541" s="296">
        <f t="shared" si="1535"/>
        <v>19074</v>
      </c>
      <c r="P541" s="101">
        <f>F541+740</f>
        <v>18964</v>
      </c>
      <c r="Q541" s="296">
        <f t="shared" si="1536"/>
        <v>18964</v>
      </c>
      <c r="R541" s="101">
        <f>F541+650</f>
        <v>18874</v>
      </c>
      <c r="S541" s="296">
        <f t="shared" si="1537"/>
        <v>18874</v>
      </c>
      <c r="T541" s="101">
        <f>F541+560</f>
        <v>18784</v>
      </c>
      <c r="U541" s="296">
        <f t="shared" si="1538"/>
        <v>18784</v>
      </c>
      <c r="V541" s="101">
        <f>F541+450</f>
        <v>18674</v>
      </c>
      <c r="W541" s="296">
        <f t="shared" si="1539"/>
        <v>18674</v>
      </c>
      <c r="X541" s="137"/>
      <c r="Y541" s="132"/>
      <c r="Z541" s="138"/>
      <c r="AA541" s="139"/>
      <c r="AB541" s="386">
        <v>894</v>
      </c>
    </row>
    <row r="542" spans="1:28" ht="12.6" customHeight="1" x14ac:dyDescent="0.2">
      <c r="A542" s="4"/>
      <c r="B542" s="779" t="s">
        <v>655</v>
      </c>
      <c r="C542" s="648"/>
      <c r="D542" s="648"/>
      <c r="E542" s="648"/>
      <c r="F542" s="366">
        <f>15.8*X2</f>
        <v>17190.400000000001</v>
      </c>
      <c r="G542" s="280">
        <f t="shared" ref="G542:G546" si="1542">+F542*$X$1</f>
        <v>17190.400000000001</v>
      </c>
      <c r="H542" s="100">
        <f>F542+6000</f>
        <v>23190.400000000001</v>
      </c>
      <c r="I542" s="309">
        <f t="shared" si="1532"/>
        <v>23190.400000000001</v>
      </c>
      <c r="J542" s="100">
        <f>F542+2000</f>
        <v>19190.400000000001</v>
      </c>
      <c r="K542" s="309">
        <f t="shared" si="1533"/>
        <v>19190.400000000001</v>
      </c>
      <c r="L542" s="100">
        <f>F542+1700</f>
        <v>18890.400000000001</v>
      </c>
      <c r="M542" s="309">
        <f t="shared" si="1534"/>
        <v>18890.400000000001</v>
      </c>
      <c r="N542" s="100">
        <f>F542+1550</f>
        <v>18740.400000000001</v>
      </c>
      <c r="O542" s="309">
        <f t="shared" si="1535"/>
        <v>18740.400000000001</v>
      </c>
      <c r="P542" s="100">
        <f>F542+1350</f>
        <v>18540.400000000001</v>
      </c>
      <c r="Q542" s="309">
        <f t="shared" si="1536"/>
        <v>18540.400000000001</v>
      </c>
      <c r="R542" s="100">
        <f>F542+1200</f>
        <v>18390.400000000001</v>
      </c>
      <c r="S542" s="309">
        <f t="shared" si="1537"/>
        <v>18390.400000000001</v>
      </c>
      <c r="T542" s="100">
        <f>F542+1050</f>
        <v>18240.400000000001</v>
      </c>
      <c r="U542" s="309">
        <f t="shared" si="1538"/>
        <v>18240.400000000001</v>
      </c>
      <c r="V542" s="100">
        <f>F542+900</f>
        <v>18090.400000000001</v>
      </c>
      <c r="W542" s="309">
        <f t="shared" si="1539"/>
        <v>18090.400000000001</v>
      </c>
      <c r="X542" s="137"/>
      <c r="Y542" s="132"/>
      <c r="Z542" s="138"/>
      <c r="AA542" s="139"/>
      <c r="AB542" s="386">
        <v>896</v>
      </c>
    </row>
    <row r="543" spans="1:28" ht="12.6" customHeight="1" x14ac:dyDescent="0.2">
      <c r="A543" s="4"/>
      <c r="B543" s="778" t="s">
        <v>612</v>
      </c>
      <c r="C543" s="660"/>
      <c r="D543" s="660"/>
      <c r="E543" s="660"/>
      <c r="F543" s="365">
        <f>15.8*X2</f>
        <v>17190.400000000001</v>
      </c>
      <c r="G543" s="279">
        <f t="shared" si="1542"/>
        <v>17190.400000000001</v>
      </c>
      <c r="H543" s="101">
        <f>F543+5000</f>
        <v>22190.400000000001</v>
      </c>
      <c r="I543" s="296">
        <f t="shared" ref="I543:I545" si="1543">+H543*$X$1</f>
        <v>22190.400000000001</v>
      </c>
      <c r="J543" s="101">
        <f>F543+1200</f>
        <v>18390.400000000001</v>
      </c>
      <c r="K543" s="296">
        <f t="shared" ref="K543:K545" si="1544">+J543*$X$1</f>
        <v>18390.400000000001</v>
      </c>
      <c r="L543" s="101">
        <f>F543+1000</f>
        <v>18190.400000000001</v>
      </c>
      <c r="M543" s="296">
        <f t="shared" ref="M543:M545" si="1545">+L543*$X$1</f>
        <v>18190.400000000001</v>
      </c>
      <c r="N543" s="101">
        <f>F543+850</f>
        <v>18040.400000000001</v>
      </c>
      <c r="O543" s="296">
        <f t="shared" ref="O543:O545" si="1546">+N543*$X$1</f>
        <v>18040.400000000001</v>
      </c>
      <c r="P543" s="101">
        <f>F543+740</f>
        <v>17930.400000000001</v>
      </c>
      <c r="Q543" s="296">
        <f t="shared" ref="Q543:Q545" si="1547">+P543*$X$1</f>
        <v>17930.400000000001</v>
      </c>
      <c r="R543" s="101">
        <f>F543+650</f>
        <v>17840.400000000001</v>
      </c>
      <c r="S543" s="296">
        <f t="shared" ref="S543:S545" si="1548">+R543*$X$1</f>
        <v>17840.400000000001</v>
      </c>
      <c r="T543" s="101">
        <f>F543+560</f>
        <v>17750.400000000001</v>
      </c>
      <c r="U543" s="296">
        <f t="shared" ref="U543:U545" si="1549">+T543*$X$1</f>
        <v>17750.400000000001</v>
      </c>
      <c r="V543" s="101">
        <f>F543+450</f>
        <v>17640.400000000001</v>
      </c>
      <c r="W543" s="296">
        <f t="shared" ref="W543:W545" si="1550">+V543*$X$1</f>
        <v>17640.400000000001</v>
      </c>
      <c r="X543" s="137"/>
      <c r="Y543" s="132"/>
      <c r="Z543" s="138"/>
      <c r="AA543" s="139"/>
      <c r="AB543" s="386">
        <v>896</v>
      </c>
    </row>
    <row r="544" spans="1:28" ht="12.6" customHeight="1" x14ac:dyDescent="0.2">
      <c r="A544" s="4"/>
      <c r="B544" s="779" t="s">
        <v>900</v>
      </c>
      <c r="C544" s="766"/>
      <c r="D544" s="766"/>
      <c r="E544" s="766"/>
      <c r="F544" s="319">
        <v>20475</v>
      </c>
      <c r="G544" s="280">
        <f t="shared" ref="G544" si="1551">+F544*$X$1</f>
        <v>20475</v>
      </c>
      <c r="H544" s="100">
        <f>F544+6000</f>
        <v>26475</v>
      </c>
      <c r="I544" s="309">
        <f t="shared" si="1543"/>
        <v>26475</v>
      </c>
      <c r="J544" s="100">
        <f>F544+2000</f>
        <v>22475</v>
      </c>
      <c r="K544" s="309">
        <f t="shared" si="1544"/>
        <v>22475</v>
      </c>
      <c r="L544" s="100">
        <f>F544+1700</f>
        <v>22175</v>
      </c>
      <c r="M544" s="309">
        <f t="shared" si="1545"/>
        <v>22175</v>
      </c>
      <c r="N544" s="100">
        <f>F544+1550</f>
        <v>22025</v>
      </c>
      <c r="O544" s="309">
        <f t="shared" si="1546"/>
        <v>22025</v>
      </c>
      <c r="P544" s="100">
        <f>F544+1350</f>
        <v>21825</v>
      </c>
      <c r="Q544" s="309">
        <f t="shared" si="1547"/>
        <v>21825</v>
      </c>
      <c r="R544" s="100">
        <f>F544+1200</f>
        <v>21675</v>
      </c>
      <c r="S544" s="309">
        <f t="shared" si="1548"/>
        <v>21675</v>
      </c>
      <c r="T544" s="100">
        <f>F544+1050</f>
        <v>21525</v>
      </c>
      <c r="U544" s="309">
        <f t="shared" si="1549"/>
        <v>21525</v>
      </c>
      <c r="V544" s="100">
        <f>F544+900</f>
        <v>21375</v>
      </c>
      <c r="W544" s="309">
        <f t="shared" si="1550"/>
        <v>21375</v>
      </c>
      <c r="X544" s="137"/>
      <c r="Y544" s="132"/>
      <c r="Z544" s="138"/>
      <c r="AA544" s="139"/>
      <c r="AB544" s="386"/>
    </row>
    <row r="545" spans="1:34" ht="12.6" customHeight="1" x14ac:dyDescent="0.2">
      <c r="A545" s="4"/>
      <c r="B545" s="778" t="s">
        <v>615</v>
      </c>
      <c r="C545" s="728"/>
      <c r="D545" s="728"/>
      <c r="E545" s="728"/>
      <c r="F545" s="365">
        <f>19*X2</f>
        <v>20672</v>
      </c>
      <c r="G545" s="279">
        <f t="shared" si="1542"/>
        <v>20672</v>
      </c>
      <c r="H545" s="100">
        <f>F545+6000</f>
        <v>26672</v>
      </c>
      <c r="I545" s="296">
        <f t="shared" si="1543"/>
        <v>26672</v>
      </c>
      <c r="J545" s="101">
        <f>F545+2000</f>
        <v>22672</v>
      </c>
      <c r="K545" s="296">
        <f t="shared" si="1544"/>
        <v>22672</v>
      </c>
      <c r="L545" s="101">
        <f>F545+1700</f>
        <v>22372</v>
      </c>
      <c r="M545" s="296">
        <f t="shared" si="1545"/>
        <v>22372</v>
      </c>
      <c r="N545" s="101">
        <f>F545+1550</f>
        <v>22222</v>
      </c>
      <c r="O545" s="296">
        <f t="shared" si="1546"/>
        <v>22222</v>
      </c>
      <c r="P545" s="101">
        <f>F545+1350</f>
        <v>22022</v>
      </c>
      <c r="Q545" s="296">
        <f t="shared" si="1547"/>
        <v>22022</v>
      </c>
      <c r="R545" s="101">
        <f>F545+1200</f>
        <v>21872</v>
      </c>
      <c r="S545" s="296">
        <f t="shared" si="1548"/>
        <v>21872</v>
      </c>
      <c r="T545" s="101">
        <f>F545+1050</f>
        <v>21722</v>
      </c>
      <c r="U545" s="296">
        <f t="shared" si="1549"/>
        <v>21722</v>
      </c>
      <c r="V545" s="101">
        <f>F545+900</f>
        <v>21572</v>
      </c>
      <c r="W545" s="296">
        <f t="shared" si="1550"/>
        <v>21572</v>
      </c>
      <c r="X545" s="137"/>
      <c r="Y545" s="132"/>
      <c r="Z545" s="138"/>
      <c r="AA545" s="139"/>
      <c r="AB545" s="386">
        <v>899</v>
      </c>
    </row>
    <row r="546" spans="1:34" ht="12.6" customHeight="1" x14ac:dyDescent="0.2">
      <c r="A546" s="4"/>
      <c r="B546" s="779" t="s">
        <v>623</v>
      </c>
      <c r="C546" s="766"/>
      <c r="D546" s="766"/>
      <c r="E546" s="766"/>
      <c r="F546" s="366">
        <f>19*X2</f>
        <v>20672</v>
      </c>
      <c r="G546" s="280">
        <f t="shared" si="1542"/>
        <v>20672</v>
      </c>
      <c r="H546" s="100">
        <f>F546+5000</f>
        <v>25672</v>
      </c>
      <c r="I546" s="309">
        <f t="shared" ref="I546:I548" si="1552">+H546*$X$1</f>
        <v>25672</v>
      </c>
      <c r="J546" s="100">
        <f>F546+1200</f>
        <v>21872</v>
      </c>
      <c r="K546" s="309">
        <f t="shared" ref="K546:K550" si="1553">+J546*$X$1</f>
        <v>21872</v>
      </c>
      <c r="L546" s="100">
        <f>F546+1000</f>
        <v>21672</v>
      </c>
      <c r="M546" s="309">
        <f t="shared" ref="M546:M550" si="1554">+L546*$X$1</f>
        <v>21672</v>
      </c>
      <c r="N546" s="100">
        <f>F546+850</f>
        <v>21522</v>
      </c>
      <c r="O546" s="309">
        <f t="shared" ref="O546:O550" si="1555">+N546*$X$1</f>
        <v>21522</v>
      </c>
      <c r="P546" s="100">
        <f>F546+740</f>
        <v>21412</v>
      </c>
      <c r="Q546" s="309">
        <f t="shared" ref="Q546:Q547" si="1556">+P546*$X$1</f>
        <v>21412</v>
      </c>
      <c r="R546" s="100">
        <f>F546+650</f>
        <v>21322</v>
      </c>
      <c r="S546" s="309">
        <f t="shared" ref="S546:S547" si="1557">+R546*$X$1</f>
        <v>21322</v>
      </c>
      <c r="T546" s="100">
        <f>F546+560</f>
        <v>21232</v>
      </c>
      <c r="U546" s="309">
        <f t="shared" ref="U546:U547" si="1558">+T546*$X$1</f>
        <v>21232</v>
      </c>
      <c r="V546" s="100">
        <f>F546+450</f>
        <v>21122</v>
      </c>
      <c r="W546" s="309">
        <f t="shared" ref="W546:W547" si="1559">+V546*$X$1</f>
        <v>21122</v>
      </c>
      <c r="X546" s="137"/>
      <c r="Y546" s="132"/>
      <c r="Z546" s="138"/>
      <c r="AA546" s="139"/>
      <c r="AB546" s="386" t="s">
        <v>624</v>
      </c>
    </row>
    <row r="547" spans="1:34" ht="12.6" customHeight="1" x14ac:dyDescent="0.2">
      <c r="A547" s="4"/>
      <c r="B547" s="778" t="s">
        <v>480</v>
      </c>
      <c r="C547" s="721"/>
      <c r="D547" s="721"/>
      <c r="E547" s="721"/>
      <c r="F547" s="365">
        <f>20*X2</f>
        <v>21760</v>
      </c>
      <c r="G547" s="279">
        <f t="shared" ref="G547" si="1560">+F547*$X$1</f>
        <v>21760</v>
      </c>
      <c r="H547" s="100">
        <f>F547+6000</f>
        <v>27760</v>
      </c>
      <c r="I547" s="296">
        <f t="shared" si="1552"/>
        <v>27760</v>
      </c>
      <c r="J547" s="101">
        <f>F547+2000</f>
        <v>23760</v>
      </c>
      <c r="K547" s="296">
        <f t="shared" si="1553"/>
        <v>23760</v>
      </c>
      <c r="L547" s="101">
        <f>F547+1700</f>
        <v>23460</v>
      </c>
      <c r="M547" s="296">
        <f t="shared" si="1554"/>
        <v>23460</v>
      </c>
      <c r="N547" s="101">
        <f>F547+1550</f>
        <v>23310</v>
      </c>
      <c r="O547" s="296">
        <f t="shared" si="1555"/>
        <v>23310</v>
      </c>
      <c r="P547" s="101">
        <f>F547+1350</f>
        <v>23110</v>
      </c>
      <c r="Q547" s="296">
        <f t="shared" si="1556"/>
        <v>23110</v>
      </c>
      <c r="R547" s="101">
        <f>F547+1200</f>
        <v>22960</v>
      </c>
      <c r="S547" s="296">
        <f t="shared" si="1557"/>
        <v>22960</v>
      </c>
      <c r="T547" s="101">
        <f>F547+1050</f>
        <v>22810</v>
      </c>
      <c r="U547" s="296">
        <f t="shared" si="1558"/>
        <v>22810</v>
      </c>
      <c r="V547" s="101">
        <f>F547+900</f>
        <v>22660</v>
      </c>
      <c r="W547" s="296">
        <f t="shared" si="1559"/>
        <v>22660</v>
      </c>
      <c r="X547" s="137"/>
      <c r="Y547" s="132"/>
      <c r="Z547" s="138"/>
      <c r="AA547" s="139"/>
      <c r="AB547" s="386">
        <v>900</v>
      </c>
    </row>
    <row r="548" spans="1:34" ht="12.6" customHeight="1" x14ac:dyDescent="0.2">
      <c r="A548" s="4"/>
      <c r="B548" s="789" t="s">
        <v>975</v>
      </c>
      <c r="C548" s="790"/>
      <c r="D548" s="790"/>
      <c r="E548" s="791"/>
      <c r="F548" s="507">
        <v>15372</v>
      </c>
      <c r="G548" s="280">
        <f>+F548*$X$1</f>
        <v>15372</v>
      </c>
      <c r="H548" s="100">
        <f>F548+5000</f>
        <v>20372</v>
      </c>
      <c r="I548" s="309">
        <f t="shared" si="1552"/>
        <v>20372</v>
      </c>
      <c r="J548" s="100">
        <f>F548+1200</f>
        <v>16572</v>
      </c>
      <c r="K548" s="309">
        <f t="shared" ref="K548" si="1561">+J548*$X$1</f>
        <v>16572</v>
      </c>
      <c r="L548" s="100">
        <f>F548+1000</f>
        <v>16372</v>
      </c>
      <c r="M548" s="309">
        <f t="shared" ref="M548" si="1562">+L548*$X$1</f>
        <v>16372</v>
      </c>
      <c r="N548" s="100"/>
      <c r="O548" s="309"/>
      <c r="P548" s="100"/>
      <c r="Q548" s="309"/>
      <c r="R548" s="100"/>
      <c r="S548" s="309"/>
      <c r="T548" s="100"/>
      <c r="U548" s="309"/>
      <c r="V548" s="100"/>
      <c r="W548" s="309"/>
      <c r="X548" s="137"/>
      <c r="Y548" s="132"/>
      <c r="Z548" s="138"/>
      <c r="AA548" s="139"/>
      <c r="AB548" s="386">
        <v>902</v>
      </c>
    </row>
    <row r="549" spans="1:34" ht="12.6" customHeight="1" x14ac:dyDescent="0.2">
      <c r="A549" s="4"/>
      <c r="B549" s="778" t="s">
        <v>408</v>
      </c>
      <c r="C549" s="721"/>
      <c r="D549" s="721"/>
      <c r="E549" s="721"/>
      <c r="F549" s="320">
        <v>21380</v>
      </c>
      <c r="G549" s="279">
        <f>+F549*$X$1</f>
        <v>21380</v>
      </c>
      <c r="H549" s="101">
        <f>F549+5000</f>
        <v>26380</v>
      </c>
      <c r="I549" s="296">
        <f t="shared" ref="I549:I550" si="1563">+H549*$X$1</f>
        <v>26380</v>
      </c>
      <c r="J549" s="101">
        <f>F549+1200</f>
        <v>22580</v>
      </c>
      <c r="K549" s="296">
        <f t="shared" si="1553"/>
        <v>22580</v>
      </c>
      <c r="L549" s="101">
        <f>F549+1000</f>
        <v>22380</v>
      </c>
      <c r="M549" s="296">
        <f t="shared" si="1554"/>
        <v>22380</v>
      </c>
      <c r="N549" s="101">
        <f>F549+850</f>
        <v>22230</v>
      </c>
      <c r="O549" s="296">
        <f t="shared" si="1555"/>
        <v>22230</v>
      </c>
      <c r="P549" s="101">
        <f>F549+740</f>
        <v>22120</v>
      </c>
      <c r="Q549" s="296">
        <f t="shared" ref="Q549:Q550" si="1564">+P549*$X$1</f>
        <v>22120</v>
      </c>
      <c r="R549" s="101">
        <f>F549+650</f>
        <v>22030</v>
      </c>
      <c r="S549" s="296">
        <f t="shared" ref="S549:S550" si="1565">+R549*$X$1</f>
        <v>22030</v>
      </c>
      <c r="T549" s="101">
        <f>F549+560</f>
        <v>21940</v>
      </c>
      <c r="U549" s="296">
        <f t="shared" ref="U549:U550" si="1566">+T549*$X$1</f>
        <v>21940</v>
      </c>
      <c r="V549" s="101">
        <f>F549+450</f>
        <v>21830</v>
      </c>
      <c r="W549" s="296">
        <f t="shared" ref="W549:W550" si="1567">+V549*$X$1</f>
        <v>21830</v>
      </c>
      <c r="X549" s="137"/>
      <c r="Y549" s="132"/>
      <c r="Z549" s="138"/>
      <c r="AA549" s="139"/>
      <c r="AB549" s="386">
        <v>905</v>
      </c>
    </row>
    <row r="550" spans="1:34" ht="12.6" customHeight="1" x14ac:dyDescent="0.2">
      <c r="A550" s="4"/>
      <c r="B550" s="779" t="s">
        <v>665</v>
      </c>
      <c r="C550" s="712"/>
      <c r="D550" s="712"/>
      <c r="E550" s="712"/>
      <c r="F550" s="366">
        <f>21.3*X2</f>
        <v>23174.400000000001</v>
      </c>
      <c r="G550" s="280">
        <f>+F550*$X$1</f>
        <v>23174.400000000001</v>
      </c>
      <c r="H550" s="100">
        <f>F550+6000</f>
        <v>29174.400000000001</v>
      </c>
      <c r="I550" s="309">
        <f t="shared" si="1563"/>
        <v>29174.400000000001</v>
      </c>
      <c r="J550" s="100">
        <f>F550+2000</f>
        <v>25174.400000000001</v>
      </c>
      <c r="K550" s="309">
        <f t="shared" si="1553"/>
        <v>25174.400000000001</v>
      </c>
      <c r="L550" s="100">
        <f>F550+1700</f>
        <v>24874.400000000001</v>
      </c>
      <c r="M550" s="309">
        <f t="shared" si="1554"/>
        <v>24874.400000000001</v>
      </c>
      <c r="N550" s="100">
        <f>F550+1550</f>
        <v>24724.400000000001</v>
      </c>
      <c r="O550" s="309">
        <f t="shared" si="1555"/>
        <v>24724.400000000001</v>
      </c>
      <c r="P550" s="100">
        <f>F550+1350</f>
        <v>24524.400000000001</v>
      </c>
      <c r="Q550" s="309">
        <f t="shared" si="1564"/>
        <v>24524.400000000001</v>
      </c>
      <c r="R550" s="100">
        <f>F550+1200</f>
        <v>24374.400000000001</v>
      </c>
      <c r="S550" s="309">
        <f t="shared" si="1565"/>
        <v>24374.400000000001</v>
      </c>
      <c r="T550" s="100">
        <f>F550+1050</f>
        <v>24224.400000000001</v>
      </c>
      <c r="U550" s="309">
        <f t="shared" si="1566"/>
        <v>24224.400000000001</v>
      </c>
      <c r="V550" s="100">
        <f>F550+900</f>
        <v>24074.400000000001</v>
      </c>
      <c r="W550" s="309">
        <f t="shared" si="1567"/>
        <v>24074.400000000001</v>
      </c>
      <c r="X550" s="137"/>
      <c r="Y550" s="132"/>
      <c r="Z550" s="138"/>
      <c r="AA550" s="139"/>
      <c r="AB550" s="386">
        <v>906</v>
      </c>
    </row>
    <row r="551" spans="1:34" ht="12.6" customHeight="1" x14ac:dyDescent="0.2">
      <c r="A551" s="4"/>
      <c r="B551" s="778" t="s">
        <v>666</v>
      </c>
      <c r="C551" s="721"/>
      <c r="D551" s="721"/>
      <c r="E551" s="721"/>
      <c r="F551" s="365">
        <f>21.3*X2</f>
        <v>23174.400000000001</v>
      </c>
      <c r="G551" s="279">
        <f>+F551*$X$1</f>
        <v>23174.400000000001</v>
      </c>
      <c r="H551" s="101">
        <f>F551+5000</f>
        <v>28174.400000000001</v>
      </c>
      <c r="I551" s="296">
        <f t="shared" ref="I551:I552" si="1568">+H551*$X$1</f>
        <v>28174.400000000001</v>
      </c>
      <c r="J551" s="101">
        <f>F551+1200</f>
        <v>24374.400000000001</v>
      </c>
      <c r="K551" s="296">
        <f t="shared" ref="K551:K552" si="1569">+J551*$X$1</f>
        <v>24374.400000000001</v>
      </c>
      <c r="L551" s="101">
        <f>F551+1000</f>
        <v>24174.400000000001</v>
      </c>
      <c r="M551" s="296">
        <f t="shared" ref="M551:M552" si="1570">+L551*$X$1</f>
        <v>24174.400000000001</v>
      </c>
      <c r="N551" s="101">
        <f>F551+850</f>
        <v>24024.400000000001</v>
      </c>
      <c r="O551" s="296">
        <f t="shared" ref="O551:O552" si="1571">+N551*$X$1</f>
        <v>24024.400000000001</v>
      </c>
      <c r="P551" s="101">
        <f>F551+740</f>
        <v>23914.400000000001</v>
      </c>
      <c r="Q551" s="296">
        <f t="shared" ref="Q551:Q552" si="1572">+P551*$X$1</f>
        <v>23914.400000000001</v>
      </c>
      <c r="R551" s="101">
        <f>F551+650</f>
        <v>23824.400000000001</v>
      </c>
      <c r="S551" s="296">
        <f t="shared" ref="S551:S552" si="1573">+R551*$X$1</f>
        <v>23824.400000000001</v>
      </c>
      <c r="T551" s="101">
        <f>F551+560</f>
        <v>23734.400000000001</v>
      </c>
      <c r="U551" s="296">
        <f t="shared" ref="U551:U552" si="1574">+T551*$X$1</f>
        <v>23734.400000000001</v>
      </c>
      <c r="V551" s="101">
        <f>F551+450</f>
        <v>23624.400000000001</v>
      </c>
      <c r="W551" s="296">
        <f t="shared" ref="W551:W552" si="1575">+V551*$X$1</f>
        <v>23624.400000000001</v>
      </c>
      <c r="X551" s="137"/>
      <c r="Y551" s="132"/>
      <c r="Z551" s="138"/>
      <c r="AA551" s="139"/>
      <c r="AB551" s="386">
        <v>906</v>
      </c>
    </row>
    <row r="552" spans="1:34" ht="12.6" customHeight="1" x14ac:dyDescent="0.2">
      <c r="A552" s="4"/>
      <c r="B552" s="779" t="s">
        <v>611</v>
      </c>
      <c r="C552" s="648"/>
      <c r="D552" s="648"/>
      <c r="E552" s="648"/>
      <c r="F552" s="367">
        <f>21.1*X2</f>
        <v>22956.800000000003</v>
      </c>
      <c r="G552" s="280">
        <f t="shared" ref="G552" si="1576">+F552*$X$1</f>
        <v>22956.800000000003</v>
      </c>
      <c r="H552" s="100">
        <f>F552+6000</f>
        <v>28956.800000000003</v>
      </c>
      <c r="I552" s="309">
        <f t="shared" si="1568"/>
        <v>28956.800000000003</v>
      </c>
      <c r="J552" s="100">
        <f>F552+2000</f>
        <v>24956.800000000003</v>
      </c>
      <c r="K552" s="309">
        <f t="shared" si="1569"/>
        <v>24956.800000000003</v>
      </c>
      <c r="L552" s="100">
        <f>F552+1700</f>
        <v>24656.800000000003</v>
      </c>
      <c r="M552" s="309">
        <f t="shared" si="1570"/>
        <v>24656.800000000003</v>
      </c>
      <c r="N552" s="100">
        <f>F552+1550</f>
        <v>24506.800000000003</v>
      </c>
      <c r="O552" s="309">
        <f t="shared" si="1571"/>
        <v>24506.800000000003</v>
      </c>
      <c r="P552" s="100">
        <f>F552+1350</f>
        <v>24306.800000000003</v>
      </c>
      <c r="Q552" s="309">
        <f t="shared" si="1572"/>
        <v>24306.800000000003</v>
      </c>
      <c r="R552" s="100">
        <f>F552+1200</f>
        <v>24156.800000000003</v>
      </c>
      <c r="S552" s="309">
        <f t="shared" si="1573"/>
        <v>24156.800000000003</v>
      </c>
      <c r="T552" s="100">
        <f>F552+1050</f>
        <v>24006.800000000003</v>
      </c>
      <c r="U552" s="309">
        <f t="shared" si="1574"/>
        <v>24006.800000000003</v>
      </c>
      <c r="V552" s="100">
        <f>F552+900</f>
        <v>23856.800000000003</v>
      </c>
      <c r="W552" s="309">
        <f t="shared" si="1575"/>
        <v>23856.800000000003</v>
      </c>
      <c r="X552" s="137"/>
      <c r="Y552" s="132"/>
      <c r="Z552" s="138"/>
      <c r="AA552" s="139"/>
      <c r="AB552" s="386" t="s">
        <v>625</v>
      </c>
    </row>
    <row r="553" spans="1:34" ht="12.6" customHeight="1" x14ac:dyDescent="0.2">
      <c r="A553" s="4"/>
      <c r="B553" s="778" t="s">
        <v>664</v>
      </c>
      <c r="C553" s="660"/>
      <c r="D553" s="660"/>
      <c r="E553" s="660"/>
      <c r="F553" s="368">
        <f>21.1*X2</f>
        <v>22956.800000000003</v>
      </c>
      <c r="G553" s="279">
        <f t="shared" ref="G553" si="1577">+F553*$X$1</f>
        <v>22956.800000000003</v>
      </c>
      <c r="H553" s="101">
        <f>F553+5000</f>
        <v>27956.800000000003</v>
      </c>
      <c r="I553" s="296">
        <f t="shared" ref="I553" si="1578">+H553*$X$1</f>
        <v>27956.800000000003</v>
      </c>
      <c r="J553" s="101">
        <f>F553+1200</f>
        <v>24156.800000000003</v>
      </c>
      <c r="K553" s="296">
        <f t="shared" ref="K553" si="1579">+J553*$X$1</f>
        <v>24156.800000000003</v>
      </c>
      <c r="L553" s="101">
        <f>F553+1000</f>
        <v>23956.800000000003</v>
      </c>
      <c r="M553" s="296">
        <f t="shared" ref="M553" si="1580">+L553*$X$1</f>
        <v>23956.800000000003</v>
      </c>
      <c r="N553" s="101">
        <f>F553+850</f>
        <v>23806.800000000003</v>
      </c>
      <c r="O553" s="296">
        <f t="shared" ref="O553" si="1581">+N553*$X$1</f>
        <v>23806.800000000003</v>
      </c>
      <c r="P553" s="101"/>
      <c r="Q553" s="296"/>
      <c r="R553" s="101"/>
      <c r="S553" s="296"/>
      <c r="T553" s="101"/>
      <c r="U553" s="296"/>
      <c r="V553" s="101"/>
      <c r="W553" s="296"/>
      <c r="X553" s="137"/>
      <c r="Y553" s="132"/>
      <c r="Z553" s="138"/>
      <c r="AA553" s="139"/>
      <c r="AB553" s="386">
        <v>907</v>
      </c>
    </row>
    <row r="554" spans="1:34" ht="12.6" customHeight="1" x14ac:dyDescent="0.2">
      <c r="A554" s="4"/>
      <c r="B554" s="730" t="s">
        <v>583</v>
      </c>
      <c r="C554" s="731"/>
      <c r="D554" s="731"/>
      <c r="E554" s="731"/>
      <c r="F554" s="732"/>
      <c r="G554" s="733"/>
      <c r="H554" s="441">
        <v>1900</v>
      </c>
      <c r="I554" s="280">
        <f t="shared" ref="I554" si="1582">+H554*$X$1</f>
        <v>1900</v>
      </c>
      <c r="J554" s="441">
        <v>1000</v>
      </c>
      <c r="K554" s="280">
        <f t="shared" ref="K554" si="1583">+J554*$X$1</f>
        <v>1000</v>
      </c>
      <c r="L554" s="441">
        <v>800</v>
      </c>
      <c r="M554" s="280">
        <f t="shared" ref="M554" si="1584">+L554*$X$1</f>
        <v>800</v>
      </c>
      <c r="N554" s="441">
        <v>700</v>
      </c>
      <c r="O554" s="280">
        <f t="shared" ref="O554" si="1585">+N554*$X$1</f>
        <v>700</v>
      </c>
      <c r="P554" s="441">
        <v>650</v>
      </c>
      <c r="Q554" s="280">
        <f t="shared" ref="Q554" si="1586">+P554*$X$1</f>
        <v>650</v>
      </c>
      <c r="R554" s="441">
        <v>550</v>
      </c>
      <c r="S554" s="280">
        <f t="shared" ref="S554" si="1587">+R554*$X$1</f>
        <v>550</v>
      </c>
      <c r="T554" s="441">
        <v>500</v>
      </c>
      <c r="U554" s="280">
        <f t="shared" ref="U554" si="1588">+T554*$X$1</f>
        <v>500</v>
      </c>
      <c r="V554" s="441">
        <v>460</v>
      </c>
      <c r="W554" s="280">
        <f t="shared" ref="W554" si="1589">+V554*$X$1</f>
        <v>460</v>
      </c>
      <c r="X554" s="137"/>
      <c r="Y554" s="132"/>
      <c r="Z554" s="138"/>
      <c r="AA554" s="139"/>
      <c r="AB554" s="32"/>
    </row>
    <row r="555" spans="1:34" ht="12.6" customHeight="1" x14ac:dyDescent="0.2">
      <c r="A555" s="4"/>
      <c r="B555" s="734" t="s">
        <v>584</v>
      </c>
      <c r="C555" s="735"/>
      <c r="D555" s="735"/>
      <c r="E555" s="735"/>
      <c r="F555" s="732"/>
      <c r="G555" s="733"/>
      <c r="H555" s="604">
        <v>900</v>
      </c>
      <c r="I555" s="279">
        <f t="shared" ref="I555" si="1590">+H555*$X$1</f>
        <v>900</v>
      </c>
      <c r="J555" s="604">
        <v>750</v>
      </c>
      <c r="K555" s="279">
        <f t="shared" ref="K555" si="1591">+J555*$X$1</f>
        <v>750</v>
      </c>
      <c r="L555" s="604">
        <v>600</v>
      </c>
      <c r="M555" s="279">
        <f t="shared" ref="M555" si="1592">+L555*$X$1</f>
        <v>600</v>
      </c>
      <c r="N555" s="604">
        <v>550</v>
      </c>
      <c r="O555" s="279">
        <f t="shared" ref="O555" si="1593">+N555*$X$1</f>
        <v>550</v>
      </c>
      <c r="P555" s="604">
        <v>500</v>
      </c>
      <c r="Q555" s="279">
        <f t="shared" ref="Q555" si="1594">+P555*$X$1</f>
        <v>500</v>
      </c>
      <c r="R555" s="604">
        <v>450</v>
      </c>
      <c r="S555" s="279">
        <f t="shared" ref="S555" si="1595">+R555*$X$1</f>
        <v>450</v>
      </c>
      <c r="T555" s="604">
        <v>400</v>
      </c>
      <c r="U555" s="279">
        <f t="shared" ref="U555" si="1596">+T555*$X$1</f>
        <v>400</v>
      </c>
      <c r="V555" s="604">
        <v>370</v>
      </c>
      <c r="W555" s="279">
        <f t="shared" ref="W555" si="1597">+V555*$X$1</f>
        <v>370</v>
      </c>
      <c r="X555" s="137"/>
      <c r="Y555" s="132"/>
      <c r="Z555" s="138"/>
      <c r="AA555" s="139"/>
      <c r="AB555" s="32"/>
    </row>
    <row r="556" spans="1:34" ht="12.6" customHeight="1" x14ac:dyDescent="0.2">
      <c r="A556" s="95"/>
      <c r="B556" s="76"/>
      <c r="C556" s="77"/>
      <c r="D556" s="77"/>
      <c r="E556" s="77"/>
      <c r="F556" s="77"/>
      <c r="G556" s="77"/>
      <c r="H556" s="77"/>
      <c r="I556" s="324"/>
      <c r="J556" s="115"/>
      <c r="K556" s="324"/>
      <c r="L556" s="115"/>
      <c r="M556" s="324"/>
      <c r="N556" s="115"/>
      <c r="O556" s="324"/>
      <c r="P556" s="115"/>
      <c r="Q556" s="324"/>
      <c r="R556" s="115"/>
      <c r="S556" s="324"/>
      <c r="T556" s="115"/>
      <c r="U556" s="324"/>
      <c r="V556" s="115"/>
      <c r="W556" s="324"/>
      <c r="AB556" s="80"/>
    </row>
    <row r="557" spans="1:34" ht="12.6" customHeight="1" x14ac:dyDescent="0.2">
      <c r="A557" s="95"/>
      <c r="B557" s="76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8"/>
      <c r="W557" s="79"/>
      <c r="AB557" s="80"/>
    </row>
    <row r="558" spans="1:34" ht="12.6" customHeight="1" x14ac:dyDescent="0.2">
      <c r="A558" s="95"/>
      <c r="B558" s="76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8"/>
      <c r="W558" s="79"/>
      <c r="AB558" s="80"/>
    </row>
    <row r="559" spans="1:34" ht="15" customHeight="1" x14ac:dyDescent="0.2">
      <c r="B559" s="762" t="s">
        <v>560</v>
      </c>
      <c r="C559" s="763"/>
      <c r="D559" s="763"/>
      <c r="E559" s="763"/>
      <c r="F559" s="763"/>
      <c r="G559" s="763"/>
      <c r="H559" s="763"/>
      <c r="I559" s="763"/>
      <c r="J559" s="763"/>
      <c r="K559" s="763"/>
      <c r="L559" s="763"/>
      <c r="M559" s="763"/>
      <c r="N559" s="763"/>
      <c r="O559" s="763"/>
      <c r="P559" s="763"/>
      <c r="Q559" s="763"/>
      <c r="R559" s="763"/>
      <c r="S559" s="763"/>
      <c r="T559" s="763"/>
      <c r="U559" s="763"/>
      <c r="V559" s="763"/>
      <c r="W559" s="763"/>
      <c r="AB559" s="4"/>
      <c r="AF559" s="760"/>
      <c r="AG559" s="761"/>
      <c r="AH559" s="761"/>
    </row>
    <row r="560" spans="1:34" ht="14.25" customHeight="1" x14ac:dyDescent="0.2">
      <c r="B560" s="1171" t="s">
        <v>11</v>
      </c>
      <c r="C560" s="1173" t="s">
        <v>12</v>
      </c>
      <c r="D560" s="1174"/>
      <c r="E560" s="1174"/>
      <c r="F560" s="1176" t="s">
        <v>283</v>
      </c>
      <c r="G560" s="1176" t="s">
        <v>13</v>
      </c>
      <c r="H560" s="1178" t="s">
        <v>802</v>
      </c>
      <c r="I560" s="1178"/>
      <c r="J560" s="1179"/>
      <c r="K560" s="1179"/>
      <c r="L560" s="1179"/>
      <c r="M560" s="1179"/>
      <c r="N560" s="1179"/>
      <c r="O560" s="1179"/>
      <c r="P560" s="1179"/>
      <c r="Q560" s="1179"/>
      <c r="R560" s="1179"/>
      <c r="S560" s="1179"/>
      <c r="T560" s="1179"/>
      <c r="U560" s="1179"/>
      <c r="V560" s="1179"/>
      <c r="W560" s="1180"/>
      <c r="X560" s="651" t="s">
        <v>14</v>
      </c>
      <c r="Y560" s="652"/>
      <c r="Z560" s="652"/>
      <c r="AA560" s="653"/>
      <c r="AB560" s="798" t="s">
        <v>15</v>
      </c>
      <c r="AF560" s="760" t="s">
        <v>3</v>
      </c>
      <c r="AG560" s="761"/>
      <c r="AH560" s="761"/>
    </row>
    <row r="561" spans="1:28" ht="12" customHeight="1" x14ac:dyDescent="0.2">
      <c r="B561" s="1172"/>
      <c r="C561" s="1175"/>
      <c r="D561" s="1175"/>
      <c r="E561" s="1175"/>
      <c r="F561" s="1177"/>
      <c r="G561" s="1177"/>
      <c r="H561" s="462"/>
      <c r="I561" s="463" t="s">
        <v>547</v>
      </c>
      <c r="J561" s="462"/>
      <c r="K561" s="463" t="s">
        <v>284</v>
      </c>
      <c r="L561" s="462"/>
      <c r="M561" s="463" t="s">
        <v>285</v>
      </c>
      <c r="N561" s="462"/>
      <c r="O561" s="463" t="s">
        <v>549</v>
      </c>
      <c r="P561" s="462"/>
      <c r="Q561" s="463" t="s">
        <v>17</v>
      </c>
      <c r="R561" s="462"/>
      <c r="S561" s="463" t="s">
        <v>18</v>
      </c>
      <c r="T561" s="462"/>
      <c r="U561" s="463" t="s">
        <v>19</v>
      </c>
      <c r="V561" s="462"/>
      <c r="W561" s="464" t="s">
        <v>550</v>
      </c>
      <c r="X561" s="654"/>
      <c r="Y561" s="655"/>
      <c r="Z561" s="655"/>
      <c r="AA561" s="656"/>
      <c r="AB561" s="799"/>
    </row>
    <row r="562" spans="1:28" ht="12" customHeight="1" x14ac:dyDescent="0.2">
      <c r="A562" s="4"/>
      <c r="B562" s="647" t="s">
        <v>863</v>
      </c>
      <c r="C562" s="712"/>
      <c r="D562" s="712"/>
      <c r="E562" s="712"/>
      <c r="F562" s="309">
        <f>13.34*X2</f>
        <v>14513.92</v>
      </c>
      <c r="G562" s="309">
        <f t="shared" ref="G562:G563" si="1598">+F562*$X$1</f>
        <v>14513.92</v>
      </c>
      <c r="H562" s="100"/>
      <c r="I562" s="309"/>
      <c r="J562" s="100">
        <f>F562+1000</f>
        <v>15513.92</v>
      </c>
      <c r="K562" s="309">
        <f t="shared" ref="K562" si="1599">+J562*$X$1</f>
        <v>15513.92</v>
      </c>
      <c r="L562" s="100">
        <f t="shared" ref="L562:L567" si="1600">F562+800</f>
        <v>15313.92</v>
      </c>
      <c r="M562" s="309">
        <f t="shared" ref="M562" si="1601">+L562*$X$1</f>
        <v>15313.92</v>
      </c>
      <c r="N562" s="100">
        <f t="shared" ref="N562:N567" si="1602">F562+700</f>
        <v>15213.92</v>
      </c>
      <c r="O562" s="309">
        <f t="shared" ref="O562" si="1603">+N562*$X$1</f>
        <v>15213.92</v>
      </c>
      <c r="P562" s="100">
        <f t="shared" ref="P562:P567" si="1604">F562+600</f>
        <v>15113.92</v>
      </c>
      <c r="Q562" s="309">
        <f t="shared" ref="Q562" si="1605">+P562*$X$1</f>
        <v>15113.92</v>
      </c>
      <c r="R562" s="100">
        <f t="shared" ref="R562:R582" si="1606">F562+500</f>
        <v>15013.92</v>
      </c>
      <c r="S562" s="309">
        <f t="shared" ref="S562" si="1607">+R562*$X$1</f>
        <v>15013.92</v>
      </c>
      <c r="T562" s="100">
        <f t="shared" ref="T562:T582" si="1608">F562+450</f>
        <v>14963.92</v>
      </c>
      <c r="U562" s="309">
        <f t="shared" ref="U562" si="1609">+T562*$X$1</f>
        <v>14963.92</v>
      </c>
      <c r="V562" s="100">
        <f t="shared" ref="V562:V582" si="1610">F562+360</f>
        <v>14873.92</v>
      </c>
      <c r="W562" s="309">
        <f t="shared" ref="W562" si="1611">+V562*$X$1</f>
        <v>14873.92</v>
      </c>
      <c r="X562" s="137"/>
      <c r="Y562" s="132"/>
      <c r="Z562" s="138"/>
      <c r="AA562" s="139"/>
      <c r="AB562" s="386">
        <v>533</v>
      </c>
    </row>
    <row r="563" spans="1:28" ht="12" customHeight="1" x14ac:dyDescent="0.2">
      <c r="A563" s="4"/>
      <c r="B563" s="796" t="s">
        <v>950</v>
      </c>
      <c r="C563" s="797"/>
      <c r="D563" s="797"/>
      <c r="E563" s="797"/>
      <c r="F563" s="296">
        <f>6.6*X2</f>
        <v>7180.7999999999993</v>
      </c>
      <c r="G563" s="296">
        <f t="shared" si="1598"/>
        <v>7180.7999999999993</v>
      </c>
      <c r="H563" s="101"/>
      <c r="I563" s="296"/>
      <c r="J563" s="101"/>
      <c r="K563" s="296"/>
      <c r="L563" s="101">
        <f t="shared" si="1600"/>
        <v>7980.7999999999993</v>
      </c>
      <c r="M563" s="296">
        <f t="shared" ref="M563:M567" si="1612">+L563*$X$1</f>
        <v>7980.7999999999993</v>
      </c>
      <c r="N563" s="101">
        <f t="shared" si="1602"/>
        <v>7880.7999999999993</v>
      </c>
      <c r="O563" s="296">
        <f t="shared" ref="O563:O567" si="1613">+N563*$X$1</f>
        <v>7880.7999999999993</v>
      </c>
      <c r="P563" s="101">
        <f t="shared" si="1604"/>
        <v>7780.7999999999993</v>
      </c>
      <c r="Q563" s="296">
        <f t="shared" ref="Q563:Q567" si="1614">+P563*$X$1</f>
        <v>7780.7999999999993</v>
      </c>
      <c r="R563" s="101">
        <f t="shared" si="1606"/>
        <v>7680.7999999999993</v>
      </c>
      <c r="S563" s="296">
        <f t="shared" ref="S563:S568" si="1615">+R563*$X$1</f>
        <v>7680.7999999999993</v>
      </c>
      <c r="T563" s="101">
        <f t="shared" si="1608"/>
        <v>7630.7999999999993</v>
      </c>
      <c r="U563" s="296">
        <f t="shared" ref="U563:U568" si="1616">+T563*$X$1</f>
        <v>7630.7999999999993</v>
      </c>
      <c r="V563" s="101">
        <f t="shared" si="1610"/>
        <v>7540.7999999999993</v>
      </c>
      <c r="W563" s="296">
        <f t="shared" ref="W563:W568" si="1617">+V563*$X$1</f>
        <v>7540.7999999999993</v>
      </c>
      <c r="X563" s="137"/>
      <c r="Y563" s="132"/>
      <c r="Z563" s="138"/>
      <c r="AA563" s="139"/>
      <c r="AB563" s="400">
        <v>556</v>
      </c>
    </row>
    <row r="564" spans="1:28" ht="12" customHeight="1" x14ac:dyDescent="0.2">
      <c r="A564" s="4"/>
      <c r="B564" s="796" t="s">
        <v>866</v>
      </c>
      <c r="C564" s="797"/>
      <c r="D564" s="797"/>
      <c r="E564" s="797"/>
      <c r="F564" s="309">
        <f>7.82*X2</f>
        <v>8508.16</v>
      </c>
      <c r="G564" s="309">
        <f t="shared" ref="G564" si="1618">+F564*$X$1</f>
        <v>8508.16</v>
      </c>
      <c r="H564" s="100"/>
      <c r="I564" s="309"/>
      <c r="J564" s="100"/>
      <c r="K564" s="309"/>
      <c r="L564" s="100">
        <f t="shared" si="1600"/>
        <v>9308.16</v>
      </c>
      <c r="M564" s="309">
        <f t="shared" si="1612"/>
        <v>9308.16</v>
      </c>
      <c r="N564" s="100">
        <f t="shared" si="1602"/>
        <v>9208.16</v>
      </c>
      <c r="O564" s="309">
        <f t="shared" si="1613"/>
        <v>9208.16</v>
      </c>
      <c r="P564" s="100">
        <f t="shared" si="1604"/>
        <v>9108.16</v>
      </c>
      <c r="Q564" s="309">
        <f t="shared" si="1614"/>
        <v>9108.16</v>
      </c>
      <c r="R564" s="100">
        <f t="shared" si="1606"/>
        <v>9008.16</v>
      </c>
      <c r="S564" s="309">
        <f t="shared" si="1615"/>
        <v>9008.16</v>
      </c>
      <c r="T564" s="100">
        <f t="shared" si="1608"/>
        <v>8958.16</v>
      </c>
      <c r="U564" s="309">
        <f t="shared" si="1616"/>
        <v>8958.16</v>
      </c>
      <c r="V564" s="100">
        <f t="shared" si="1610"/>
        <v>8868.16</v>
      </c>
      <c r="W564" s="309">
        <f t="shared" si="1617"/>
        <v>8868.16</v>
      </c>
      <c r="X564" s="137"/>
      <c r="Y564" s="132"/>
      <c r="Z564" s="138"/>
      <c r="AA564" s="139"/>
      <c r="AB564" s="400">
        <v>566</v>
      </c>
    </row>
    <row r="565" spans="1:28" ht="12" customHeight="1" x14ac:dyDescent="0.2">
      <c r="A565" s="4"/>
      <c r="B565" s="796" t="s">
        <v>867</v>
      </c>
      <c r="C565" s="797"/>
      <c r="D565" s="797"/>
      <c r="E565" s="797"/>
      <c r="F565" s="296">
        <f>9.65*X2</f>
        <v>10499.2</v>
      </c>
      <c r="G565" s="296">
        <f t="shared" ref="G565" si="1619">+F565*$X$1</f>
        <v>10499.2</v>
      </c>
      <c r="H565" s="101"/>
      <c r="I565" s="296"/>
      <c r="J565" s="101"/>
      <c r="K565" s="296"/>
      <c r="L565" s="101">
        <f t="shared" si="1600"/>
        <v>11299.2</v>
      </c>
      <c r="M565" s="296">
        <f t="shared" si="1612"/>
        <v>11299.2</v>
      </c>
      <c r="N565" s="101">
        <f t="shared" si="1602"/>
        <v>11199.2</v>
      </c>
      <c r="O565" s="296">
        <f t="shared" si="1613"/>
        <v>11199.2</v>
      </c>
      <c r="P565" s="101">
        <f t="shared" si="1604"/>
        <v>11099.2</v>
      </c>
      <c r="Q565" s="296">
        <f t="shared" si="1614"/>
        <v>11099.2</v>
      </c>
      <c r="R565" s="101">
        <f t="shared" si="1606"/>
        <v>10999.2</v>
      </c>
      <c r="S565" s="296">
        <f t="shared" si="1615"/>
        <v>10999.2</v>
      </c>
      <c r="T565" s="101">
        <f t="shared" si="1608"/>
        <v>10949.2</v>
      </c>
      <c r="U565" s="296">
        <f t="shared" si="1616"/>
        <v>10949.2</v>
      </c>
      <c r="V565" s="101">
        <f t="shared" si="1610"/>
        <v>10859.2</v>
      </c>
      <c r="W565" s="296">
        <f t="shared" si="1617"/>
        <v>10859.2</v>
      </c>
      <c r="X565" s="137"/>
      <c r="Y565" s="132"/>
      <c r="Z565" s="138"/>
      <c r="AA565" s="139"/>
      <c r="AB565" s="400">
        <v>567</v>
      </c>
    </row>
    <row r="566" spans="1:28" ht="12" customHeight="1" x14ac:dyDescent="0.2">
      <c r="A566" s="4"/>
      <c r="B566" s="796" t="s">
        <v>868</v>
      </c>
      <c r="C566" s="797"/>
      <c r="D566" s="797"/>
      <c r="E566" s="797"/>
      <c r="F566" s="309">
        <f>9.36*X2</f>
        <v>10183.68</v>
      </c>
      <c r="G566" s="309">
        <f t="shared" ref="G566" si="1620">+F566*$X$1</f>
        <v>10183.68</v>
      </c>
      <c r="H566" s="100"/>
      <c r="I566" s="309"/>
      <c r="J566" s="100"/>
      <c r="K566" s="309"/>
      <c r="L566" s="100">
        <f t="shared" si="1600"/>
        <v>10983.68</v>
      </c>
      <c r="M566" s="309">
        <f t="shared" si="1612"/>
        <v>10983.68</v>
      </c>
      <c r="N566" s="100">
        <f t="shared" si="1602"/>
        <v>10883.68</v>
      </c>
      <c r="O566" s="309">
        <f t="shared" si="1613"/>
        <v>10883.68</v>
      </c>
      <c r="P566" s="100">
        <f t="shared" si="1604"/>
        <v>10783.68</v>
      </c>
      <c r="Q566" s="309">
        <f t="shared" si="1614"/>
        <v>10783.68</v>
      </c>
      <c r="R566" s="100">
        <f t="shared" si="1606"/>
        <v>10683.68</v>
      </c>
      <c r="S566" s="309">
        <f t="shared" si="1615"/>
        <v>10683.68</v>
      </c>
      <c r="T566" s="100">
        <f t="shared" si="1608"/>
        <v>10633.68</v>
      </c>
      <c r="U566" s="309">
        <f t="shared" si="1616"/>
        <v>10633.68</v>
      </c>
      <c r="V566" s="100">
        <f t="shared" si="1610"/>
        <v>10543.68</v>
      </c>
      <c r="W566" s="309">
        <f t="shared" si="1617"/>
        <v>10543.68</v>
      </c>
      <c r="X566" s="137"/>
      <c r="Y566" s="132"/>
      <c r="Z566" s="138"/>
      <c r="AA566" s="139"/>
      <c r="AB566" s="400">
        <v>569</v>
      </c>
    </row>
    <row r="567" spans="1:28" ht="12" customHeight="1" x14ac:dyDescent="0.2">
      <c r="A567" s="4"/>
      <c r="B567" s="710" t="s">
        <v>733</v>
      </c>
      <c r="C567" s="860"/>
      <c r="D567" s="860"/>
      <c r="E567" s="860"/>
      <c r="F567" s="296">
        <f>28.12*X2</f>
        <v>30594.560000000001</v>
      </c>
      <c r="G567" s="296">
        <f t="shared" ref="G567:I567" si="1621">+F567*$X$1</f>
        <v>30594.560000000001</v>
      </c>
      <c r="H567" s="101">
        <f>F567+5000</f>
        <v>35594.559999999998</v>
      </c>
      <c r="I567" s="296">
        <f t="shared" si="1621"/>
        <v>35594.559999999998</v>
      </c>
      <c r="J567" s="101">
        <f>F567+1000</f>
        <v>31594.560000000001</v>
      </c>
      <c r="K567" s="296">
        <f t="shared" ref="K567" si="1622">+J567*$X$1</f>
        <v>31594.560000000001</v>
      </c>
      <c r="L567" s="101">
        <f t="shared" si="1600"/>
        <v>31394.560000000001</v>
      </c>
      <c r="M567" s="296">
        <f t="shared" si="1612"/>
        <v>31394.560000000001</v>
      </c>
      <c r="N567" s="101">
        <f t="shared" si="1602"/>
        <v>31294.560000000001</v>
      </c>
      <c r="O567" s="296">
        <f t="shared" si="1613"/>
        <v>31294.560000000001</v>
      </c>
      <c r="P567" s="101">
        <f t="shared" si="1604"/>
        <v>31194.560000000001</v>
      </c>
      <c r="Q567" s="296">
        <f t="shared" si="1614"/>
        <v>31194.560000000001</v>
      </c>
      <c r="R567" s="101">
        <f t="shared" si="1606"/>
        <v>31094.560000000001</v>
      </c>
      <c r="S567" s="296">
        <f t="shared" si="1615"/>
        <v>31094.560000000001</v>
      </c>
      <c r="T567" s="101">
        <f t="shared" si="1608"/>
        <v>31044.560000000001</v>
      </c>
      <c r="U567" s="296">
        <f t="shared" si="1616"/>
        <v>31044.560000000001</v>
      </c>
      <c r="V567" s="101">
        <f t="shared" si="1610"/>
        <v>30954.560000000001</v>
      </c>
      <c r="W567" s="296">
        <f t="shared" si="1617"/>
        <v>30954.560000000001</v>
      </c>
      <c r="X567" s="137"/>
      <c r="Y567" s="132"/>
      <c r="Z567" s="138"/>
      <c r="AA567" s="139"/>
      <c r="AB567" s="400">
        <v>570</v>
      </c>
    </row>
    <row r="568" spans="1:28" ht="12" customHeight="1" x14ac:dyDescent="0.2">
      <c r="A568" s="4"/>
      <c r="B568" s="796" t="s">
        <v>946</v>
      </c>
      <c r="C568" s="797"/>
      <c r="D568" s="797"/>
      <c r="E568" s="797"/>
      <c r="F568" s="309">
        <v>5320</v>
      </c>
      <c r="G568" s="309">
        <f>+F568*$X$1</f>
        <v>5320</v>
      </c>
      <c r="H568" s="100"/>
      <c r="I568" s="309"/>
      <c r="J568" s="100"/>
      <c r="K568" s="309"/>
      <c r="L568" s="100"/>
      <c r="M568" s="309"/>
      <c r="N568" s="100"/>
      <c r="O568" s="309"/>
      <c r="P568" s="100"/>
      <c r="Q568" s="309"/>
      <c r="R568" s="100">
        <f t="shared" si="1606"/>
        <v>5820</v>
      </c>
      <c r="S568" s="309">
        <f t="shared" si="1615"/>
        <v>5820</v>
      </c>
      <c r="T568" s="100">
        <f t="shared" si="1608"/>
        <v>5770</v>
      </c>
      <c r="U568" s="309">
        <f t="shared" si="1616"/>
        <v>5770</v>
      </c>
      <c r="V568" s="100">
        <f t="shared" si="1610"/>
        <v>5680</v>
      </c>
      <c r="W568" s="309">
        <f t="shared" si="1617"/>
        <v>5680</v>
      </c>
      <c r="X568" s="137"/>
      <c r="Y568" s="132"/>
      <c r="Z568" s="138"/>
      <c r="AA568" s="139"/>
      <c r="AB568" s="386">
        <v>572</v>
      </c>
    </row>
    <row r="569" spans="1:28" ht="12" customHeight="1" x14ac:dyDescent="0.2">
      <c r="A569" s="4"/>
      <c r="B569" s="710" t="s">
        <v>945</v>
      </c>
      <c r="C569" s="860"/>
      <c r="D569" s="860"/>
      <c r="E569" s="860"/>
      <c r="F569" s="296">
        <f>5.08*X2</f>
        <v>5527.04</v>
      </c>
      <c r="G569" s="296">
        <f t="shared" ref="G569" si="1623">+F569*$X$1</f>
        <v>5527.04</v>
      </c>
      <c r="H569" s="101"/>
      <c r="I569" s="296"/>
      <c r="J569" s="101"/>
      <c r="K569" s="296"/>
      <c r="L569" s="101"/>
      <c r="M569" s="296"/>
      <c r="N569" s="101">
        <f t="shared" ref="N569:N582" si="1624">F569+700</f>
        <v>6227.04</v>
      </c>
      <c r="O569" s="296">
        <f t="shared" ref="O569:O570" si="1625">+N569*$X$1</f>
        <v>6227.04</v>
      </c>
      <c r="P569" s="101">
        <f t="shared" ref="P569:P582" si="1626">F569+600</f>
        <v>6127.04</v>
      </c>
      <c r="Q569" s="296">
        <f t="shared" ref="Q569:Q570" si="1627">+P569*$X$1</f>
        <v>6127.04</v>
      </c>
      <c r="R569" s="101">
        <f t="shared" si="1606"/>
        <v>6027.04</v>
      </c>
      <c r="S569" s="296">
        <f t="shared" ref="S569:S570" si="1628">+R569*$X$1</f>
        <v>6027.04</v>
      </c>
      <c r="T569" s="101">
        <f t="shared" si="1608"/>
        <v>5977.04</v>
      </c>
      <c r="U569" s="296">
        <f t="shared" ref="U569:U570" si="1629">+T569*$X$1</f>
        <v>5977.04</v>
      </c>
      <c r="V569" s="101">
        <f t="shared" si="1610"/>
        <v>5887.04</v>
      </c>
      <c r="W569" s="296">
        <f t="shared" ref="W569:W570" si="1630">+V569*$X$1</f>
        <v>5887.04</v>
      </c>
      <c r="X569" s="137"/>
      <c r="Y569" s="132"/>
      <c r="Z569" s="138"/>
      <c r="AA569" s="139"/>
      <c r="AB569" s="386" t="s">
        <v>774</v>
      </c>
    </row>
    <row r="570" spans="1:28" ht="12" customHeight="1" x14ac:dyDescent="0.2">
      <c r="A570" s="4"/>
      <c r="B570" s="796" t="s">
        <v>895</v>
      </c>
      <c r="C570" s="797"/>
      <c r="D570" s="797"/>
      <c r="E570" s="797"/>
      <c r="F570" s="309">
        <f>1.7*X2</f>
        <v>1849.6</v>
      </c>
      <c r="G570" s="309">
        <f t="shared" ref="G570" si="1631">+F570*$X$1</f>
        <v>1849.6</v>
      </c>
      <c r="H570" s="100"/>
      <c r="I570" s="309"/>
      <c r="J570" s="100"/>
      <c r="K570" s="309"/>
      <c r="L570" s="100"/>
      <c r="M570" s="309"/>
      <c r="N570" s="100">
        <f t="shared" si="1624"/>
        <v>2549.6</v>
      </c>
      <c r="O570" s="309">
        <f t="shared" si="1625"/>
        <v>2549.6</v>
      </c>
      <c r="P570" s="100">
        <f t="shared" si="1626"/>
        <v>2449.6</v>
      </c>
      <c r="Q570" s="309">
        <f t="shared" si="1627"/>
        <v>2449.6</v>
      </c>
      <c r="R570" s="100">
        <f t="shared" si="1606"/>
        <v>2349.6</v>
      </c>
      <c r="S570" s="309">
        <f t="shared" si="1628"/>
        <v>2349.6</v>
      </c>
      <c r="T570" s="100">
        <f t="shared" si="1608"/>
        <v>2299.6</v>
      </c>
      <c r="U570" s="309">
        <f t="shared" si="1629"/>
        <v>2299.6</v>
      </c>
      <c r="V570" s="100">
        <f t="shared" si="1610"/>
        <v>2209.6</v>
      </c>
      <c r="W570" s="309">
        <f t="shared" si="1630"/>
        <v>2209.6</v>
      </c>
      <c r="X570" s="137"/>
      <c r="Y570" s="132"/>
      <c r="Z570" s="138"/>
      <c r="AA570" s="139"/>
      <c r="AB570" s="386">
        <v>575</v>
      </c>
    </row>
    <row r="571" spans="1:28" ht="12" customHeight="1" x14ac:dyDescent="0.2">
      <c r="A571" s="4"/>
      <c r="B571" s="861" t="s">
        <v>723</v>
      </c>
      <c r="C571" s="862"/>
      <c r="D571" s="862"/>
      <c r="E571" s="862"/>
      <c r="F571" s="512">
        <v>18310</v>
      </c>
      <c r="G571" s="512">
        <f t="shared" ref="G571" si="1632">+F571*$X$1</f>
        <v>18310</v>
      </c>
      <c r="H571" s="631"/>
      <c r="I571" s="512"/>
      <c r="J571" s="631"/>
      <c r="K571" s="512"/>
      <c r="L571" s="631">
        <f t="shared" ref="L571:L582" si="1633">F571+800</f>
        <v>19110</v>
      </c>
      <c r="M571" s="512">
        <f t="shared" ref="M571:M576" si="1634">+L571*$X$1</f>
        <v>19110</v>
      </c>
      <c r="N571" s="631">
        <f t="shared" si="1624"/>
        <v>19010</v>
      </c>
      <c r="O571" s="512">
        <f t="shared" ref="O571:O576" si="1635">+N571*$X$1</f>
        <v>19010</v>
      </c>
      <c r="P571" s="631">
        <f t="shared" si="1626"/>
        <v>18910</v>
      </c>
      <c r="Q571" s="512">
        <f t="shared" ref="Q571:Q576" si="1636">+P571*$X$1</f>
        <v>18910</v>
      </c>
      <c r="R571" s="631">
        <f t="shared" si="1606"/>
        <v>18810</v>
      </c>
      <c r="S571" s="512">
        <f t="shared" ref="S571:S576" si="1637">+R571*$X$1</f>
        <v>18810</v>
      </c>
      <c r="T571" s="631">
        <f t="shared" si="1608"/>
        <v>18760</v>
      </c>
      <c r="U571" s="512">
        <f t="shared" ref="U571:U576" si="1638">+T571*$X$1</f>
        <v>18760</v>
      </c>
      <c r="V571" s="631">
        <f t="shared" si="1610"/>
        <v>18670</v>
      </c>
      <c r="W571" s="512">
        <f t="shared" ref="W571:W576" si="1639">+V571*$X$1</f>
        <v>18670</v>
      </c>
      <c r="X571" s="137"/>
      <c r="Y571" s="132"/>
      <c r="Z571" s="138"/>
      <c r="AA571" s="139"/>
      <c r="AB571" s="386">
        <v>577</v>
      </c>
    </row>
    <row r="572" spans="1:28" ht="12" customHeight="1" x14ac:dyDescent="0.2">
      <c r="A572" s="4"/>
      <c r="B572" s="647" t="s">
        <v>722</v>
      </c>
      <c r="C572" s="712"/>
      <c r="D572" s="712"/>
      <c r="E572" s="712"/>
      <c r="F572" s="309">
        <f>29.9*X2</f>
        <v>32531.199999999997</v>
      </c>
      <c r="G572" s="309">
        <f>+F572*$X$1</f>
        <v>32531.199999999997</v>
      </c>
      <c r="H572" s="100">
        <f>F572+5000</f>
        <v>37531.199999999997</v>
      </c>
      <c r="I572" s="309">
        <f t="shared" ref="I572:I575" si="1640">+H572*$X$1</f>
        <v>37531.199999999997</v>
      </c>
      <c r="J572" s="100">
        <f>F572+1000</f>
        <v>33531.199999999997</v>
      </c>
      <c r="K572" s="309">
        <f t="shared" ref="K572:K575" si="1641">+J572*$X$1</f>
        <v>33531.199999999997</v>
      </c>
      <c r="L572" s="100">
        <f t="shared" si="1633"/>
        <v>33331.199999999997</v>
      </c>
      <c r="M572" s="309">
        <f t="shared" si="1634"/>
        <v>33331.199999999997</v>
      </c>
      <c r="N572" s="100">
        <f t="shared" si="1624"/>
        <v>33231.199999999997</v>
      </c>
      <c r="O572" s="309">
        <f t="shared" si="1635"/>
        <v>33231.199999999997</v>
      </c>
      <c r="P572" s="100">
        <f t="shared" si="1626"/>
        <v>33131.199999999997</v>
      </c>
      <c r="Q572" s="309">
        <f t="shared" si="1636"/>
        <v>33131.199999999997</v>
      </c>
      <c r="R572" s="100">
        <f t="shared" si="1606"/>
        <v>33031.199999999997</v>
      </c>
      <c r="S572" s="309">
        <f t="shared" si="1637"/>
        <v>33031.199999999997</v>
      </c>
      <c r="T572" s="100">
        <f t="shared" si="1608"/>
        <v>32981.199999999997</v>
      </c>
      <c r="U572" s="309">
        <f t="shared" si="1638"/>
        <v>32981.199999999997</v>
      </c>
      <c r="V572" s="100">
        <f t="shared" si="1610"/>
        <v>32891.199999999997</v>
      </c>
      <c r="W572" s="309">
        <f t="shared" si="1639"/>
        <v>32891.199999999997</v>
      </c>
      <c r="X572" s="137"/>
      <c r="Y572" s="132"/>
      <c r="Z572" s="138"/>
      <c r="AA572" s="139"/>
      <c r="AB572" s="386">
        <v>580</v>
      </c>
    </row>
    <row r="573" spans="1:28" ht="12" customHeight="1" x14ac:dyDescent="0.2">
      <c r="A573" s="4"/>
      <c r="B573" s="659" t="s">
        <v>721</v>
      </c>
      <c r="C573" s="721"/>
      <c r="D573" s="721"/>
      <c r="E573" s="721"/>
      <c r="F573" s="312">
        <f>28.7*X2</f>
        <v>31225.599999999999</v>
      </c>
      <c r="G573" s="279">
        <f>+F573*$X$1</f>
        <v>31225.599999999999</v>
      </c>
      <c r="H573" s="101">
        <f>F573+5000</f>
        <v>36225.599999999999</v>
      </c>
      <c r="I573" s="296">
        <f t="shared" si="1640"/>
        <v>36225.599999999999</v>
      </c>
      <c r="J573" s="101">
        <f>F573+1000</f>
        <v>32225.599999999999</v>
      </c>
      <c r="K573" s="296">
        <f t="shared" si="1641"/>
        <v>32225.599999999999</v>
      </c>
      <c r="L573" s="101">
        <f t="shared" si="1633"/>
        <v>32025.599999999999</v>
      </c>
      <c r="M573" s="296">
        <f t="shared" si="1634"/>
        <v>32025.599999999999</v>
      </c>
      <c r="N573" s="101">
        <f t="shared" si="1624"/>
        <v>31925.599999999999</v>
      </c>
      <c r="O573" s="296">
        <f t="shared" si="1635"/>
        <v>31925.599999999999</v>
      </c>
      <c r="P573" s="101">
        <f t="shared" si="1626"/>
        <v>31825.599999999999</v>
      </c>
      <c r="Q573" s="296">
        <f t="shared" si="1636"/>
        <v>31825.599999999999</v>
      </c>
      <c r="R573" s="101">
        <f t="shared" si="1606"/>
        <v>31725.599999999999</v>
      </c>
      <c r="S573" s="296">
        <f t="shared" si="1637"/>
        <v>31725.599999999999</v>
      </c>
      <c r="T573" s="101">
        <f t="shared" si="1608"/>
        <v>31675.599999999999</v>
      </c>
      <c r="U573" s="296">
        <f t="shared" si="1638"/>
        <v>31675.599999999999</v>
      </c>
      <c r="V573" s="101">
        <f t="shared" si="1610"/>
        <v>31585.599999999999</v>
      </c>
      <c r="W573" s="296">
        <f t="shared" si="1639"/>
        <v>31585.599999999999</v>
      </c>
      <c r="X573" s="137"/>
      <c r="Y573" s="132"/>
      <c r="Z573" s="138"/>
      <c r="AA573" s="139"/>
      <c r="AB573" s="386">
        <v>582</v>
      </c>
    </row>
    <row r="574" spans="1:28" ht="12" customHeight="1" x14ac:dyDescent="0.2">
      <c r="A574" s="4"/>
      <c r="B574" s="647" t="s">
        <v>720</v>
      </c>
      <c r="C574" s="712"/>
      <c r="D574" s="712"/>
      <c r="E574" s="712"/>
      <c r="F574" s="309">
        <v>49980</v>
      </c>
      <c r="G574" s="309">
        <f>+F574*$X$1</f>
        <v>49980</v>
      </c>
      <c r="H574" s="100">
        <f>F574+5000</f>
        <v>54980</v>
      </c>
      <c r="I574" s="309">
        <f t="shared" si="1640"/>
        <v>54980</v>
      </c>
      <c r="J574" s="100">
        <f>F574+1000</f>
        <v>50980</v>
      </c>
      <c r="K574" s="309">
        <f t="shared" si="1641"/>
        <v>50980</v>
      </c>
      <c r="L574" s="100">
        <f t="shared" si="1633"/>
        <v>50780</v>
      </c>
      <c r="M574" s="309">
        <f t="shared" si="1634"/>
        <v>50780</v>
      </c>
      <c r="N574" s="100">
        <f t="shared" si="1624"/>
        <v>50680</v>
      </c>
      <c r="O574" s="309">
        <f t="shared" si="1635"/>
        <v>50680</v>
      </c>
      <c r="P574" s="100">
        <f t="shared" si="1626"/>
        <v>50580</v>
      </c>
      <c r="Q574" s="309">
        <f t="shared" si="1636"/>
        <v>50580</v>
      </c>
      <c r="R574" s="100">
        <f t="shared" si="1606"/>
        <v>50480</v>
      </c>
      <c r="S574" s="309">
        <f t="shared" si="1637"/>
        <v>50480</v>
      </c>
      <c r="T574" s="100">
        <f t="shared" si="1608"/>
        <v>50430</v>
      </c>
      <c r="U574" s="309">
        <f t="shared" si="1638"/>
        <v>50430</v>
      </c>
      <c r="V574" s="100">
        <f t="shared" si="1610"/>
        <v>50340</v>
      </c>
      <c r="W574" s="309">
        <f t="shared" si="1639"/>
        <v>50340</v>
      </c>
      <c r="X574" s="137"/>
      <c r="Y574" s="132"/>
      <c r="Z574" s="138"/>
      <c r="AA574" s="139"/>
      <c r="AB574" s="386">
        <v>584</v>
      </c>
    </row>
    <row r="575" spans="1:28" ht="12" customHeight="1" x14ac:dyDescent="0.2">
      <c r="A575" s="4"/>
      <c r="B575" s="780" t="s">
        <v>775</v>
      </c>
      <c r="C575" s="781"/>
      <c r="D575" s="781"/>
      <c r="E575" s="782"/>
      <c r="F575" s="312">
        <f>29.9*X2</f>
        <v>32531.199999999997</v>
      </c>
      <c r="G575" s="279">
        <f>+F575*$X$1</f>
        <v>32531.199999999997</v>
      </c>
      <c r="H575" s="101">
        <f>F575+5000</f>
        <v>37531.199999999997</v>
      </c>
      <c r="I575" s="296">
        <f t="shared" si="1640"/>
        <v>37531.199999999997</v>
      </c>
      <c r="J575" s="101">
        <f>F575+1000</f>
        <v>33531.199999999997</v>
      </c>
      <c r="K575" s="296">
        <f t="shared" si="1641"/>
        <v>33531.199999999997</v>
      </c>
      <c r="L575" s="101">
        <f t="shared" si="1633"/>
        <v>33331.199999999997</v>
      </c>
      <c r="M575" s="296">
        <f t="shared" si="1634"/>
        <v>33331.199999999997</v>
      </c>
      <c r="N575" s="101">
        <f t="shared" si="1624"/>
        <v>33231.199999999997</v>
      </c>
      <c r="O575" s="296">
        <f t="shared" si="1635"/>
        <v>33231.199999999997</v>
      </c>
      <c r="P575" s="101">
        <f t="shared" si="1626"/>
        <v>33131.199999999997</v>
      </c>
      <c r="Q575" s="296">
        <f t="shared" si="1636"/>
        <v>33131.199999999997</v>
      </c>
      <c r="R575" s="101">
        <f t="shared" si="1606"/>
        <v>33031.199999999997</v>
      </c>
      <c r="S575" s="296">
        <f t="shared" si="1637"/>
        <v>33031.199999999997</v>
      </c>
      <c r="T575" s="101">
        <f t="shared" si="1608"/>
        <v>32981.199999999997</v>
      </c>
      <c r="U575" s="296">
        <f t="shared" si="1638"/>
        <v>32981.199999999997</v>
      </c>
      <c r="V575" s="101">
        <f t="shared" si="1610"/>
        <v>32891.199999999997</v>
      </c>
      <c r="W575" s="296">
        <f t="shared" si="1639"/>
        <v>32891.199999999997</v>
      </c>
      <c r="X575" s="137"/>
      <c r="Y575" s="132"/>
      <c r="Z575" s="138"/>
      <c r="AA575" s="139"/>
      <c r="AB575" s="386">
        <v>586</v>
      </c>
    </row>
    <row r="576" spans="1:28" ht="12" customHeight="1" x14ac:dyDescent="0.2">
      <c r="A576" s="4"/>
      <c r="B576" s="789" t="s">
        <v>869</v>
      </c>
      <c r="C576" s="802"/>
      <c r="D576" s="802"/>
      <c r="E576" s="803"/>
      <c r="F576" s="309">
        <v>16013</v>
      </c>
      <c r="G576" s="309">
        <f t="shared" ref="G576" si="1642">+F576*$X$1</f>
        <v>16013</v>
      </c>
      <c r="H576" s="100"/>
      <c r="I576" s="309"/>
      <c r="J576" s="100"/>
      <c r="K576" s="309"/>
      <c r="L576" s="100">
        <f t="shared" si="1633"/>
        <v>16813</v>
      </c>
      <c r="M576" s="309">
        <f t="shared" si="1634"/>
        <v>16813</v>
      </c>
      <c r="N576" s="100">
        <f t="shared" si="1624"/>
        <v>16713</v>
      </c>
      <c r="O576" s="309">
        <f t="shared" si="1635"/>
        <v>16713</v>
      </c>
      <c r="P576" s="100">
        <f t="shared" si="1626"/>
        <v>16613</v>
      </c>
      <c r="Q576" s="309">
        <f t="shared" si="1636"/>
        <v>16613</v>
      </c>
      <c r="R576" s="100">
        <f t="shared" si="1606"/>
        <v>16513</v>
      </c>
      <c r="S576" s="309">
        <f t="shared" si="1637"/>
        <v>16513</v>
      </c>
      <c r="T576" s="100">
        <f t="shared" si="1608"/>
        <v>16463</v>
      </c>
      <c r="U576" s="309">
        <f t="shared" si="1638"/>
        <v>16463</v>
      </c>
      <c r="V576" s="100">
        <f t="shared" si="1610"/>
        <v>16373</v>
      </c>
      <c r="W576" s="309">
        <f t="shared" si="1639"/>
        <v>16373</v>
      </c>
      <c r="X576" s="137"/>
      <c r="Y576" s="132"/>
      <c r="Z576" s="138"/>
      <c r="AA576" s="139"/>
      <c r="AB576" s="386">
        <v>590</v>
      </c>
    </row>
    <row r="577" spans="1:28" ht="12" customHeight="1" x14ac:dyDescent="0.2">
      <c r="A577" s="4"/>
      <c r="B577" s="792" t="s">
        <v>879</v>
      </c>
      <c r="C577" s="793"/>
      <c r="D577" s="793"/>
      <c r="E577" s="794"/>
      <c r="F577" s="312">
        <f>6.28*X2</f>
        <v>6832.64</v>
      </c>
      <c r="G577" s="279">
        <f>+F577*$X$1</f>
        <v>6832.64</v>
      </c>
      <c r="H577" s="101">
        <f>F577+5000</f>
        <v>11832.64</v>
      </c>
      <c r="I577" s="296">
        <f t="shared" ref="I577" si="1643">+H577*$X$1</f>
        <v>11832.64</v>
      </c>
      <c r="J577" s="101">
        <f t="shared" ref="J577:J582" si="1644">F577+1000</f>
        <v>7832.64</v>
      </c>
      <c r="K577" s="296">
        <f t="shared" ref="K577" si="1645">+J577*$X$1</f>
        <v>7832.64</v>
      </c>
      <c r="L577" s="101">
        <f t="shared" si="1633"/>
        <v>7632.64</v>
      </c>
      <c r="M577" s="296">
        <f t="shared" ref="M577:M578" si="1646">+L577*$X$1</f>
        <v>7632.64</v>
      </c>
      <c r="N577" s="101">
        <f t="shared" si="1624"/>
        <v>7532.64</v>
      </c>
      <c r="O577" s="296">
        <f t="shared" ref="O577:O578" si="1647">+N577*$X$1</f>
        <v>7532.64</v>
      </c>
      <c r="P577" s="101">
        <f t="shared" si="1626"/>
        <v>7432.64</v>
      </c>
      <c r="Q577" s="296">
        <f t="shared" ref="Q577:Q578" si="1648">+P577*$X$1</f>
        <v>7432.64</v>
      </c>
      <c r="R577" s="101">
        <f t="shared" si="1606"/>
        <v>7332.64</v>
      </c>
      <c r="S577" s="296">
        <f t="shared" ref="S577:S578" si="1649">+R577*$X$1</f>
        <v>7332.64</v>
      </c>
      <c r="T577" s="101">
        <f t="shared" si="1608"/>
        <v>7282.64</v>
      </c>
      <c r="U577" s="296">
        <f t="shared" ref="U577:U578" si="1650">+T577*$X$1</f>
        <v>7282.64</v>
      </c>
      <c r="V577" s="101">
        <f t="shared" si="1610"/>
        <v>7192.64</v>
      </c>
      <c r="W577" s="296">
        <f t="shared" ref="W577:W578" si="1651">+V577*$X$1</f>
        <v>7192.64</v>
      </c>
      <c r="X577" s="137"/>
      <c r="Y577" s="132"/>
      <c r="Z577" s="138"/>
      <c r="AA577" s="139"/>
      <c r="AB577" s="190">
        <v>593</v>
      </c>
    </row>
    <row r="578" spans="1:28" ht="12" customHeight="1" x14ac:dyDescent="0.2">
      <c r="A578" s="4"/>
      <c r="B578" s="786" t="s">
        <v>732</v>
      </c>
      <c r="C578" s="787"/>
      <c r="D578" s="787"/>
      <c r="E578" s="788"/>
      <c r="F578" s="639">
        <v>22985</v>
      </c>
      <c r="G578" s="513">
        <f>+F578*$X$1</f>
        <v>22985</v>
      </c>
      <c r="H578" s="631"/>
      <c r="I578" s="512"/>
      <c r="J578" s="631"/>
      <c r="K578" s="512"/>
      <c r="L578" s="631">
        <f t="shared" si="1633"/>
        <v>23785</v>
      </c>
      <c r="M578" s="512">
        <f t="shared" si="1646"/>
        <v>23785</v>
      </c>
      <c r="N578" s="631">
        <f t="shared" si="1624"/>
        <v>23685</v>
      </c>
      <c r="O578" s="512">
        <f t="shared" si="1647"/>
        <v>23685</v>
      </c>
      <c r="P578" s="631">
        <f t="shared" si="1626"/>
        <v>23585</v>
      </c>
      <c r="Q578" s="512">
        <f t="shared" si="1648"/>
        <v>23585</v>
      </c>
      <c r="R578" s="631">
        <f t="shared" si="1606"/>
        <v>23485</v>
      </c>
      <c r="S578" s="512">
        <f t="shared" si="1649"/>
        <v>23485</v>
      </c>
      <c r="T578" s="631">
        <f t="shared" si="1608"/>
        <v>23435</v>
      </c>
      <c r="U578" s="512">
        <f t="shared" si="1650"/>
        <v>23435</v>
      </c>
      <c r="V578" s="631">
        <f t="shared" si="1610"/>
        <v>23345</v>
      </c>
      <c r="W578" s="512">
        <f t="shared" si="1651"/>
        <v>23345</v>
      </c>
      <c r="X578" s="137"/>
      <c r="Y578" s="132"/>
      <c r="Z578" s="138"/>
      <c r="AA578" s="139"/>
      <c r="AB578" s="386">
        <v>599</v>
      </c>
    </row>
    <row r="579" spans="1:28" ht="12" customHeight="1" x14ac:dyDescent="0.2">
      <c r="A579" s="4"/>
      <c r="B579" s="786" t="s">
        <v>719</v>
      </c>
      <c r="C579" s="787"/>
      <c r="D579" s="787"/>
      <c r="E579" s="788"/>
      <c r="F579" s="517">
        <f>16.95*X2</f>
        <v>18441.599999999999</v>
      </c>
      <c r="G579" s="513">
        <f>+F579*$X$1</f>
        <v>18441.599999999999</v>
      </c>
      <c r="H579" s="631">
        <f>F579+5000</f>
        <v>23441.599999999999</v>
      </c>
      <c r="I579" s="512">
        <f t="shared" ref="I579:I582" si="1652">+H579*$X$1</f>
        <v>23441.599999999999</v>
      </c>
      <c r="J579" s="631">
        <f t="shared" si="1644"/>
        <v>19441.599999999999</v>
      </c>
      <c r="K579" s="512">
        <f t="shared" ref="K579:K582" si="1653">+J579*$X$1</f>
        <v>19441.599999999999</v>
      </c>
      <c r="L579" s="631">
        <f t="shared" si="1633"/>
        <v>19241.599999999999</v>
      </c>
      <c r="M579" s="512">
        <f t="shared" ref="M579:M582" si="1654">+L579*$X$1</f>
        <v>19241.599999999999</v>
      </c>
      <c r="N579" s="631">
        <f t="shared" si="1624"/>
        <v>19141.599999999999</v>
      </c>
      <c r="O579" s="512">
        <f t="shared" ref="O579:O582" si="1655">+N579*$X$1</f>
        <v>19141.599999999999</v>
      </c>
      <c r="P579" s="631">
        <f t="shared" si="1626"/>
        <v>19041.599999999999</v>
      </c>
      <c r="Q579" s="512">
        <f t="shared" ref="Q579:Q582" si="1656">+P579*$X$1</f>
        <v>19041.599999999999</v>
      </c>
      <c r="R579" s="631">
        <f t="shared" si="1606"/>
        <v>18941.599999999999</v>
      </c>
      <c r="S579" s="512">
        <f t="shared" ref="S579:S582" si="1657">+R579*$X$1</f>
        <v>18941.599999999999</v>
      </c>
      <c r="T579" s="631">
        <f t="shared" si="1608"/>
        <v>18891.599999999999</v>
      </c>
      <c r="U579" s="512">
        <f t="shared" ref="U579:U582" si="1658">+T579*$X$1</f>
        <v>18891.599999999999</v>
      </c>
      <c r="V579" s="631">
        <f t="shared" si="1610"/>
        <v>18801.599999999999</v>
      </c>
      <c r="W579" s="512">
        <f t="shared" ref="W579:W582" si="1659">+V579*$X$1</f>
        <v>18801.599999999999</v>
      </c>
      <c r="X579" s="137"/>
      <c r="Y579" s="132"/>
      <c r="Z579" s="138"/>
      <c r="AA579" s="139"/>
      <c r="AB579" s="386">
        <v>600</v>
      </c>
    </row>
    <row r="580" spans="1:28" ht="12" customHeight="1" x14ac:dyDescent="0.2">
      <c r="A580" s="4"/>
      <c r="B580" s="789" t="s">
        <v>878</v>
      </c>
      <c r="C580" s="802"/>
      <c r="D580" s="802"/>
      <c r="E580" s="803"/>
      <c r="F580" s="311">
        <f>74.5*X2</f>
        <v>81056</v>
      </c>
      <c r="G580" s="280">
        <f t="shared" ref="G580" si="1660">+F580*$X$1</f>
        <v>81056</v>
      </c>
      <c r="H580" s="100">
        <f>F580+5000</f>
        <v>86056</v>
      </c>
      <c r="I580" s="309">
        <f t="shared" si="1652"/>
        <v>86056</v>
      </c>
      <c r="J580" s="100">
        <f t="shared" si="1644"/>
        <v>82056</v>
      </c>
      <c r="K580" s="309">
        <f t="shared" si="1653"/>
        <v>82056</v>
      </c>
      <c r="L580" s="100">
        <f t="shared" si="1633"/>
        <v>81856</v>
      </c>
      <c r="M580" s="309">
        <f t="shared" si="1654"/>
        <v>81856</v>
      </c>
      <c r="N580" s="100">
        <f t="shared" si="1624"/>
        <v>81756</v>
      </c>
      <c r="O580" s="309">
        <f t="shared" si="1655"/>
        <v>81756</v>
      </c>
      <c r="P580" s="100">
        <f t="shared" si="1626"/>
        <v>81656</v>
      </c>
      <c r="Q580" s="309">
        <f t="shared" si="1656"/>
        <v>81656</v>
      </c>
      <c r="R580" s="100">
        <f t="shared" si="1606"/>
        <v>81556</v>
      </c>
      <c r="S580" s="309">
        <f t="shared" si="1657"/>
        <v>81556</v>
      </c>
      <c r="T580" s="100">
        <f t="shared" si="1608"/>
        <v>81506</v>
      </c>
      <c r="U580" s="309">
        <f t="shared" si="1658"/>
        <v>81506</v>
      </c>
      <c r="V580" s="100">
        <f t="shared" si="1610"/>
        <v>81416</v>
      </c>
      <c r="W580" s="309">
        <f t="shared" si="1659"/>
        <v>81416</v>
      </c>
      <c r="X580" s="137"/>
      <c r="Y580" s="132"/>
      <c r="Z580" s="138"/>
      <c r="AA580" s="139"/>
      <c r="AB580" s="386">
        <v>605</v>
      </c>
    </row>
    <row r="581" spans="1:28" ht="12" customHeight="1" x14ac:dyDescent="0.2">
      <c r="A581" s="4"/>
      <c r="B581" s="792" t="s">
        <v>865</v>
      </c>
      <c r="C581" s="793"/>
      <c r="D581" s="793"/>
      <c r="E581" s="794"/>
      <c r="F581" s="312">
        <f>53.39*X2</f>
        <v>58088.32</v>
      </c>
      <c r="G581" s="279">
        <f>+F581*$X$1</f>
        <v>58088.32</v>
      </c>
      <c r="H581" s="101">
        <f>F581+5000</f>
        <v>63088.32</v>
      </c>
      <c r="I581" s="296">
        <f t="shared" si="1652"/>
        <v>63088.32</v>
      </c>
      <c r="J581" s="101">
        <f t="shared" si="1644"/>
        <v>59088.32</v>
      </c>
      <c r="K581" s="296">
        <f t="shared" si="1653"/>
        <v>59088.32</v>
      </c>
      <c r="L581" s="101">
        <f t="shared" si="1633"/>
        <v>58888.32</v>
      </c>
      <c r="M581" s="296">
        <f t="shared" si="1654"/>
        <v>58888.32</v>
      </c>
      <c r="N581" s="101">
        <f t="shared" si="1624"/>
        <v>58788.32</v>
      </c>
      <c r="O581" s="296">
        <f t="shared" si="1655"/>
        <v>58788.32</v>
      </c>
      <c r="P581" s="101">
        <f t="shared" si="1626"/>
        <v>58688.32</v>
      </c>
      <c r="Q581" s="296">
        <f t="shared" si="1656"/>
        <v>58688.32</v>
      </c>
      <c r="R581" s="101">
        <f t="shared" si="1606"/>
        <v>58588.32</v>
      </c>
      <c r="S581" s="296">
        <f t="shared" si="1657"/>
        <v>58588.32</v>
      </c>
      <c r="T581" s="101">
        <f t="shared" si="1608"/>
        <v>58538.32</v>
      </c>
      <c r="U581" s="296">
        <f t="shared" si="1658"/>
        <v>58538.32</v>
      </c>
      <c r="V581" s="101">
        <f t="shared" si="1610"/>
        <v>58448.32</v>
      </c>
      <c r="W581" s="296">
        <f t="shared" si="1659"/>
        <v>58448.32</v>
      </c>
      <c r="X581" s="137"/>
      <c r="Y581" s="132"/>
      <c r="Z581" s="138"/>
      <c r="AA581" s="139"/>
      <c r="AB581" s="386">
        <v>608</v>
      </c>
    </row>
    <row r="582" spans="1:28" ht="12" customHeight="1" x14ac:dyDescent="0.2">
      <c r="A582" s="4"/>
      <c r="B582" s="789" t="s">
        <v>724</v>
      </c>
      <c r="C582" s="802"/>
      <c r="D582" s="802"/>
      <c r="E582" s="803"/>
      <c r="F582" s="311">
        <f>43.45*X2</f>
        <v>47273.600000000006</v>
      </c>
      <c r="G582" s="280">
        <f t="shared" ref="G582:G584" si="1661">+F582*$X$1</f>
        <v>47273.600000000006</v>
      </c>
      <c r="H582" s="100">
        <f>F582+5000</f>
        <v>52273.600000000006</v>
      </c>
      <c r="I582" s="309">
        <f t="shared" si="1652"/>
        <v>52273.600000000006</v>
      </c>
      <c r="J582" s="100">
        <f t="shared" si="1644"/>
        <v>48273.600000000006</v>
      </c>
      <c r="K582" s="309">
        <f t="shared" si="1653"/>
        <v>48273.600000000006</v>
      </c>
      <c r="L582" s="100">
        <f t="shared" si="1633"/>
        <v>48073.600000000006</v>
      </c>
      <c r="M582" s="309">
        <f t="shared" si="1654"/>
        <v>48073.600000000006</v>
      </c>
      <c r="N582" s="100">
        <f t="shared" si="1624"/>
        <v>47973.600000000006</v>
      </c>
      <c r="O582" s="309">
        <f t="shared" si="1655"/>
        <v>47973.600000000006</v>
      </c>
      <c r="P582" s="100">
        <f t="shared" si="1626"/>
        <v>47873.600000000006</v>
      </c>
      <c r="Q582" s="309">
        <f t="shared" si="1656"/>
        <v>47873.600000000006</v>
      </c>
      <c r="R582" s="100">
        <f t="shared" si="1606"/>
        <v>47773.600000000006</v>
      </c>
      <c r="S582" s="309">
        <f t="shared" si="1657"/>
        <v>47773.600000000006</v>
      </c>
      <c r="T582" s="100">
        <f t="shared" si="1608"/>
        <v>47723.600000000006</v>
      </c>
      <c r="U582" s="309">
        <f t="shared" si="1658"/>
        <v>47723.600000000006</v>
      </c>
      <c r="V582" s="100">
        <f t="shared" si="1610"/>
        <v>47633.600000000006</v>
      </c>
      <c r="W582" s="309">
        <f t="shared" si="1659"/>
        <v>47633.600000000006</v>
      </c>
      <c r="X582" s="137"/>
      <c r="Y582" s="132"/>
      <c r="Z582" s="138"/>
      <c r="AA582" s="139"/>
      <c r="AB582" s="386">
        <v>609</v>
      </c>
    </row>
    <row r="583" spans="1:28" ht="12" customHeight="1" x14ac:dyDescent="0.2">
      <c r="A583" s="4"/>
      <c r="B583" s="780" t="s">
        <v>725</v>
      </c>
      <c r="C583" s="781"/>
      <c r="D583" s="781"/>
      <c r="E583" s="782"/>
      <c r="F583" s="312">
        <f>52.2*X2</f>
        <v>56793.600000000006</v>
      </c>
      <c r="G583" s="279">
        <f t="shared" si="1661"/>
        <v>56793.600000000006</v>
      </c>
      <c r="H583" s="101">
        <f t="shared" ref="H583:H619" si="1662">F583+5000</f>
        <v>61793.600000000006</v>
      </c>
      <c r="I583" s="296">
        <f t="shared" ref="I583:I619" si="1663">+H583*$X$1</f>
        <v>61793.600000000006</v>
      </c>
      <c r="J583" s="101">
        <f t="shared" ref="J583:J619" si="1664">F583+1000</f>
        <v>57793.600000000006</v>
      </c>
      <c r="K583" s="296">
        <f t="shared" ref="K583:K619" si="1665">+J583*$X$1</f>
        <v>57793.600000000006</v>
      </c>
      <c r="L583" s="101">
        <f t="shared" ref="L583:L619" si="1666">F583+800</f>
        <v>57593.600000000006</v>
      </c>
      <c r="M583" s="296">
        <f t="shared" ref="M583:M619" si="1667">+L583*$X$1</f>
        <v>57593.600000000006</v>
      </c>
      <c r="N583" s="101">
        <f t="shared" ref="N583:N619" si="1668">F583+700</f>
        <v>57493.600000000006</v>
      </c>
      <c r="O583" s="296">
        <f t="shared" ref="O583:O619" si="1669">+N583*$X$1</f>
        <v>57493.600000000006</v>
      </c>
      <c r="P583" s="101">
        <f t="shared" ref="P583:P619" si="1670">F583+600</f>
        <v>57393.600000000006</v>
      </c>
      <c r="Q583" s="296">
        <f t="shared" ref="Q583:Q619" si="1671">+P583*$X$1</f>
        <v>57393.600000000006</v>
      </c>
      <c r="R583" s="101">
        <f t="shared" ref="R583:R619" si="1672">F583+500</f>
        <v>57293.600000000006</v>
      </c>
      <c r="S583" s="296">
        <f t="shared" ref="S583:S619" si="1673">+R583*$X$1</f>
        <v>57293.600000000006</v>
      </c>
      <c r="T583" s="101">
        <f t="shared" ref="T583:T619" si="1674">F583+450</f>
        <v>57243.600000000006</v>
      </c>
      <c r="U583" s="296">
        <f t="shared" ref="U583:U619" si="1675">+T583*$X$1</f>
        <v>57243.600000000006</v>
      </c>
      <c r="V583" s="101">
        <f t="shared" ref="V583:V619" si="1676">F583+360</f>
        <v>57153.600000000006</v>
      </c>
      <c r="W583" s="296">
        <f t="shared" ref="W583:W619" si="1677">+V583*$X$1</f>
        <v>57153.600000000006</v>
      </c>
      <c r="X583" s="137"/>
      <c r="Y583" s="132"/>
      <c r="Z583" s="138"/>
      <c r="AA583" s="139"/>
      <c r="AB583" s="386">
        <v>611</v>
      </c>
    </row>
    <row r="584" spans="1:28" ht="12" customHeight="1" x14ac:dyDescent="0.2">
      <c r="A584" s="4"/>
      <c r="B584" s="789" t="s">
        <v>876</v>
      </c>
      <c r="C584" s="802"/>
      <c r="D584" s="802"/>
      <c r="E584" s="803"/>
      <c r="F584" s="311">
        <f>47.5*X2</f>
        <v>51680</v>
      </c>
      <c r="G584" s="280">
        <f t="shared" si="1661"/>
        <v>51680</v>
      </c>
      <c r="H584" s="100">
        <f t="shared" si="1662"/>
        <v>56680</v>
      </c>
      <c r="I584" s="309">
        <f t="shared" si="1663"/>
        <v>56680</v>
      </c>
      <c r="J584" s="100">
        <f t="shared" si="1664"/>
        <v>52680</v>
      </c>
      <c r="K584" s="309">
        <f t="shared" si="1665"/>
        <v>52680</v>
      </c>
      <c r="L584" s="100">
        <f t="shared" si="1666"/>
        <v>52480</v>
      </c>
      <c r="M584" s="309">
        <f t="shared" si="1667"/>
        <v>52480</v>
      </c>
      <c r="N584" s="100">
        <f t="shared" si="1668"/>
        <v>52380</v>
      </c>
      <c r="O584" s="309">
        <f t="shared" si="1669"/>
        <v>52380</v>
      </c>
      <c r="P584" s="100">
        <f t="shared" si="1670"/>
        <v>52280</v>
      </c>
      <c r="Q584" s="309">
        <f t="shared" si="1671"/>
        <v>52280</v>
      </c>
      <c r="R584" s="100">
        <f t="shared" si="1672"/>
        <v>52180</v>
      </c>
      <c r="S584" s="309">
        <f t="shared" si="1673"/>
        <v>52180</v>
      </c>
      <c r="T584" s="100">
        <f t="shared" si="1674"/>
        <v>52130</v>
      </c>
      <c r="U584" s="309">
        <f t="shared" si="1675"/>
        <v>52130</v>
      </c>
      <c r="V584" s="100">
        <f t="shared" si="1676"/>
        <v>52040</v>
      </c>
      <c r="W584" s="309">
        <f t="shared" si="1677"/>
        <v>52040</v>
      </c>
      <c r="X584" s="137"/>
      <c r="Y584" s="132"/>
      <c r="Z584" s="138"/>
      <c r="AA584" s="139"/>
      <c r="AB584" s="386">
        <v>613</v>
      </c>
    </row>
    <row r="585" spans="1:28" ht="12" customHeight="1" x14ac:dyDescent="0.2">
      <c r="A585" s="4"/>
      <c r="B585" s="780" t="s">
        <v>605</v>
      </c>
      <c r="C585" s="781"/>
      <c r="D585" s="781"/>
      <c r="E585" s="782"/>
      <c r="F585" s="368">
        <f>5.6*X2</f>
        <v>6092.7999999999993</v>
      </c>
      <c r="G585" s="279">
        <f t="shared" ref="G585" si="1678">+F585*$X$1</f>
        <v>6092.7999999999993</v>
      </c>
      <c r="H585" s="101">
        <f t="shared" si="1662"/>
        <v>11092.8</v>
      </c>
      <c r="I585" s="296">
        <f t="shared" si="1663"/>
        <v>11092.8</v>
      </c>
      <c r="J585" s="101">
        <f t="shared" si="1664"/>
        <v>7092.7999999999993</v>
      </c>
      <c r="K585" s="296">
        <f t="shared" si="1665"/>
        <v>7092.7999999999993</v>
      </c>
      <c r="L585" s="101">
        <f t="shared" si="1666"/>
        <v>6892.7999999999993</v>
      </c>
      <c r="M585" s="296">
        <f t="shared" si="1667"/>
        <v>6892.7999999999993</v>
      </c>
      <c r="N585" s="101">
        <f t="shared" si="1668"/>
        <v>6792.7999999999993</v>
      </c>
      <c r="O585" s="296">
        <f t="shared" si="1669"/>
        <v>6792.7999999999993</v>
      </c>
      <c r="P585" s="101">
        <f t="shared" si="1670"/>
        <v>6692.7999999999993</v>
      </c>
      <c r="Q585" s="296">
        <f t="shared" si="1671"/>
        <v>6692.7999999999993</v>
      </c>
      <c r="R585" s="101">
        <f t="shared" si="1672"/>
        <v>6592.7999999999993</v>
      </c>
      <c r="S585" s="296">
        <f t="shared" si="1673"/>
        <v>6592.7999999999993</v>
      </c>
      <c r="T585" s="101">
        <f t="shared" si="1674"/>
        <v>6542.7999999999993</v>
      </c>
      <c r="U585" s="296">
        <f t="shared" si="1675"/>
        <v>6542.7999999999993</v>
      </c>
      <c r="V585" s="101">
        <f t="shared" si="1676"/>
        <v>6452.7999999999993</v>
      </c>
      <c r="W585" s="296">
        <f t="shared" si="1677"/>
        <v>6452.7999999999993</v>
      </c>
      <c r="X585" s="137"/>
      <c r="Y585" s="132"/>
      <c r="Z585" s="138"/>
      <c r="AA585" s="139"/>
      <c r="AB585" s="190">
        <v>642</v>
      </c>
    </row>
    <row r="586" spans="1:28" ht="12" customHeight="1" x14ac:dyDescent="0.2">
      <c r="A586" s="4"/>
      <c r="B586" s="789" t="s">
        <v>606</v>
      </c>
      <c r="C586" s="802"/>
      <c r="D586" s="802"/>
      <c r="E586" s="803"/>
      <c r="F586" s="367">
        <f>22.9*X2</f>
        <v>24915.199999999997</v>
      </c>
      <c r="G586" s="280">
        <f t="shared" ref="G586" si="1679">+F586*$X$1</f>
        <v>24915.199999999997</v>
      </c>
      <c r="H586" s="100">
        <f t="shared" si="1662"/>
        <v>29915.199999999997</v>
      </c>
      <c r="I586" s="309">
        <f t="shared" si="1663"/>
        <v>29915.199999999997</v>
      </c>
      <c r="J586" s="100">
        <f t="shared" si="1664"/>
        <v>25915.199999999997</v>
      </c>
      <c r="K586" s="309">
        <f t="shared" si="1665"/>
        <v>25915.199999999997</v>
      </c>
      <c r="L586" s="100">
        <f t="shared" si="1666"/>
        <v>25715.199999999997</v>
      </c>
      <c r="M586" s="309">
        <f t="shared" si="1667"/>
        <v>25715.199999999997</v>
      </c>
      <c r="N586" s="100">
        <f t="shared" si="1668"/>
        <v>25615.199999999997</v>
      </c>
      <c r="O586" s="309">
        <f t="shared" si="1669"/>
        <v>25615.199999999997</v>
      </c>
      <c r="P586" s="100">
        <f t="shared" si="1670"/>
        <v>25515.199999999997</v>
      </c>
      <c r="Q586" s="309">
        <f t="shared" si="1671"/>
        <v>25515.199999999997</v>
      </c>
      <c r="R586" s="100">
        <f t="shared" si="1672"/>
        <v>25415.199999999997</v>
      </c>
      <c r="S586" s="309">
        <f t="shared" si="1673"/>
        <v>25415.199999999997</v>
      </c>
      <c r="T586" s="100">
        <f t="shared" si="1674"/>
        <v>25365.199999999997</v>
      </c>
      <c r="U586" s="309">
        <f t="shared" si="1675"/>
        <v>25365.199999999997</v>
      </c>
      <c r="V586" s="100">
        <f t="shared" si="1676"/>
        <v>25275.199999999997</v>
      </c>
      <c r="W586" s="309">
        <f t="shared" si="1677"/>
        <v>25275.199999999997</v>
      </c>
      <c r="X586" s="137"/>
      <c r="Y586" s="132"/>
      <c r="Z586" s="138"/>
      <c r="AA586" s="139"/>
      <c r="AB586" s="190">
        <v>643</v>
      </c>
    </row>
    <row r="587" spans="1:28" ht="12" customHeight="1" x14ac:dyDescent="0.2">
      <c r="A587" s="4"/>
      <c r="B587" s="780" t="s">
        <v>726</v>
      </c>
      <c r="C587" s="781"/>
      <c r="D587" s="781"/>
      <c r="E587" s="782"/>
      <c r="F587" s="365">
        <f>42.34*X2</f>
        <v>46065.920000000006</v>
      </c>
      <c r="G587" s="279">
        <f>+F587*$X$1</f>
        <v>46065.920000000006</v>
      </c>
      <c r="H587" s="101">
        <f t="shared" si="1662"/>
        <v>51065.920000000006</v>
      </c>
      <c r="I587" s="296">
        <f t="shared" si="1663"/>
        <v>51065.920000000006</v>
      </c>
      <c r="J587" s="101">
        <f t="shared" si="1664"/>
        <v>47065.920000000006</v>
      </c>
      <c r="K587" s="296">
        <f t="shared" si="1665"/>
        <v>47065.920000000006</v>
      </c>
      <c r="L587" s="101">
        <f t="shared" si="1666"/>
        <v>46865.920000000006</v>
      </c>
      <c r="M587" s="296">
        <f t="shared" si="1667"/>
        <v>46865.920000000006</v>
      </c>
      <c r="N587" s="101">
        <f t="shared" si="1668"/>
        <v>46765.920000000006</v>
      </c>
      <c r="O587" s="296">
        <f t="shared" si="1669"/>
        <v>46765.920000000006</v>
      </c>
      <c r="P587" s="101">
        <f t="shared" si="1670"/>
        <v>46665.920000000006</v>
      </c>
      <c r="Q587" s="296">
        <f t="shared" si="1671"/>
        <v>46665.920000000006</v>
      </c>
      <c r="R587" s="101">
        <f t="shared" si="1672"/>
        <v>46565.920000000006</v>
      </c>
      <c r="S587" s="296">
        <f t="shared" si="1673"/>
        <v>46565.920000000006</v>
      </c>
      <c r="T587" s="101">
        <f t="shared" si="1674"/>
        <v>46515.920000000006</v>
      </c>
      <c r="U587" s="296">
        <f t="shared" si="1675"/>
        <v>46515.920000000006</v>
      </c>
      <c r="V587" s="101">
        <f t="shared" si="1676"/>
        <v>46425.920000000006</v>
      </c>
      <c r="W587" s="296">
        <f t="shared" si="1677"/>
        <v>46425.920000000006</v>
      </c>
      <c r="X587" s="137"/>
      <c r="Y587" s="132"/>
      <c r="Z587" s="138"/>
      <c r="AA587" s="139"/>
      <c r="AB587" s="386">
        <v>657</v>
      </c>
    </row>
    <row r="588" spans="1:28" ht="12" customHeight="1" x14ac:dyDescent="0.2">
      <c r="A588" s="4"/>
      <c r="B588" s="789" t="s">
        <v>727</v>
      </c>
      <c r="C588" s="802"/>
      <c r="D588" s="802"/>
      <c r="E588" s="803"/>
      <c r="F588" s="366">
        <f>36.05*X2</f>
        <v>39222.399999999994</v>
      </c>
      <c r="G588" s="280">
        <f t="shared" ref="G588:G590" si="1680">+F588*$X$1</f>
        <v>39222.399999999994</v>
      </c>
      <c r="H588" s="100">
        <f t="shared" si="1662"/>
        <v>44222.399999999994</v>
      </c>
      <c r="I588" s="309">
        <f t="shared" si="1663"/>
        <v>44222.399999999994</v>
      </c>
      <c r="J588" s="100">
        <f t="shared" si="1664"/>
        <v>40222.399999999994</v>
      </c>
      <c r="K588" s="309">
        <f t="shared" si="1665"/>
        <v>40222.399999999994</v>
      </c>
      <c r="L588" s="100">
        <f t="shared" si="1666"/>
        <v>40022.399999999994</v>
      </c>
      <c r="M588" s="309">
        <f t="shared" si="1667"/>
        <v>40022.399999999994</v>
      </c>
      <c r="N588" s="100">
        <f t="shared" si="1668"/>
        <v>39922.399999999994</v>
      </c>
      <c r="O588" s="309">
        <f t="shared" si="1669"/>
        <v>39922.399999999994</v>
      </c>
      <c r="P588" s="100">
        <f t="shared" si="1670"/>
        <v>39822.399999999994</v>
      </c>
      <c r="Q588" s="309">
        <f t="shared" si="1671"/>
        <v>39822.399999999994</v>
      </c>
      <c r="R588" s="100">
        <f t="shared" si="1672"/>
        <v>39722.399999999994</v>
      </c>
      <c r="S588" s="309">
        <f t="shared" si="1673"/>
        <v>39722.399999999994</v>
      </c>
      <c r="T588" s="100">
        <f t="shared" si="1674"/>
        <v>39672.399999999994</v>
      </c>
      <c r="U588" s="309">
        <f t="shared" si="1675"/>
        <v>39672.399999999994</v>
      </c>
      <c r="V588" s="100">
        <f t="shared" si="1676"/>
        <v>39582.399999999994</v>
      </c>
      <c r="W588" s="309">
        <f t="shared" si="1677"/>
        <v>39582.399999999994</v>
      </c>
      <c r="X588" s="137"/>
      <c r="Y588" s="132"/>
      <c r="Z588" s="138"/>
      <c r="AA588" s="139"/>
      <c r="AB588" s="386">
        <v>658</v>
      </c>
    </row>
    <row r="589" spans="1:28" ht="12" customHeight="1" x14ac:dyDescent="0.2">
      <c r="A589" s="4"/>
      <c r="B589" s="780" t="s">
        <v>728</v>
      </c>
      <c r="C589" s="781"/>
      <c r="D589" s="781"/>
      <c r="E589" s="782"/>
      <c r="F589" s="365">
        <f>28.5*X2</f>
        <v>31008</v>
      </c>
      <c r="G589" s="279">
        <f t="shared" si="1680"/>
        <v>31008</v>
      </c>
      <c r="H589" s="101">
        <f t="shared" si="1662"/>
        <v>36008</v>
      </c>
      <c r="I589" s="296">
        <f t="shared" si="1663"/>
        <v>36008</v>
      </c>
      <c r="J589" s="101">
        <f t="shared" si="1664"/>
        <v>32008</v>
      </c>
      <c r="K589" s="296">
        <f t="shared" si="1665"/>
        <v>32008</v>
      </c>
      <c r="L589" s="101">
        <f t="shared" si="1666"/>
        <v>31808</v>
      </c>
      <c r="M589" s="296">
        <f t="shared" si="1667"/>
        <v>31808</v>
      </c>
      <c r="N589" s="101">
        <f t="shared" si="1668"/>
        <v>31708</v>
      </c>
      <c r="O589" s="296">
        <f t="shared" si="1669"/>
        <v>31708</v>
      </c>
      <c r="P589" s="101">
        <f t="shared" si="1670"/>
        <v>31608</v>
      </c>
      <c r="Q589" s="296">
        <f t="shared" si="1671"/>
        <v>31608</v>
      </c>
      <c r="R589" s="101">
        <f t="shared" si="1672"/>
        <v>31508</v>
      </c>
      <c r="S589" s="296">
        <f t="shared" si="1673"/>
        <v>31508</v>
      </c>
      <c r="T589" s="101">
        <f t="shared" si="1674"/>
        <v>31458</v>
      </c>
      <c r="U589" s="296">
        <f t="shared" si="1675"/>
        <v>31458</v>
      </c>
      <c r="V589" s="101">
        <f t="shared" si="1676"/>
        <v>31368</v>
      </c>
      <c r="W589" s="296">
        <f t="shared" si="1677"/>
        <v>31368</v>
      </c>
      <c r="X589" s="137"/>
      <c r="Y589" s="132"/>
      <c r="Z589" s="138"/>
      <c r="AA589" s="139"/>
      <c r="AB589" s="386">
        <v>659</v>
      </c>
    </row>
    <row r="590" spans="1:28" ht="12" customHeight="1" x14ac:dyDescent="0.2">
      <c r="A590" s="4"/>
      <c r="B590" s="789" t="s">
        <v>729</v>
      </c>
      <c r="C590" s="802"/>
      <c r="D590" s="802"/>
      <c r="E590" s="803"/>
      <c r="F590" s="366">
        <f>12.5*X2</f>
        <v>13600</v>
      </c>
      <c r="G590" s="280">
        <f t="shared" si="1680"/>
        <v>13600</v>
      </c>
      <c r="H590" s="100">
        <f t="shared" si="1662"/>
        <v>18600</v>
      </c>
      <c r="I590" s="309">
        <f t="shared" si="1663"/>
        <v>18600</v>
      </c>
      <c r="J590" s="100">
        <f t="shared" si="1664"/>
        <v>14600</v>
      </c>
      <c r="K590" s="309">
        <f t="shared" si="1665"/>
        <v>14600</v>
      </c>
      <c r="L590" s="100">
        <f t="shared" si="1666"/>
        <v>14400</v>
      </c>
      <c r="M590" s="309">
        <f t="shared" si="1667"/>
        <v>14400</v>
      </c>
      <c r="N590" s="100">
        <f t="shared" si="1668"/>
        <v>14300</v>
      </c>
      <c r="O590" s="309">
        <f t="shared" si="1669"/>
        <v>14300</v>
      </c>
      <c r="P590" s="100">
        <f t="shared" si="1670"/>
        <v>14200</v>
      </c>
      <c r="Q590" s="309">
        <f t="shared" si="1671"/>
        <v>14200</v>
      </c>
      <c r="R590" s="100">
        <f t="shared" si="1672"/>
        <v>14100</v>
      </c>
      <c r="S590" s="309">
        <f t="shared" si="1673"/>
        <v>14100</v>
      </c>
      <c r="T590" s="100">
        <f t="shared" si="1674"/>
        <v>14050</v>
      </c>
      <c r="U590" s="309">
        <f t="shared" si="1675"/>
        <v>14050</v>
      </c>
      <c r="V590" s="100">
        <f t="shared" si="1676"/>
        <v>13960</v>
      </c>
      <c r="W590" s="309">
        <f t="shared" si="1677"/>
        <v>13960</v>
      </c>
      <c r="X590" s="137"/>
      <c r="Y590" s="132"/>
      <c r="Z590" s="138"/>
      <c r="AA590" s="139"/>
      <c r="AB590" s="386">
        <v>660</v>
      </c>
    </row>
    <row r="591" spans="1:28" ht="12" customHeight="1" x14ac:dyDescent="0.2">
      <c r="A591" s="4"/>
      <c r="B591" s="780" t="s">
        <v>586</v>
      </c>
      <c r="C591" s="781"/>
      <c r="D591" s="781"/>
      <c r="E591" s="782"/>
      <c r="F591" s="320">
        <v>34835</v>
      </c>
      <c r="G591" s="279">
        <f t="shared" ref="G591:G598" si="1681">+F591*$X$1</f>
        <v>34835</v>
      </c>
      <c r="H591" s="101">
        <f t="shared" si="1662"/>
        <v>39835</v>
      </c>
      <c r="I591" s="296">
        <f t="shared" si="1663"/>
        <v>39835</v>
      </c>
      <c r="J591" s="101">
        <f t="shared" si="1664"/>
        <v>35835</v>
      </c>
      <c r="K591" s="296">
        <f t="shared" si="1665"/>
        <v>35835</v>
      </c>
      <c r="L591" s="101">
        <f t="shared" si="1666"/>
        <v>35635</v>
      </c>
      <c r="M591" s="296">
        <f t="shared" si="1667"/>
        <v>35635</v>
      </c>
      <c r="N591" s="101">
        <f t="shared" si="1668"/>
        <v>35535</v>
      </c>
      <c r="O591" s="296">
        <f t="shared" si="1669"/>
        <v>35535</v>
      </c>
      <c r="P591" s="101">
        <f t="shared" si="1670"/>
        <v>35435</v>
      </c>
      <c r="Q591" s="296">
        <f t="shared" si="1671"/>
        <v>35435</v>
      </c>
      <c r="R591" s="101">
        <f t="shared" si="1672"/>
        <v>35335</v>
      </c>
      <c r="S591" s="296">
        <f t="shared" si="1673"/>
        <v>35335</v>
      </c>
      <c r="T591" s="101">
        <f t="shared" si="1674"/>
        <v>35285</v>
      </c>
      <c r="U591" s="296">
        <f t="shared" si="1675"/>
        <v>35285</v>
      </c>
      <c r="V591" s="101">
        <f t="shared" si="1676"/>
        <v>35195</v>
      </c>
      <c r="W591" s="296">
        <f t="shared" si="1677"/>
        <v>35195</v>
      </c>
      <c r="X591" s="137"/>
      <c r="Y591" s="132"/>
      <c r="Z591" s="138"/>
      <c r="AA591" s="139"/>
      <c r="AB591" s="386">
        <v>664</v>
      </c>
    </row>
    <row r="592" spans="1:28" ht="12" customHeight="1" x14ac:dyDescent="0.2">
      <c r="A592" s="4"/>
      <c r="B592" s="789" t="s">
        <v>751</v>
      </c>
      <c r="C592" s="802"/>
      <c r="D592" s="802"/>
      <c r="E592" s="803"/>
      <c r="F592" s="366">
        <f>18.4*X2</f>
        <v>20019.199999999997</v>
      </c>
      <c r="G592" s="280">
        <f t="shared" si="1681"/>
        <v>20019.199999999997</v>
      </c>
      <c r="H592" s="100">
        <f t="shared" si="1662"/>
        <v>25019.199999999997</v>
      </c>
      <c r="I592" s="309">
        <f t="shared" si="1663"/>
        <v>25019.199999999997</v>
      </c>
      <c r="J592" s="100">
        <f t="shared" si="1664"/>
        <v>21019.199999999997</v>
      </c>
      <c r="K592" s="309">
        <f t="shared" si="1665"/>
        <v>21019.199999999997</v>
      </c>
      <c r="L592" s="100">
        <f t="shared" si="1666"/>
        <v>20819.199999999997</v>
      </c>
      <c r="M592" s="309">
        <f t="shared" si="1667"/>
        <v>20819.199999999997</v>
      </c>
      <c r="N592" s="100">
        <f t="shared" si="1668"/>
        <v>20719.199999999997</v>
      </c>
      <c r="O592" s="309">
        <f t="shared" si="1669"/>
        <v>20719.199999999997</v>
      </c>
      <c r="P592" s="100">
        <f t="shared" si="1670"/>
        <v>20619.199999999997</v>
      </c>
      <c r="Q592" s="309">
        <f t="shared" si="1671"/>
        <v>20619.199999999997</v>
      </c>
      <c r="R592" s="100">
        <f t="shared" si="1672"/>
        <v>20519.199999999997</v>
      </c>
      <c r="S592" s="309">
        <f t="shared" si="1673"/>
        <v>20519.199999999997</v>
      </c>
      <c r="T592" s="100">
        <f t="shared" si="1674"/>
        <v>20469.199999999997</v>
      </c>
      <c r="U592" s="309">
        <f t="shared" si="1675"/>
        <v>20469.199999999997</v>
      </c>
      <c r="V592" s="100">
        <f t="shared" si="1676"/>
        <v>20379.199999999997</v>
      </c>
      <c r="W592" s="309">
        <f t="shared" si="1677"/>
        <v>20379.199999999997</v>
      </c>
      <c r="X592" s="137"/>
      <c r="Y592" s="132"/>
      <c r="Z592" s="138"/>
      <c r="AA592" s="139"/>
      <c r="AB592" s="386">
        <v>667</v>
      </c>
    </row>
    <row r="593" spans="1:28" ht="12" customHeight="1" x14ac:dyDescent="0.2">
      <c r="A593" s="4"/>
      <c r="B593" s="780" t="s">
        <v>750</v>
      </c>
      <c r="C593" s="781"/>
      <c r="D593" s="781"/>
      <c r="E593" s="782"/>
      <c r="F593" s="365">
        <f>15*X2</f>
        <v>16320</v>
      </c>
      <c r="G593" s="279">
        <f t="shared" ref="G593:G595" si="1682">+F593*$X$1</f>
        <v>16320</v>
      </c>
      <c r="H593" s="101">
        <f t="shared" si="1662"/>
        <v>21320</v>
      </c>
      <c r="I593" s="296">
        <f t="shared" si="1663"/>
        <v>21320</v>
      </c>
      <c r="J593" s="101">
        <f t="shared" si="1664"/>
        <v>17320</v>
      </c>
      <c r="K593" s="296">
        <f t="shared" si="1665"/>
        <v>17320</v>
      </c>
      <c r="L593" s="101">
        <f t="shared" si="1666"/>
        <v>17120</v>
      </c>
      <c r="M593" s="296">
        <f t="shared" si="1667"/>
        <v>17120</v>
      </c>
      <c r="N593" s="101">
        <f t="shared" si="1668"/>
        <v>17020</v>
      </c>
      <c r="O593" s="296">
        <f t="shared" si="1669"/>
        <v>17020</v>
      </c>
      <c r="P593" s="101">
        <f t="shared" si="1670"/>
        <v>16920</v>
      </c>
      <c r="Q593" s="296">
        <f t="shared" si="1671"/>
        <v>16920</v>
      </c>
      <c r="R593" s="101">
        <f t="shared" si="1672"/>
        <v>16820</v>
      </c>
      <c r="S593" s="296">
        <f t="shared" si="1673"/>
        <v>16820</v>
      </c>
      <c r="T593" s="101">
        <f t="shared" si="1674"/>
        <v>16770</v>
      </c>
      <c r="U593" s="296">
        <f t="shared" si="1675"/>
        <v>16770</v>
      </c>
      <c r="V593" s="101">
        <f t="shared" si="1676"/>
        <v>16680</v>
      </c>
      <c r="W593" s="296">
        <f t="shared" si="1677"/>
        <v>16680</v>
      </c>
      <c r="X593" s="137"/>
      <c r="Y593" s="132"/>
      <c r="Z593" s="138"/>
      <c r="AA593" s="139"/>
      <c r="AB593" s="386">
        <v>668</v>
      </c>
    </row>
    <row r="594" spans="1:28" ht="12" customHeight="1" x14ac:dyDescent="0.2">
      <c r="A594" s="4"/>
      <c r="B594" s="789" t="s">
        <v>830</v>
      </c>
      <c r="C594" s="802"/>
      <c r="D594" s="802"/>
      <c r="E594" s="803"/>
      <c r="F594" s="366">
        <f>15.28*X2</f>
        <v>16624.64</v>
      </c>
      <c r="G594" s="280">
        <f t="shared" si="1682"/>
        <v>16624.64</v>
      </c>
      <c r="H594" s="100">
        <f t="shared" si="1662"/>
        <v>21624.639999999999</v>
      </c>
      <c r="I594" s="309">
        <f t="shared" si="1663"/>
        <v>21624.639999999999</v>
      </c>
      <c r="J594" s="100">
        <f t="shared" si="1664"/>
        <v>17624.64</v>
      </c>
      <c r="K594" s="309">
        <f t="shared" si="1665"/>
        <v>17624.64</v>
      </c>
      <c r="L594" s="100">
        <f t="shared" si="1666"/>
        <v>17424.64</v>
      </c>
      <c r="M594" s="309">
        <f t="shared" si="1667"/>
        <v>17424.64</v>
      </c>
      <c r="N594" s="100">
        <f t="shared" si="1668"/>
        <v>17324.64</v>
      </c>
      <c r="O594" s="309">
        <f t="shared" si="1669"/>
        <v>17324.64</v>
      </c>
      <c r="P594" s="100">
        <f t="shared" si="1670"/>
        <v>17224.64</v>
      </c>
      <c r="Q594" s="309">
        <f t="shared" si="1671"/>
        <v>17224.64</v>
      </c>
      <c r="R594" s="100">
        <f t="shared" si="1672"/>
        <v>17124.64</v>
      </c>
      <c r="S594" s="309">
        <f t="shared" si="1673"/>
        <v>17124.64</v>
      </c>
      <c r="T594" s="100">
        <f t="shared" si="1674"/>
        <v>17074.64</v>
      </c>
      <c r="U594" s="309">
        <f t="shared" si="1675"/>
        <v>17074.64</v>
      </c>
      <c r="V594" s="100">
        <f t="shared" si="1676"/>
        <v>16984.64</v>
      </c>
      <c r="W594" s="309">
        <f t="shared" si="1677"/>
        <v>16984.64</v>
      </c>
      <c r="X594" s="137"/>
      <c r="Y594" s="132"/>
      <c r="Z594" s="138"/>
      <c r="AA594" s="139"/>
      <c r="AB594" s="190">
        <v>675</v>
      </c>
    </row>
    <row r="595" spans="1:28" ht="12" customHeight="1" x14ac:dyDescent="0.2">
      <c r="A595" s="4"/>
      <c r="B595" s="780" t="s">
        <v>875</v>
      </c>
      <c r="C595" s="781"/>
      <c r="D595" s="781"/>
      <c r="E595" s="782"/>
      <c r="F595" s="365">
        <f>12.72*X2</f>
        <v>13839.36</v>
      </c>
      <c r="G595" s="279">
        <f t="shared" si="1682"/>
        <v>13839.36</v>
      </c>
      <c r="H595" s="101">
        <f t="shared" si="1662"/>
        <v>18839.36</v>
      </c>
      <c r="I595" s="296">
        <f t="shared" si="1663"/>
        <v>18839.36</v>
      </c>
      <c r="J595" s="101">
        <f t="shared" si="1664"/>
        <v>14839.36</v>
      </c>
      <c r="K595" s="296">
        <f t="shared" si="1665"/>
        <v>14839.36</v>
      </c>
      <c r="L595" s="101">
        <f t="shared" si="1666"/>
        <v>14639.36</v>
      </c>
      <c r="M595" s="296">
        <f t="shared" si="1667"/>
        <v>14639.36</v>
      </c>
      <c r="N595" s="101">
        <f t="shared" si="1668"/>
        <v>14539.36</v>
      </c>
      <c r="O595" s="296">
        <f t="shared" si="1669"/>
        <v>14539.36</v>
      </c>
      <c r="P595" s="101">
        <f t="shared" si="1670"/>
        <v>14439.36</v>
      </c>
      <c r="Q595" s="296">
        <f t="shared" si="1671"/>
        <v>14439.36</v>
      </c>
      <c r="R595" s="101">
        <f t="shared" si="1672"/>
        <v>14339.36</v>
      </c>
      <c r="S595" s="296">
        <f t="shared" si="1673"/>
        <v>14339.36</v>
      </c>
      <c r="T595" s="101">
        <f t="shared" si="1674"/>
        <v>14289.36</v>
      </c>
      <c r="U595" s="296">
        <f t="shared" si="1675"/>
        <v>14289.36</v>
      </c>
      <c r="V595" s="101">
        <f t="shared" si="1676"/>
        <v>14199.36</v>
      </c>
      <c r="W595" s="296">
        <f t="shared" si="1677"/>
        <v>14199.36</v>
      </c>
      <c r="X595" s="137"/>
      <c r="Y595" s="132"/>
      <c r="Z595" s="138"/>
      <c r="AA595" s="139"/>
      <c r="AB595" s="190">
        <v>682</v>
      </c>
    </row>
    <row r="596" spans="1:28" ht="12" customHeight="1" x14ac:dyDescent="0.2">
      <c r="A596" s="4"/>
      <c r="B596" s="789" t="s">
        <v>508</v>
      </c>
      <c r="C596" s="802"/>
      <c r="D596" s="802"/>
      <c r="E596" s="803"/>
      <c r="F596" s="366">
        <f>10.4*X2</f>
        <v>11315.2</v>
      </c>
      <c r="G596" s="280">
        <f t="shared" si="1681"/>
        <v>11315.2</v>
      </c>
      <c r="H596" s="100">
        <f t="shared" si="1662"/>
        <v>16315.2</v>
      </c>
      <c r="I596" s="309">
        <f t="shared" si="1663"/>
        <v>16315.2</v>
      </c>
      <c r="J596" s="100">
        <f t="shared" si="1664"/>
        <v>12315.2</v>
      </c>
      <c r="K596" s="309">
        <f t="shared" si="1665"/>
        <v>12315.2</v>
      </c>
      <c r="L596" s="100">
        <f t="shared" si="1666"/>
        <v>12115.2</v>
      </c>
      <c r="M596" s="309">
        <f t="shared" si="1667"/>
        <v>12115.2</v>
      </c>
      <c r="N596" s="100">
        <f t="shared" si="1668"/>
        <v>12015.2</v>
      </c>
      <c r="O596" s="309">
        <f t="shared" si="1669"/>
        <v>12015.2</v>
      </c>
      <c r="P596" s="100">
        <f t="shared" si="1670"/>
        <v>11915.2</v>
      </c>
      <c r="Q596" s="309">
        <f t="shared" si="1671"/>
        <v>11915.2</v>
      </c>
      <c r="R596" s="100">
        <f t="shared" si="1672"/>
        <v>11815.2</v>
      </c>
      <c r="S596" s="309">
        <f t="shared" si="1673"/>
        <v>11815.2</v>
      </c>
      <c r="T596" s="100">
        <f t="shared" si="1674"/>
        <v>11765.2</v>
      </c>
      <c r="U596" s="309">
        <f t="shared" si="1675"/>
        <v>11765.2</v>
      </c>
      <c r="V596" s="100">
        <f t="shared" si="1676"/>
        <v>11675.2</v>
      </c>
      <c r="W596" s="309">
        <f t="shared" si="1677"/>
        <v>11675.2</v>
      </c>
      <c r="X596" s="137"/>
      <c r="Y596" s="132"/>
      <c r="Z596" s="138"/>
      <c r="AA596" s="139"/>
      <c r="AB596" s="190">
        <v>686</v>
      </c>
    </row>
    <row r="597" spans="1:28" ht="12" customHeight="1" x14ac:dyDescent="0.2">
      <c r="A597" s="4"/>
      <c r="B597" s="780" t="s">
        <v>548</v>
      </c>
      <c r="C597" s="781"/>
      <c r="D597" s="781"/>
      <c r="E597" s="782"/>
      <c r="F597" s="368">
        <f>32*X2</f>
        <v>34816</v>
      </c>
      <c r="G597" s="279">
        <f t="shared" si="1681"/>
        <v>34816</v>
      </c>
      <c r="H597" s="101">
        <f t="shared" si="1662"/>
        <v>39816</v>
      </c>
      <c r="I597" s="296">
        <f t="shared" si="1663"/>
        <v>39816</v>
      </c>
      <c r="J597" s="101">
        <f t="shared" si="1664"/>
        <v>35816</v>
      </c>
      <c r="K597" s="296">
        <f t="shared" si="1665"/>
        <v>35816</v>
      </c>
      <c r="L597" s="101">
        <f t="shared" si="1666"/>
        <v>35616</v>
      </c>
      <c r="M597" s="296">
        <f t="shared" si="1667"/>
        <v>35616</v>
      </c>
      <c r="N597" s="101">
        <f t="shared" si="1668"/>
        <v>35516</v>
      </c>
      <c r="O597" s="296">
        <f t="shared" si="1669"/>
        <v>35516</v>
      </c>
      <c r="P597" s="101">
        <f t="shared" si="1670"/>
        <v>35416</v>
      </c>
      <c r="Q597" s="296">
        <f t="shared" si="1671"/>
        <v>35416</v>
      </c>
      <c r="R597" s="101">
        <f t="shared" si="1672"/>
        <v>35316</v>
      </c>
      <c r="S597" s="296">
        <f t="shared" si="1673"/>
        <v>35316</v>
      </c>
      <c r="T597" s="101">
        <f t="shared" si="1674"/>
        <v>35266</v>
      </c>
      <c r="U597" s="296">
        <f t="shared" si="1675"/>
        <v>35266</v>
      </c>
      <c r="V597" s="101">
        <f t="shared" si="1676"/>
        <v>35176</v>
      </c>
      <c r="W597" s="296">
        <f t="shared" si="1677"/>
        <v>35176</v>
      </c>
      <c r="X597" s="137"/>
      <c r="Y597" s="132"/>
      <c r="Z597" s="138"/>
      <c r="AA597" s="139"/>
      <c r="AB597" s="386">
        <v>687</v>
      </c>
    </row>
    <row r="598" spans="1:28" ht="12" customHeight="1" x14ac:dyDescent="0.2">
      <c r="A598" s="4"/>
      <c r="B598" s="789" t="s">
        <v>730</v>
      </c>
      <c r="C598" s="802"/>
      <c r="D598" s="802"/>
      <c r="E598" s="803"/>
      <c r="F598" s="367">
        <f>17*X2</f>
        <v>18496</v>
      </c>
      <c r="G598" s="280">
        <f t="shared" si="1681"/>
        <v>18496</v>
      </c>
      <c r="H598" s="100">
        <f t="shared" si="1662"/>
        <v>23496</v>
      </c>
      <c r="I598" s="309">
        <f t="shared" si="1663"/>
        <v>23496</v>
      </c>
      <c r="J598" s="100">
        <f t="shared" si="1664"/>
        <v>19496</v>
      </c>
      <c r="K598" s="309">
        <f t="shared" si="1665"/>
        <v>19496</v>
      </c>
      <c r="L598" s="100">
        <f t="shared" si="1666"/>
        <v>19296</v>
      </c>
      <c r="M598" s="309">
        <f t="shared" si="1667"/>
        <v>19296</v>
      </c>
      <c r="N598" s="100">
        <f t="shared" si="1668"/>
        <v>19196</v>
      </c>
      <c r="O598" s="309">
        <f t="shared" si="1669"/>
        <v>19196</v>
      </c>
      <c r="P598" s="100">
        <f t="shared" si="1670"/>
        <v>19096</v>
      </c>
      <c r="Q598" s="309">
        <f t="shared" si="1671"/>
        <v>19096</v>
      </c>
      <c r="R598" s="100">
        <f t="shared" si="1672"/>
        <v>18996</v>
      </c>
      <c r="S598" s="309">
        <f t="shared" si="1673"/>
        <v>18996</v>
      </c>
      <c r="T598" s="100">
        <f t="shared" si="1674"/>
        <v>18946</v>
      </c>
      <c r="U598" s="309">
        <f t="shared" si="1675"/>
        <v>18946</v>
      </c>
      <c r="V598" s="100">
        <f t="shared" si="1676"/>
        <v>18856</v>
      </c>
      <c r="W598" s="309">
        <f t="shared" si="1677"/>
        <v>18856</v>
      </c>
      <c r="X598" s="137"/>
      <c r="Y598" s="132"/>
      <c r="Z598" s="138"/>
      <c r="AA598" s="139"/>
      <c r="AB598" s="386">
        <v>694</v>
      </c>
    </row>
    <row r="599" spans="1:28" ht="12" customHeight="1" x14ac:dyDescent="0.2">
      <c r="A599" s="4"/>
      <c r="B599" s="780" t="s">
        <v>877</v>
      </c>
      <c r="C599" s="781"/>
      <c r="D599" s="781"/>
      <c r="E599" s="782"/>
      <c r="F599" s="368">
        <f>15.7*X2</f>
        <v>17081.599999999999</v>
      </c>
      <c r="G599" s="279">
        <f t="shared" ref="G599" si="1683">+F599*$X$1</f>
        <v>17081.599999999999</v>
      </c>
      <c r="H599" s="101">
        <f t="shared" si="1662"/>
        <v>22081.599999999999</v>
      </c>
      <c r="I599" s="296">
        <f t="shared" si="1663"/>
        <v>22081.599999999999</v>
      </c>
      <c r="J599" s="101">
        <f t="shared" si="1664"/>
        <v>18081.599999999999</v>
      </c>
      <c r="K599" s="296">
        <f t="shared" si="1665"/>
        <v>18081.599999999999</v>
      </c>
      <c r="L599" s="101">
        <f t="shared" si="1666"/>
        <v>17881.599999999999</v>
      </c>
      <c r="M599" s="296">
        <f t="shared" si="1667"/>
        <v>17881.599999999999</v>
      </c>
      <c r="N599" s="101">
        <f t="shared" si="1668"/>
        <v>17781.599999999999</v>
      </c>
      <c r="O599" s="296">
        <f t="shared" si="1669"/>
        <v>17781.599999999999</v>
      </c>
      <c r="P599" s="101">
        <f t="shared" si="1670"/>
        <v>17681.599999999999</v>
      </c>
      <c r="Q599" s="296">
        <f t="shared" si="1671"/>
        <v>17681.599999999999</v>
      </c>
      <c r="R599" s="101">
        <f t="shared" si="1672"/>
        <v>17581.599999999999</v>
      </c>
      <c r="S599" s="296">
        <f t="shared" si="1673"/>
        <v>17581.599999999999</v>
      </c>
      <c r="T599" s="101">
        <f t="shared" si="1674"/>
        <v>17531.599999999999</v>
      </c>
      <c r="U599" s="296">
        <f t="shared" si="1675"/>
        <v>17531.599999999999</v>
      </c>
      <c r="V599" s="101">
        <f t="shared" si="1676"/>
        <v>17441.599999999999</v>
      </c>
      <c r="W599" s="296">
        <f t="shared" si="1677"/>
        <v>17441.599999999999</v>
      </c>
      <c r="X599" s="137"/>
      <c r="Y599" s="132"/>
      <c r="Z599" s="138"/>
      <c r="AA599" s="139"/>
      <c r="AB599" s="386">
        <v>696</v>
      </c>
    </row>
    <row r="600" spans="1:28" ht="12" customHeight="1" x14ac:dyDescent="0.2">
      <c r="A600" s="4"/>
      <c r="B600" s="789" t="s">
        <v>731</v>
      </c>
      <c r="C600" s="802"/>
      <c r="D600" s="802"/>
      <c r="E600" s="803"/>
      <c r="F600" s="366">
        <f>37.5*X2</f>
        <v>40800</v>
      </c>
      <c r="G600" s="280">
        <f t="shared" ref="G600" si="1684">+F600*$X$1</f>
        <v>40800</v>
      </c>
      <c r="H600" s="100">
        <f t="shared" si="1662"/>
        <v>45800</v>
      </c>
      <c r="I600" s="309">
        <f t="shared" si="1663"/>
        <v>45800</v>
      </c>
      <c r="J600" s="100">
        <f t="shared" si="1664"/>
        <v>41800</v>
      </c>
      <c r="K600" s="309">
        <f t="shared" si="1665"/>
        <v>41800</v>
      </c>
      <c r="L600" s="100">
        <f t="shared" si="1666"/>
        <v>41600</v>
      </c>
      <c r="M600" s="309">
        <f t="shared" si="1667"/>
        <v>41600</v>
      </c>
      <c r="N600" s="100">
        <f t="shared" si="1668"/>
        <v>41500</v>
      </c>
      <c r="O600" s="309">
        <f t="shared" si="1669"/>
        <v>41500</v>
      </c>
      <c r="P600" s="100">
        <f t="shared" si="1670"/>
        <v>41400</v>
      </c>
      <c r="Q600" s="309">
        <f t="shared" si="1671"/>
        <v>41400</v>
      </c>
      <c r="R600" s="100">
        <f t="shared" si="1672"/>
        <v>41300</v>
      </c>
      <c r="S600" s="309">
        <f t="shared" si="1673"/>
        <v>41300</v>
      </c>
      <c r="T600" s="100">
        <f t="shared" si="1674"/>
        <v>41250</v>
      </c>
      <c r="U600" s="309">
        <f t="shared" si="1675"/>
        <v>41250</v>
      </c>
      <c r="V600" s="100">
        <f t="shared" si="1676"/>
        <v>41160</v>
      </c>
      <c r="W600" s="309">
        <f t="shared" si="1677"/>
        <v>41160</v>
      </c>
      <c r="X600" s="137"/>
      <c r="Y600" s="132"/>
      <c r="Z600" s="138"/>
      <c r="AA600" s="139"/>
      <c r="AB600" s="386">
        <v>698</v>
      </c>
    </row>
    <row r="601" spans="1:28" ht="12" customHeight="1" x14ac:dyDescent="0.2">
      <c r="A601" s="4"/>
      <c r="B601" s="792" t="s">
        <v>948</v>
      </c>
      <c r="C601" s="793"/>
      <c r="D601" s="793"/>
      <c r="E601" s="794"/>
      <c r="F601" s="365">
        <f>26.66*X2</f>
        <v>29006.080000000002</v>
      </c>
      <c r="G601" s="279">
        <f>+F601*$X$1</f>
        <v>29006.080000000002</v>
      </c>
      <c r="H601" s="101">
        <f t="shared" si="1662"/>
        <v>34006.080000000002</v>
      </c>
      <c r="I601" s="296">
        <f t="shared" si="1663"/>
        <v>34006.080000000002</v>
      </c>
      <c r="J601" s="101">
        <f t="shared" si="1664"/>
        <v>30006.080000000002</v>
      </c>
      <c r="K601" s="296">
        <f t="shared" si="1665"/>
        <v>30006.080000000002</v>
      </c>
      <c r="L601" s="101">
        <f t="shared" si="1666"/>
        <v>29806.080000000002</v>
      </c>
      <c r="M601" s="296">
        <f t="shared" si="1667"/>
        <v>29806.080000000002</v>
      </c>
      <c r="N601" s="101">
        <f t="shared" si="1668"/>
        <v>29706.080000000002</v>
      </c>
      <c r="O601" s="296">
        <f t="shared" si="1669"/>
        <v>29706.080000000002</v>
      </c>
      <c r="P601" s="101">
        <f t="shared" si="1670"/>
        <v>29606.080000000002</v>
      </c>
      <c r="Q601" s="296">
        <f t="shared" si="1671"/>
        <v>29606.080000000002</v>
      </c>
      <c r="R601" s="101">
        <f t="shared" si="1672"/>
        <v>29506.080000000002</v>
      </c>
      <c r="S601" s="296">
        <f t="shared" si="1673"/>
        <v>29506.080000000002</v>
      </c>
      <c r="T601" s="101">
        <f t="shared" si="1674"/>
        <v>29456.080000000002</v>
      </c>
      <c r="U601" s="296">
        <f t="shared" si="1675"/>
        <v>29456.080000000002</v>
      </c>
      <c r="V601" s="101">
        <f t="shared" si="1676"/>
        <v>29366.080000000002</v>
      </c>
      <c r="W601" s="296">
        <f t="shared" si="1677"/>
        <v>29366.080000000002</v>
      </c>
      <c r="X601" s="137"/>
      <c r="Y601" s="132"/>
      <c r="Z601" s="138"/>
      <c r="AA601" s="139"/>
      <c r="AB601" s="386">
        <v>703</v>
      </c>
    </row>
    <row r="602" spans="1:28" ht="12" customHeight="1" x14ac:dyDescent="0.2">
      <c r="A602" s="4"/>
      <c r="B602" s="792" t="s">
        <v>928</v>
      </c>
      <c r="C602" s="793"/>
      <c r="D602" s="793"/>
      <c r="E602" s="794"/>
      <c r="F602" s="366">
        <f>37.35*X2</f>
        <v>40636.800000000003</v>
      </c>
      <c r="G602" s="280">
        <f>+F602*$X$1</f>
        <v>40636.800000000003</v>
      </c>
      <c r="H602" s="100">
        <f t="shared" si="1662"/>
        <v>45636.800000000003</v>
      </c>
      <c r="I602" s="309">
        <f t="shared" si="1663"/>
        <v>45636.800000000003</v>
      </c>
      <c r="J602" s="100">
        <f t="shared" si="1664"/>
        <v>41636.800000000003</v>
      </c>
      <c r="K602" s="309">
        <f t="shared" si="1665"/>
        <v>41636.800000000003</v>
      </c>
      <c r="L602" s="100">
        <f t="shared" si="1666"/>
        <v>41436.800000000003</v>
      </c>
      <c r="M602" s="309">
        <f t="shared" si="1667"/>
        <v>41436.800000000003</v>
      </c>
      <c r="N602" s="100">
        <f t="shared" si="1668"/>
        <v>41336.800000000003</v>
      </c>
      <c r="O602" s="309">
        <f t="shared" si="1669"/>
        <v>41336.800000000003</v>
      </c>
      <c r="P602" s="100">
        <f t="shared" si="1670"/>
        <v>41236.800000000003</v>
      </c>
      <c r="Q602" s="309">
        <f t="shared" si="1671"/>
        <v>41236.800000000003</v>
      </c>
      <c r="R602" s="100">
        <f t="shared" si="1672"/>
        <v>41136.800000000003</v>
      </c>
      <c r="S602" s="309">
        <f t="shared" si="1673"/>
        <v>41136.800000000003</v>
      </c>
      <c r="T602" s="100">
        <f t="shared" si="1674"/>
        <v>41086.800000000003</v>
      </c>
      <c r="U602" s="309">
        <f t="shared" si="1675"/>
        <v>41086.800000000003</v>
      </c>
      <c r="V602" s="100">
        <f t="shared" si="1676"/>
        <v>40996.800000000003</v>
      </c>
      <c r="W602" s="309">
        <f t="shared" si="1677"/>
        <v>40996.800000000003</v>
      </c>
      <c r="X602" s="137"/>
      <c r="Y602" s="132"/>
      <c r="Z602" s="138"/>
      <c r="AA602" s="139"/>
      <c r="AB602" s="386">
        <v>704</v>
      </c>
    </row>
    <row r="603" spans="1:28" ht="12" customHeight="1" x14ac:dyDescent="0.2">
      <c r="A603" s="4"/>
      <c r="B603" s="792" t="s">
        <v>880</v>
      </c>
      <c r="C603" s="793"/>
      <c r="D603" s="793"/>
      <c r="E603" s="794"/>
      <c r="F603" s="365">
        <f>28.1*X2</f>
        <v>30572.800000000003</v>
      </c>
      <c r="G603" s="279">
        <f>+F603*$X$1</f>
        <v>30572.800000000003</v>
      </c>
      <c r="H603" s="101">
        <f t="shared" si="1662"/>
        <v>35572.800000000003</v>
      </c>
      <c r="I603" s="296">
        <f t="shared" si="1663"/>
        <v>35572.800000000003</v>
      </c>
      <c r="J603" s="101">
        <f t="shared" si="1664"/>
        <v>31572.800000000003</v>
      </c>
      <c r="K603" s="296">
        <f t="shared" si="1665"/>
        <v>31572.800000000003</v>
      </c>
      <c r="L603" s="101">
        <f t="shared" si="1666"/>
        <v>31372.800000000003</v>
      </c>
      <c r="M603" s="296">
        <f t="shared" si="1667"/>
        <v>31372.800000000003</v>
      </c>
      <c r="N603" s="101">
        <f t="shared" si="1668"/>
        <v>31272.800000000003</v>
      </c>
      <c r="O603" s="296">
        <f t="shared" si="1669"/>
        <v>31272.800000000003</v>
      </c>
      <c r="P603" s="101">
        <f t="shared" si="1670"/>
        <v>31172.800000000003</v>
      </c>
      <c r="Q603" s="296">
        <f t="shared" si="1671"/>
        <v>31172.800000000003</v>
      </c>
      <c r="R603" s="101">
        <f t="shared" si="1672"/>
        <v>31072.800000000003</v>
      </c>
      <c r="S603" s="296">
        <f t="shared" si="1673"/>
        <v>31072.800000000003</v>
      </c>
      <c r="T603" s="101">
        <f t="shared" si="1674"/>
        <v>31022.800000000003</v>
      </c>
      <c r="U603" s="296">
        <f t="shared" si="1675"/>
        <v>31022.800000000003</v>
      </c>
      <c r="V603" s="101">
        <f t="shared" si="1676"/>
        <v>30932.800000000003</v>
      </c>
      <c r="W603" s="296">
        <f t="shared" si="1677"/>
        <v>30932.800000000003</v>
      </c>
      <c r="X603" s="137"/>
      <c r="Y603" s="132"/>
      <c r="Z603" s="138"/>
      <c r="AA603" s="139"/>
      <c r="AB603" s="386">
        <v>708</v>
      </c>
    </row>
    <row r="604" spans="1:28" ht="12" customHeight="1" x14ac:dyDescent="0.2">
      <c r="A604" s="4"/>
      <c r="B604" s="789" t="s">
        <v>579</v>
      </c>
      <c r="C604" s="802"/>
      <c r="D604" s="802"/>
      <c r="E604" s="803"/>
      <c r="F604" s="366">
        <f>54*X2</f>
        <v>58752</v>
      </c>
      <c r="G604" s="280">
        <f>+F604*$X$1</f>
        <v>58752</v>
      </c>
      <c r="H604" s="100">
        <f t="shared" si="1662"/>
        <v>63752</v>
      </c>
      <c r="I604" s="309">
        <f t="shared" si="1663"/>
        <v>63752</v>
      </c>
      <c r="J604" s="100">
        <f t="shared" si="1664"/>
        <v>59752</v>
      </c>
      <c r="K604" s="309">
        <f t="shared" si="1665"/>
        <v>59752</v>
      </c>
      <c r="L604" s="100">
        <f t="shared" si="1666"/>
        <v>59552</v>
      </c>
      <c r="M604" s="309">
        <f t="shared" si="1667"/>
        <v>59552</v>
      </c>
      <c r="N604" s="100">
        <f t="shared" si="1668"/>
        <v>59452</v>
      </c>
      <c r="O604" s="309">
        <f t="shared" si="1669"/>
        <v>59452</v>
      </c>
      <c r="P604" s="100">
        <f t="shared" si="1670"/>
        <v>59352</v>
      </c>
      <c r="Q604" s="309">
        <f t="shared" si="1671"/>
        <v>59352</v>
      </c>
      <c r="R604" s="100">
        <f t="shared" si="1672"/>
        <v>59252</v>
      </c>
      <c r="S604" s="309">
        <f t="shared" si="1673"/>
        <v>59252</v>
      </c>
      <c r="T604" s="100">
        <f t="shared" si="1674"/>
        <v>59202</v>
      </c>
      <c r="U604" s="309">
        <f t="shared" si="1675"/>
        <v>59202</v>
      </c>
      <c r="V604" s="100">
        <f t="shared" si="1676"/>
        <v>59112</v>
      </c>
      <c r="W604" s="309">
        <f t="shared" si="1677"/>
        <v>59112</v>
      </c>
      <c r="X604" s="137"/>
      <c r="Y604" s="132"/>
      <c r="Z604" s="138"/>
      <c r="AA604" s="139"/>
      <c r="AB604" s="386">
        <v>710</v>
      </c>
    </row>
    <row r="605" spans="1:28" ht="12" customHeight="1" x14ac:dyDescent="0.2">
      <c r="A605" s="4"/>
      <c r="B605" s="780" t="s">
        <v>553</v>
      </c>
      <c r="C605" s="781"/>
      <c r="D605" s="781"/>
      <c r="E605" s="782"/>
      <c r="F605" s="365">
        <f>62.42*X2</f>
        <v>67912.960000000006</v>
      </c>
      <c r="G605" s="279">
        <f t="shared" ref="G605" si="1685">+F605*$X$1</f>
        <v>67912.960000000006</v>
      </c>
      <c r="H605" s="101">
        <f t="shared" si="1662"/>
        <v>72912.960000000006</v>
      </c>
      <c r="I605" s="296">
        <f t="shared" si="1663"/>
        <v>72912.960000000006</v>
      </c>
      <c r="J605" s="101">
        <f t="shared" si="1664"/>
        <v>68912.960000000006</v>
      </c>
      <c r="K605" s="296">
        <f t="shared" si="1665"/>
        <v>68912.960000000006</v>
      </c>
      <c r="L605" s="101">
        <f t="shared" si="1666"/>
        <v>68712.960000000006</v>
      </c>
      <c r="M605" s="296">
        <f t="shared" si="1667"/>
        <v>68712.960000000006</v>
      </c>
      <c r="N605" s="101">
        <f t="shared" si="1668"/>
        <v>68612.960000000006</v>
      </c>
      <c r="O605" s="296">
        <f t="shared" si="1669"/>
        <v>68612.960000000006</v>
      </c>
      <c r="P605" s="101">
        <f t="shared" si="1670"/>
        <v>68512.960000000006</v>
      </c>
      <c r="Q605" s="296">
        <f t="shared" si="1671"/>
        <v>68512.960000000006</v>
      </c>
      <c r="R605" s="101">
        <f t="shared" si="1672"/>
        <v>68412.960000000006</v>
      </c>
      <c r="S605" s="296">
        <f t="shared" si="1673"/>
        <v>68412.960000000006</v>
      </c>
      <c r="T605" s="101">
        <f t="shared" si="1674"/>
        <v>68362.960000000006</v>
      </c>
      <c r="U605" s="296">
        <f t="shared" si="1675"/>
        <v>68362.960000000006</v>
      </c>
      <c r="V605" s="101">
        <f t="shared" si="1676"/>
        <v>68272.960000000006</v>
      </c>
      <c r="W605" s="296">
        <f t="shared" si="1677"/>
        <v>68272.960000000006</v>
      </c>
      <c r="X605" s="137"/>
      <c r="Y605" s="132"/>
      <c r="Z605" s="138"/>
      <c r="AA605" s="139"/>
      <c r="AB605" s="386">
        <v>711</v>
      </c>
    </row>
    <row r="606" spans="1:28" ht="12" customHeight="1" x14ac:dyDescent="0.2">
      <c r="A606" s="4"/>
      <c r="B606" s="789" t="s">
        <v>582</v>
      </c>
      <c r="C606" s="802"/>
      <c r="D606" s="802"/>
      <c r="E606" s="803"/>
      <c r="F606" s="366">
        <f>59.1*X2</f>
        <v>64300.800000000003</v>
      </c>
      <c r="G606" s="280">
        <f t="shared" ref="G606" si="1686">+F606*$X$1</f>
        <v>64300.800000000003</v>
      </c>
      <c r="H606" s="100">
        <f t="shared" si="1662"/>
        <v>69300.800000000003</v>
      </c>
      <c r="I606" s="309">
        <f t="shared" si="1663"/>
        <v>69300.800000000003</v>
      </c>
      <c r="J606" s="100">
        <f t="shared" si="1664"/>
        <v>65300.800000000003</v>
      </c>
      <c r="K606" s="309">
        <f t="shared" si="1665"/>
        <v>65300.800000000003</v>
      </c>
      <c r="L606" s="100">
        <f t="shared" si="1666"/>
        <v>65100.800000000003</v>
      </c>
      <c r="M606" s="309">
        <f t="shared" si="1667"/>
        <v>65100.800000000003</v>
      </c>
      <c r="N606" s="100">
        <f t="shared" si="1668"/>
        <v>65000.800000000003</v>
      </c>
      <c r="O606" s="309">
        <f t="shared" si="1669"/>
        <v>65000.800000000003</v>
      </c>
      <c r="P606" s="100">
        <f t="shared" si="1670"/>
        <v>64900.800000000003</v>
      </c>
      <c r="Q606" s="309">
        <f t="shared" si="1671"/>
        <v>64900.800000000003</v>
      </c>
      <c r="R606" s="100">
        <f t="shared" si="1672"/>
        <v>64800.800000000003</v>
      </c>
      <c r="S606" s="309">
        <f t="shared" si="1673"/>
        <v>64800.800000000003</v>
      </c>
      <c r="T606" s="100">
        <f t="shared" si="1674"/>
        <v>64750.8</v>
      </c>
      <c r="U606" s="309">
        <f t="shared" si="1675"/>
        <v>64750.8</v>
      </c>
      <c r="V606" s="100">
        <f t="shared" si="1676"/>
        <v>64660.800000000003</v>
      </c>
      <c r="W606" s="309">
        <f t="shared" si="1677"/>
        <v>64660.800000000003</v>
      </c>
      <c r="X606" s="137"/>
      <c r="Y606" s="132"/>
      <c r="Z606" s="138"/>
      <c r="AA606" s="139"/>
      <c r="AB606" s="386">
        <v>714</v>
      </c>
    </row>
    <row r="607" spans="1:28" ht="12" customHeight="1" x14ac:dyDescent="0.2">
      <c r="A607" s="4"/>
      <c r="B607" s="780" t="s">
        <v>716</v>
      </c>
      <c r="C607" s="781"/>
      <c r="D607" s="781"/>
      <c r="E607" s="782"/>
      <c r="F607" s="365">
        <f>14.43*X2</f>
        <v>15699.84</v>
      </c>
      <c r="G607" s="279">
        <f t="shared" ref="G607" si="1687">+F607*$X$1</f>
        <v>15699.84</v>
      </c>
      <c r="H607" s="101">
        <f t="shared" si="1662"/>
        <v>20699.84</v>
      </c>
      <c r="I607" s="296">
        <f t="shared" si="1663"/>
        <v>20699.84</v>
      </c>
      <c r="J607" s="101">
        <f t="shared" si="1664"/>
        <v>16699.84</v>
      </c>
      <c r="K607" s="296">
        <f t="shared" si="1665"/>
        <v>16699.84</v>
      </c>
      <c r="L607" s="101">
        <f t="shared" si="1666"/>
        <v>16499.84</v>
      </c>
      <c r="M607" s="296">
        <f t="shared" si="1667"/>
        <v>16499.84</v>
      </c>
      <c r="N607" s="101">
        <f t="shared" si="1668"/>
        <v>16399.84</v>
      </c>
      <c r="O607" s="296">
        <f t="shared" si="1669"/>
        <v>16399.84</v>
      </c>
      <c r="P607" s="101">
        <f t="shared" si="1670"/>
        <v>16299.84</v>
      </c>
      <c r="Q607" s="296">
        <f t="shared" si="1671"/>
        <v>16299.84</v>
      </c>
      <c r="R607" s="101">
        <f t="shared" si="1672"/>
        <v>16199.84</v>
      </c>
      <c r="S607" s="296">
        <f t="shared" si="1673"/>
        <v>16199.84</v>
      </c>
      <c r="T607" s="101">
        <f t="shared" si="1674"/>
        <v>16149.84</v>
      </c>
      <c r="U607" s="296">
        <f t="shared" si="1675"/>
        <v>16149.84</v>
      </c>
      <c r="V607" s="101">
        <f t="shared" si="1676"/>
        <v>16059.84</v>
      </c>
      <c r="W607" s="296">
        <f t="shared" si="1677"/>
        <v>16059.84</v>
      </c>
      <c r="X607" s="137"/>
      <c r="Y607" s="132"/>
      <c r="Z607" s="138"/>
      <c r="AA607" s="139"/>
      <c r="AB607" s="386">
        <v>716</v>
      </c>
    </row>
    <row r="608" spans="1:28" ht="12" customHeight="1" x14ac:dyDescent="0.2">
      <c r="A608" s="4"/>
      <c r="B608" s="786" t="s">
        <v>718</v>
      </c>
      <c r="C608" s="787"/>
      <c r="D608" s="787"/>
      <c r="E608" s="788"/>
      <c r="F608" s="517">
        <f>54.15*X2</f>
        <v>58915.199999999997</v>
      </c>
      <c r="G608" s="513">
        <f t="shared" ref="G608" si="1688">+F608*$X$1</f>
        <v>58915.199999999997</v>
      </c>
      <c r="H608" s="631">
        <f t="shared" si="1662"/>
        <v>63915.199999999997</v>
      </c>
      <c r="I608" s="512">
        <f t="shared" si="1663"/>
        <v>63915.199999999997</v>
      </c>
      <c r="J608" s="631">
        <f t="shared" si="1664"/>
        <v>59915.199999999997</v>
      </c>
      <c r="K608" s="512">
        <f t="shared" si="1665"/>
        <v>59915.199999999997</v>
      </c>
      <c r="L608" s="631">
        <f t="shared" si="1666"/>
        <v>59715.199999999997</v>
      </c>
      <c r="M608" s="512">
        <f t="shared" si="1667"/>
        <v>59715.199999999997</v>
      </c>
      <c r="N608" s="631">
        <f t="shared" si="1668"/>
        <v>59615.199999999997</v>
      </c>
      <c r="O608" s="512">
        <f t="shared" si="1669"/>
        <v>59615.199999999997</v>
      </c>
      <c r="P608" s="631">
        <f t="shared" si="1670"/>
        <v>59515.199999999997</v>
      </c>
      <c r="Q608" s="512">
        <f t="shared" si="1671"/>
        <v>59515.199999999997</v>
      </c>
      <c r="R608" s="631">
        <f t="shared" si="1672"/>
        <v>59415.199999999997</v>
      </c>
      <c r="S608" s="512">
        <f t="shared" si="1673"/>
        <v>59415.199999999997</v>
      </c>
      <c r="T608" s="631">
        <f t="shared" si="1674"/>
        <v>59365.2</v>
      </c>
      <c r="U608" s="512">
        <f t="shared" si="1675"/>
        <v>59365.2</v>
      </c>
      <c r="V608" s="631">
        <f t="shared" si="1676"/>
        <v>59275.199999999997</v>
      </c>
      <c r="W608" s="512">
        <f t="shared" si="1677"/>
        <v>59275.199999999997</v>
      </c>
      <c r="X608" s="137"/>
      <c r="Y608" s="132"/>
      <c r="Z608" s="138"/>
      <c r="AA608" s="139"/>
      <c r="AB608" s="386">
        <v>717</v>
      </c>
    </row>
    <row r="609" spans="1:34" ht="12" customHeight="1" x14ac:dyDescent="0.2">
      <c r="A609" s="4"/>
      <c r="B609" s="792" t="s">
        <v>717</v>
      </c>
      <c r="C609" s="793"/>
      <c r="D609" s="793"/>
      <c r="E609" s="794"/>
      <c r="F609" s="365">
        <f>97.31*X2</f>
        <v>105873.28</v>
      </c>
      <c r="G609" s="279">
        <f t="shared" ref="G609" si="1689">+F609*$X$1</f>
        <v>105873.28</v>
      </c>
      <c r="H609" s="101">
        <f t="shared" si="1662"/>
        <v>110873.28</v>
      </c>
      <c r="I609" s="296">
        <f t="shared" si="1663"/>
        <v>110873.28</v>
      </c>
      <c r="J609" s="101">
        <f t="shared" si="1664"/>
        <v>106873.28</v>
      </c>
      <c r="K609" s="296">
        <f t="shared" si="1665"/>
        <v>106873.28</v>
      </c>
      <c r="L609" s="101">
        <f t="shared" si="1666"/>
        <v>106673.28</v>
      </c>
      <c r="M609" s="296">
        <f t="shared" si="1667"/>
        <v>106673.28</v>
      </c>
      <c r="N609" s="101">
        <f t="shared" si="1668"/>
        <v>106573.28</v>
      </c>
      <c r="O609" s="296">
        <f t="shared" si="1669"/>
        <v>106573.28</v>
      </c>
      <c r="P609" s="101">
        <f t="shared" si="1670"/>
        <v>106473.28</v>
      </c>
      <c r="Q609" s="296">
        <f t="shared" si="1671"/>
        <v>106473.28</v>
      </c>
      <c r="R609" s="101">
        <f t="shared" si="1672"/>
        <v>106373.28</v>
      </c>
      <c r="S609" s="296">
        <f t="shared" si="1673"/>
        <v>106373.28</v>
      </c>
      <c r="T609" s="101">
        <f t="shared" si="1674"/>
        <v>106323.28</v>
      </c>
      <c r="U609" s="296">
        <f t="shared" si="1675"/>
        <v>106323.28</v>
      </c>
      <c r="V609" s="101">
        <f t="shared" si="1676"/>
        <v>106233.28</v>
      </c>
      <c r="W609" s="296">
        <f t="shared" si="1677"/>
        <v>106233.28</v>
      </c>
      <c r="X609" s="137"/>
      <c r="Y609" s="132"/>
      <c r="Z609" s="138"/>
      <c r="AA609" s="139"/>
      <c r="AB609" s="386">
        <v>718</v>
      </c>
    </row>
    <row r="610" spans="1:34" ht="12" customHeight="1" x14ac:dyDescent="0.2">
      <c r="A610" s="4"/>
      <c r="B610" s="789" t="s">
        <v>832</v>
      </c>
      <c r="C610" s="802"/>
      <c r="D610" s="802"/>
      <c r="E610" s="803"/>
      <c r="F610" s="366">
        <f>32.96*X2</f>
        <v>35860.480000000003</v>
      </c>
      <c r="G610" s="280">
        <f t="shared" ref="G610" si="1690">+F610*$X$1</f>
        <v>35860.480000000003</v>
      </c>
      <c r="H610" s="100">
        <f t="shared" si="1662"/>
        <v>40860.480000000003</v>
      </c>
      <c r="I610" s="309">
        <f t="shared" si="1663"/>
        <v>40860.480000000003</v>
      </c>
      <c r="J610" s="100">
        <f t="shared" si="1664"/>
        <v>36860.480000000003</v>
      </c>
      <c r="K610" s="309">
        <f t="shared" si="1665"/>
        <v>36860.480000000003</v>
      </c>
      <c r="L610" s="100">
        <f t="shared" si="1666"/>
        <v>36660.480000000003</v>
      </c>
      <c r="M610" s="309">
        <f t="shared" si="1667"/>
        <v>36660.480000000003</v>
      </c>
      <c r="N610" s="100">
        <f t="shared" si="1668"/>
        <v>36560.480000000003</v>
      </c>
      <c r="O610" s="309">
        <f t="shared" si="1669"/>
        <v>36560.480000000003</v>
      </c>
      <c r="P610" s="100">
        <f t="shared" si="1670"/>
        <v>36460.480000000003</v>
      </c>
      <c r="Q610" s="309">
        <f t="shared" si="1671"/>
        <v>36460.480000000003</v>
      </c>
      <c r="R610" s="100">
        <f t="shared" si="1672"/>
        <v>36360.480000000003</v>
      </c>
      <c r="S610" s="309">
        <f t="shared" si="1673"/>
        <v>36360.480000000003</v>
      </c>
      <c r="T610" s="100">
        <f t="shared" si="1674"/>
        <v>36310.480000000003</v>
      </c>
      <c r="U610" s="309">
        <f t="shared" si="1675"/>
        <v>36310.480000000003</v>
      </c>
      <c r="V610" s="100">
        <f t="shared" si="1676"/>
        <v>36220.480000000003</v>
      </c>
      <c r="W610" s="309">
        <f t="shared" si="1677"/>
        <v>36220.480000000003</v>
      </c>
      <c r="X610" s="137"/>
      <c r="Y610" s="132"/>
      <c r="Z610" s="138"/>
      <c r="AA610" s="139"/>
      <c r="AB610" s="386">
        <v>719</v>
      </c>
    </row>
    <row r="611" spans="1:34" ht="12" customHeight="1" x14ac:dyDescent="0.2">
      <c r="A611" s="4"/>
      <c r="B611" s="780" t="s">
        <v>715</v>
      </c>
      <c r="C611" s="781"/>
      <c r="D611" s="781"/>
      <c r="E611" s="782"/>
      <c r="F611" s="365">
        <f>14.31*X2</f>
        <v>15569.28</v>
      </c>
      <c r="G611" s="279">
        <f t="shared" ref="G611" si="1691">+F611*$X$1</f>
        <v>15569.28</v>
      </c>
      <c r="H611" s="101">
        <f t="shared" si="1662"/>
        <v>20569.28</v>
      </c>
      <c r="I611" s="296">
        <f t="shared" si="1663"/>
        <v>20569.28</v>
      </c>
      <c r="J611" s="101">
        <f t="shared" si="1664"/>
        <v>16569.28</v>
      </c>
      <c r="K611" s="296">
        <f t="shared" si="1665"/>
        <v>16569.28</v>
      </c>
      <c r="L611" s="101">
        <f t="shared" si="1666"/>
        <v>16369.28</v>
      </c>
      <c r="M611" s="296">
        <f t="shared" si="1667"/>
        <v>16369.28</v>
      </c>
      <c r="N611" s="101">
        <f t="shared" si="1668"/>
        <v>16269.28</v>
      </c>
      <c r="O611" s="296">
        <f t="shared" si="1669"/>
        <v>16269.28</v>
      </c>
      <c r="P611" s="101">
        <f t="shared" si="1670"/>
        <v>16169.28</v>
      </c>
      <c r="Q611" s="296">
        <f t="shared" si="1671"/>
        <v>16169.28</v>
      </c>
      <c r="R611" s="101">
        <f t="shared" si="1672"/>
        <v>16069.28</v>
      </c>
      <c r="S611" s="296">
        <f t="shared" si="1673"/>
        <v>16069.28</v>
      </c>
      <c r="T611" s="101">
        <f t="shared" si="1674"/>
        <v>16019.28</v>
      </c>
      <c r="U611" s="296">
        <f t="shared" si="1675"/>
        <v>16019.28</v>
      </c>
      <c r="V611" s="101">
        <f t="shared" si="1676"/>
        <v>15929.28</v>
      </c>
      <c r="W611" s="296">
        <f t="shared" si="1677"/>
        <v>15929.28</v>
      </c>
      <c r="X611" s="137"/>
      <c r="Y611" s="132"/>
      <c r="Z611" s="138"/>
      <c r="AA611" s="139"/>
      <c r="AB611" s="386">
        <v>720</v>
      </c>
    </row>
    <row r="612" spans="1:34" ht="12" customHeight="1" x14ac:dyDescent="0.2">
      <c r="A612" s="4"/>
      <c r="B612" s="789" t="s">
        <v>714</v>
      </c>
      <c r="C612" s="802"/>
      <c r="D612" s="802"/>
      <c r="E612" s="803"/>
      <c r="F612" s="366">
        <f>40.98*X2</f>
        <v>44586.239999999998</v>
      </c>
      <c r="G612" s="280">
        <f t="shared" ref="G612" si="1692">+F612*$X$1</f>
        <v>44586.239999999998</v>
      </c>
      <c r="H612" s="100">
        <f t="shared" si="1662"/>
        <v>49586.239999999998</v>
      </c>
      <c r="I612" s="309">
        <f t="shared" si="1663"/>
        <v>49586.239999999998</v>
      </c>
      <c r="J612" s="100">
        <f t="shared" si="1664"/>
        <v>45586.239999999998</v>
      </c>
      <c r="K612" s="309">
        <f t="shared" si="1665"/>
        <v>45586.239999999998</v>
      </c>
      <c r="L612" s="100">
        <f t="shared" si="1666"/>
        <v>45386.239999999998</v>
      </c>
      <c r="M612" s="309">
        <f t="shared" si="1667"/>
        <v>45386.239999999998</v>
      </c>
      <c r="N612" s="100">
        <f t="shared" si="1668"/>
        <v>45286.239999999998</v>
      </c>
      <c r="O612" s="309">
        <f t="shared" si="1669"/>
        <v>45286.239999999998</v>
      </c>
      <c r="P612" s="100">
        <f t="shared" si="1670"/>
        <v>45186.239999999998</v>
      </c>
      <c r="Q612" s="309">
        <f t="shared" si="1671"/>
        <v>45186.239999999998</v>
      </c>
      <c r="R612" s="100">
        <f t="shared" si="1672"/>
        <v>45086.239999999998</v>
      </c>
      <c r="S612" s="309">
        <f t="shared" si="1673"/>
        <v>45086.239999999998</v>
      </c>
      <c r="T612" s="100">
        <f t="shared" si="1674"/>
        <v>45036.24</v>
      </c>
      <c r="U612" s="309">
        <f t="shared" si="1675"/>
        <v>45036.24</v>
      </c>
      <c r="V612" s="100">
        <f t="shared" si="1676"/>
        <v>44946.239999999998</v>
      </c>
      <c r="W612" s="309">
        <f t="shared" si="1677"/>
        <v>44946.239999999998</v>
      </c>
      <c r="X612" s="137"/>
      <c r="Y612" s="132"/>
      <c r="Z612" s="138"/>
      <c r="AA612" s="139"/>
      <c r="AB612" s="386">
        <v>721</v>
      </c>
    </row>
    <row r="613" spans="1:34" ht="12.6" customHeight="1" x14ac:dyDescent="0.2">
      <c r="A613" s="4"/>
      <c r="B613" s="780" t="s">
        <v>848</v>
      </c>
      <c r="C613" s="781"/>
      <c r="D613" s="781"/>
      <c r="E613" s="782"/>
      <c r="F613" s="365">
        <f>5.4*X2</f>
        <v>5875.2000000000007</v>
      </c>
      <c r="G613" s="279">
        <f t="shared" ref="G613" si="1693">+F613*$X$1</f>
        <v>5875.2000000000007</v>
      </c>
      <c r="H613" s="101">
        <f t="shared" si="1662"/>
        <v>10875.2</v>
      </c>
      <c r="I613" s="296">
        <f t="shared" si="1663"/>
        <v>10875.2</v>
      </c>
      <c r="J613" s="101">
        <f t="shared" si="1664"/>
        <v>6875.2000000000007</v>
      </c>
      <c r="K613" s="296">
        <f t="shared" si="1665"/>
        <v>6875.2000000000007</v>
      </c>
      <c r="L613" s="101">
        <f t="shared" si="1666"/>
        <v>6675.2000000000007</v>
      </c>
      <c r="M613" s="296">
        <f t="shared" si="1667"/>
        <v>6675.2000000000007</v>
      </c>
      <c r="N613" s="101">
        <f t="shared" si="1668"/>
        <v>6575.2000000000007</v>
      </c>
      <c r="O613" s="296">
        <f t="shared" si="1669"/>
        <v>6575.2000000000007</v>
      </c>
      <c r="P613" s="101">
        <f t="shared" si="1670"/>
        <v>6475.2000000000007</v>
      </c>
      <c r="Q613" s="296">
        <f t="shared" si="1671"/>
        <v>6475.2000000000007</v>
      </c>
      <c r="R613" s="101">
        <f t="shared" si="1672"/>
        <v>6375.2000000000007</v>
      </c>
      <c r="S613" s="296">
        <f t="shared" si="1673"/>
        <v>6375.2000000000007</v>
      </c>
      <c r="T613" s="101">
        <f t="shared" si="1674"/>
        <v>6325.2000000000007</v>
      </c>
      <c r="U613" s="296">
        <f t="shared" si="1675"/>
        <v>6325.2000000000007</v>
      </c>
      <c r="V613" s="101">
        <f t="shared" si="1676"/>
        <v>6235.2000000000007</v>
      </c>
      <c r="W613" s="296">
        <f t="shared" si="1677"/>
        <v>6235.2000000000007</v>
      </c>
      <c r="X613" s="137"/>
      <c r="Y613" s="132"/>
      <c r="Z613" s="138"/>
      <c r="AA613" s="139"/>
      <c r="AB613" s="190">
        <v>741</v>
      </c>
    </row>
    <row r="614" spans="1:34" ht="12" customHeight="1" x14ac:dyDescent="0.2">
      <c r="A614" s="4"/>
      <c r="B614" s="789" t="s">
        <v>609</v>
      </c>
      <c r="C614" s="802"/>
      <c r="D614" s="802"/>
      <c r="E614" s="803"/>
      <c r="F614" s="366">
        <f>19.7*X2</f>
        <v>21433.599999999999</v>
      </c>
      <c r="G614" s="280">
        <f>+F614*$X$1</f>
        <v>21433.599999999999</v>
      </c>
      <c r="H614" s="100">
        <f t="shared" si="1662"/>
        <v>26433.599999999999</v>
      </c>
      <c r="I614" s="309">
        <f t="shared" si="1663"/>
        <v>26433.599999999999</v>
      </c>
      <c r="J614" s="100">
        <f t="shared" si="1664"/>
        <v>22433.599999999999</v>
      </c>
      <c r="K614" s="309">
        <f t="shared" si="1665"/>
        <v>22433.599999999999</v>
      </c>
      <c r="L614" s="100">
        <f t="shared" si="1666"/>
        <v>22233.599999999999</v>
      </c>
      <c r="M614" s="309">
        <f t="shared" si="1667"/>
        <v>22233.599999999999</v>
      </c>
      <c r="N614" s="100">
        <f t="shared" si="1668"/>
        <v>22133.599999999999</v>
      </c>
      <c r="O614" s="309">
        <f t="shared" si="1669"/>
        <v>22133.599999999999</v>
      </c>
      <c r="P614" s="100">
        <f t="shared" si="1670"/>
        <v>22033.599999999999</v>
      </c>
      <c r="Q614" s="309">
        <f t="shared" si="1671"/>
        <v>22033.599999999999</v>
      </c>
      <c r="R614" s="100">
        <f t="shared" si="1672"/>
        <v>21933.599999999999</v>
      </c>
      <c r="S614" s="309">
        <f t="shared" si="1673"/>
        <v>21933.599999999999</v>
      </c>
      <c r="T614" s="100">
        <f t="shared" si="1674"/>
        <v>21883.599999999999</v>
      </c>
      <c r="U614" s="309">
        <f t="shared" si="1675"/>
        <v>21883.599999999999</v>
      </c>
      <c r="V614" s="100">
        <f t="shared" si="1676"/>
        <v>21793.599999999999</v>
      </c>
      <c r="W614" s="309">
        <f t="shared" si="1677"/>
        <v>21793.599999999999</v>
      </c>
      <c r="X614" s="137"/>
      <c r="Y614" s="132"/>
      <c r="Z614" s="138"/>
      <c r="AA614" s="139"/>
      <c r="AB614" s="190">
        <v>742</v>
      </c>
    </row>
    <row r="615" spans="1:34" ht="12" customHeight="1" x14ac:dyDescent="0.2">
      <c r="A615" s="4"/>
      <c r="B615" s="780" t="s">
        <v>610</v>
      </c>
      <c r="C615" s="781"/>
      <c r="D615" s="781"/>
      <c r="E615" s="782"/>
      <c r="F615" s="365">
        <f>20.2*X2</f>
        <v>21977.599999999999</v>
      </c>
      <c r="G615" s="279">
        <f>+F615*$X$1</f>
        <v>21977.599999999999</v>
      </c>
      <c r="H615" s="101">
        <f t="shared" si="1662"/>
        <v>26977.599999999999</v>
      </c>
      <c r="I615" s="296">
        <f t="shared" si="1663"/>
        <v>26977.599999999999</v>
      </c>
      <c r="J615" s="101">
        <f t="shared" si="1664"/>
        <v>22977.599999999999</v>
      </c>
      <c r="K615" s="296">
        <f t="shared" si="1665"/>
        <v>22977.599999999999</v>
      </c>
      <c r="L615" s="101">
        <f t="shared" si="1666"/>
        <v>22777.599999999999</v>
      </c>
      <c r="M615" s="296">
        <f t="shared" si="1667"/>
        <v>22777.599999999999</v>
      </c>
      <c r="N615" s="101">
        <f t="shared" si="1668"/>
        <v>22677.599999999999</v>
      </c>
      <c r="O615" s="296">
        <f t="shared" si="1669"/>
        <v>22677.599999999999</v>
      </c>
      <c r="P615" s="101">
        <f t="shared" si="1670"/>
        <v>22577.599999999999</v>
      </c>
      <c r="Q615" s="296">
        <f t="shared" si="1671"/>
        <v>22577.599999999999</v>
      </c>
      <c r="R615" s="101">
        <f t="shared" si="1672"/>
        <v>22477.599999999999</v>
      </c>
      <c r="S615" s="296">
        <f t="shared" si="1673"/>
        <v>22477.599999999999</v>
      </c>
      <c r="T615" s="101">
        <f t="shared" si="1674"/>
        <v>22427.599999999999</v>
      </c>
      <c r="U615" s="296">
        <f t="shared" si="1675"/>
        <v>22427.599999999999</v>
      </c>
      <c r="V615" s="101">
        <f t="shared" si="1676"/>
        <v>22337.599999999999</v>
      </c>
      <c r="W615" s="296">
        <f t="shared" si="1677"/>
        <v>22337.599999999999</v>
      </c>
      <c r="X615" s="137"/>
      <c r="Y615" s="132"/>
      <c r="Z615" s="138"/>
      <c r="AA615" s="139"/>
      <c r="AB615" s="190">
        <v>743</v>
      </c>
    </row>
    <row r="616" spans="1:34" ht="12" customHeight="1" x14ac:dyDescent="0.2">
      <c r="A616" s="4"/>
      <c r="B616" s="789" t="s">
        <v>689</v>
      </c>
      <c r="C616" s="802"/>
      <c r="D616" s="802"/>
      <c r="E616" s="803"/>
      <c r="F616" s="366">
        <f>17*X2</f>
        <v>18496</v>
      </c>
      <c r="G616" s="280">
        <f t="shared" ref="G616" si="1694">+F616*$X$1</f>
        <v>18496</v>
      </c>
      <c r="H616" s="100">
        <f t="shared" si="1662"/>
        <v>23496</v>
      </c>
      <c r="I616" s="309">
        <f t="shared" si="1663"/>
        <v>23496</v>
      </c>
      <c r="J616" s="100">
        <f t="shared" si="1664"/>
        <v>19496</v>
      </c>
      <c r="K616" s="309">
        <f t="shared" si="1665"/>
        <v>19496</v>
      </c>
      <c r="L616" s="100">
        <f t="shared" si="1666"/>
        <v>19296</v>
      </c>
      <c r="M616" s="309">
        <f t="shared" si="1667"/>
        <v>19296</v>
      </c>
      <c r="N616" s="100">
        <f t="shared" si="1668"/>
        <v>19196</v>
      </c>
      <c r="O616" s="309">
        <f t="shared" si="1669"/>
        <v>19196</v>
      </c>
      <c r="P616" s="100">
        <f t="shared" si="1670"/>
        <v>19096</v>
      </c>
      <c r="Q616" s="309">
        <f t="shared" si="1671"/>
        <v>19096</v>
      </c>
      <c r="R616" s="100">
        <f t="shared" si="1672"/>
        <v>18996</v>
      </c>
      <c r="S616" s="309">
        <f t="shared" si="1673"/>
        <v>18996</v>
      </c>
      <c r="T616" s="100">
        <f t="shared" si="1674"/>
        <v>18946</v>
      </c>
      <c r="U616" s="309">
        <f t="shared" si="1675"/>
        <v>18946</v>
      </c>
      <c r="V616" s="100">
        <f t="shared" si="1676"/>
        <v>18856</v>
      </c>
      <c r="W616" s="309">
        <f t="shared" si="1677"/>
        <v>18856</v>
      </c>
      <c r="X616" s="137"/>
      <c r="Y616" s="132"/>
      <c r="Z616" s="138"/>
      <c r="AA616" s="139"/>
      <c r="AB616" s="190">
        <v>744</v>
      </c>
    </row>
    <row r="617" spans="1:34" ht="12" customHeight="1" x14ac:dyDescent="0.2">
      <c r="A617" s="4"/>
      <c r="B617" s="792" t="s">
        <v>909</v>
      </c>
      <c r="C617" s="793"/>
      <c r="D617" s="793"/>
      <c r="E617" s="794"/>
      <c r="F617" s="365">
        <f>4.9*X2</f>
        <v>5331.2000000000007</v>
      </c>
      <c r="G617" s="279">
        <f t="shared" ref="G617" si="1695">+F617*$X$1</f>
        <v>5331.2000000000007</v>
      </c>
      <c r="H617" s="101">
        <f t="shared" si="1662"/>
        <v>10331.200000000001</v>
      </c>
      <c r="I617" s="296">
        <f t="shared" si="1663"/>
        <v>10331.200000000001</v>
      </c>
      <c r="J617" s="101">
        <f t="shared" si="1664"/>
        <v>6331.2000000000007</v>
      </c>
      <c r="K617" s="296">
        <f t="shared" si="1665"/>
        <v>6331.2000000000007</v>
      </c>
      <c r="L617" s="101">
        <f t="shared" si="1666"/>
        <v>6131.2000000000007</v>
      </c>
      <c r="M617" s="296">
        <f t="shared" si="1667"/>
        <v>6131.2000000000007</v>
      </c>
      <c r="N617" s="101">
        <f t="shared" si="1668"/>
        <v>6031.2000000000007</v>
      </c>
      <c r="O617" s="296">
        <f t="shared" si="1669"/>
        <v>6031.2000000000007</v>
      </c>
      <c r="P617" s="101">
        <f t="shared" si="1670"/>
        <v>5931.2000000000007</v>
      </c>
      <c r="Q617" s="296">
        <f t="shared" si="1671"/>
        <v>5931.2000000000007</v>
      </c>
      <c r="R617" s="101">
        <f t="shared" si="1672"/>
        <v>5831.2000000000007</v>
      </c>
      <c r="S617" s="296">
        <f t="shared" si="1673"/>
        <v>5831.2000000000007</v>
      </c>
      <c r="T617" s="101">
        <f t="shared" si="1674"/>
        <v>5781.2000000000007</v>
      </c>
      <c r="U617" s="296">
        <f t="shared" si="1675"/>
        <v>5781.2000000000007</v>
      </c>
      <c r="V617" s="101">
        <f t="shared" si="1676"/>
        <v>5691.2000000000007</v>
      </c>
      <c r="W617" s="296">
        <f t="shared" si="1677"/>
        <v>5691.2000000000007</v>
      </c>
      <c r="X617" s="137"/>
      <c r="Y617" s="132"/>
      <c r="Z617" s="138"/>
      <c r="AA617" s="139"/>
      <c r="AB617" s="190">
        <v>745</v>
      </c>
    </row>
    <row r="618" spans="1:34" ht="12" customHeight="1" x14ac:dyDescent="0.2">
      <c r="A618" s="4"/>
      <c r="B618" s="792" t="s">
        <v>956</v>
      </c>
      <c r="C618" s="793"/>
      <c r="D618" s="793"/>
      <c r="E618" s="794"/>
      <c r="F618" s="366">
        <f>6.49*X2</f>
        <v>7061.12</v>
      </c>
      <c r="G618" s="280">
        <f t="shared" ref="G618:G619" si="1696">+F618*$X$1</f>
        <v>7061.12</v>
      </c>
      <c r="H618" s="100">
        <f t="shared" si="1662"/>
        <v>12061.119999999999</v>
      </c>
      <c r="I618" s="309">
        <f t="shared" si="1663"/>
        <v>12061.119999999999</v>
      </c>
      <c r="J618" s="100">
        <f t="shared" si="1664"/>
        <v>8061.12</v>
      </c>
      <c r="K618" s="309">
        <f t="shared" si="1665"/>
        <v>8061.12</v>
      </c>
      <c r="L618" s="100">
        <f t="shared" si="1666"/>
        <v>7861.12</v>
      </c>
      <c r="M618" s="309">
        <f t="shared" si="1667"/>
        <v>7861.12</v>
      </c>
      <c r="N618" s="100">
        <f t="shared" si="1668"/>
        <v>7761.12</v>
      </c>
      <c r="O618" s="309">
        <f t="shared" si="1669"/>
        <v>7761.12</v>
      </c>
      <c r="P618" s="100">
        <f t="shared" si="1670"/>
        <v>7661.12</v>
      </c>
      <c r="Q618" s="309">
        <f t="shared" si="1671"/>
        <v>7661.12</v>
      </c>
      <c r="R618" s="100">
        <f t="shared" si="1672"/>
        <v>7561.12</v>
      </c>
      <c r="S618" s="309">
        <f t="shared" si="1673"/>
        <v>7561.12</v>
      </c>
      <c r="T618" s="100">
        <f t="shared" si="1674"/>
        <v>7511.12</v>
      </c>
      <c r="U618" s="309">
        <f t="shared" si="1675"/>
        <v>7511.12</v>
      </c>
      <c r="V618" s="100">
        <f t="shared" si="1676"/>
        <v>7421.12</v>
      </c>
      <c r="W618" s="309">
        <f t="shared" si="1677"/>
        <v>7421.12</v>
      </c>
      <c r="X618" s="137"/>
      <c r="Y618" s="132"/>
      <c r="Z618" s="138"/>
      <c r="AA618" s="139"/>
      <c r="AB618" s="190">
        <v>746</v>
      </c>
    </row>
    <row r="619" spans="1:34" ht="12" customHeight="1" x14ac:dyDescent="0.2">
      <c r="A619" s="4"/>
      <c r="B619" s="792" t="s">
        <v>947</v>
      </c>
      <c r="C619" s="793"/>
      <c r="D619" s="793"/>
      <c r="E619" s="794"/>
      <c r="F619" s="365">
        <f>4.077*X2</f>
        <v>4435.7759999999998</v>
      </c>
      <c r="G619" s="279">
        <f t="shared" si="1696"/>
        <v>4435.7759999999998</v>
      </c>
      <c r="H619" s="101">
        <f t="shared" si="1662"/>
        <v>9435.7759999999998</v>
      </c>
      <c r="I619" s="296">
        <f t="shared" si="1663"/>
        <v>9435.7759999999998</v>
      </c>
      <c r="J619" s="101">
        <f t="shared" si="1664"/>
        <v>5435.7759999999998</v>
      </c>
      <c r="K619" s="296">
        <f t="shared" si="1665"/>
        <v>5435.7759999999998</v>
      </c>
      <c r="L619" s="101">
        <f t="shared" si="1666"/>
        <v>5235.7759999999998</v>
      </c>
      <c r="M619" s="296">
        <f t="shared" si="1667"/>
        <v>5235.7759999999998</v>
      </c>
      <c r="N619" s="101">
        <f t="shared" si="1668"/>
        <v>5135.7759999999998</v>
      </c>
      <c r="O619" s="296">
        <f t="shared" si="1669"/>
        <v>5135.7759999999998</v>
      </c>
      <c r="P619" s="101">
        <f t="shared" si="1670"/>
        <v>5035.7759999999998</v>
      </c>
      <c r="Q619" s="296">
        <f t="shared" si="1671"/>
        <v>5035.7759999999998</v>
      </c>
      <c r="R619" s="101">
        <f t="shared" si="1672"/>
        <v>4935.7759999999998</v>
      </c>
      <c r="S619" s="296">
        <f t="shared" si="1673"/>
        <v>4935.7759999999998</v>
      </c>
      <c r="T619" s="101">
        <f t="shared" si="1674"/>
        <v>4885.7759999999998</v>
      </c>
      <c r="U619" s="296">
        <f t="shared" si="1675"/>
        <v>4885.7759999999998</v>
      </c>
      <c r="V619" s="101">
        <f t="shared" si="1676"/>
        <v>4795.7759999999998</v>
      </c>
      <c r="W619" s="296">
        <f t="shared" si="1677"/>
        <v>4795.7759999999998</v>
      </c>
      <c r="X619" s="137"/>
      <c r="Y619" s="132"/>
      <c r="Z619" s="138"/>
      <c r="AA619" s="139"/>
      <c r="AB619" s="190">
        <v>760</v>
      </c>
    </row>
    <row r="620" spans="1:34" ht="12" customHeight="1" x14ac:dyDescent="0.2">
      <c r="A620" s="4"/>
      <c r="B620" s="863" t="s">
        <v>585</v>
      </c>
      <c r="C620" s="864"/>
      <c r="D620" s="864"/>
      <c r="E620" s="864"/>
      <c r="F620" s="374"/>
      <c r="G620" s="374"/>
      <c r="H620" s="441">
        <v>1700</v>
      </c>
      <c r="I620" s="280">
        <f t="shared" ref="I620:K620" si="1697">+H620*$X$1</f>
        <v>1700</v>
      </c>
      <c r="J620" s="441">
        <v>900</v>
      </c>
      <c r="K620" s="280">
        <f t="shared" si="1697"/>
        <v>900</v>
      </c>
      <c r="L620" s="441">
        <v>700</v>
      </c>
      <c r="M620" s="280">
        <f t="shared" ref="M620" si="1698">+L620*$X$1</f>
        <v>700</v>
      </c>
      <c r="N620" s="441">
        <v>600</v>
      </c>
      <c r="O620" s="280">
        <f t="shared" ref="O620" si="1699">+N620*$X$1</f>
        <v>600</v>
      </c>
      <c r="P620" s="441">
        <v>550</v>
      </c>
      <c r="Q620" s="280">
        <f t="shared" ref="Q620" si="1700">+P620*$X$1</f>
        <v>550</v>
      </c>
      <c r="R620" s="441">
        <v>450</v>
      </c>
      <c r="S620" s="280">
        <f t="shared" ref="S620" si="1701">+R620*$X$1</f>
        <v>450</v>
      </c>
      <c r="T620" s="441">
        <v>390</v>
      </c>
      <c r="U620" s="280">
        <f t="shared" ref="U620" si="1702">+T620*$X$1</f>
        <v>390</v>
      </c>
      <c r="V620" s="441">
        <v>360</v>
      </c>
      <c r="W620" s="280">
        <f t="shared" ref="W620" si="1703">+V620*$X$1</f>
        <v>360</v>
      </c>
      <c r="X620" s="137"/>
      <c r="Y620" s="132"/>
      <c r="Z620" s="138"/>
      <c r="AA620" s="138"/>
      <c r="AB620" s="38"/>
    </row>
    <row r="621" spans="1:34" ht="9.75" customHeight="1" x14ac:dyDescent="0.2">
      <c r="A621" s="74"/>
      <c r="B621" s="106"/>
      <c r="C621" s="447"/>
      <c r="D621" s="447"/>
      <c r="E621" s="447"/>
      <c r="F621" s="324"/>
      <c r="G621" s="324"/>
      <c r="H621" s="115"/>
      <c r="I621" s="324"/>
      <c r="J621" s="115"/>
      <c r="K621" s="324"/>
      <c r="L621" s="115"/>
      <c r="M621" s="324"/>
      <c r="N621" s="115"/>
      <c r="O621" s="324"/>
      <c r="P621" s="115"/>
      <c r="Q621" s="324"/>
      <c r="R621" s="115"/>
      <c r="S621" s="324"/>
      <c r="T621" s="115"/>
      <c r="U621" s="324"/>
      <c r="V621" s="115"/>
      <c r="W621" s="324"/>
      <c r="X621" s="197"/>
      <c r="Y621" s="74"/>
      <c r="Z621" s="198"/>
      <c r="AA621" s="198"/>
      <c r="AB621" s="199"/>
    </row>
    <row r="622" spans="1:34" ht="14.25" customHeight="1" x14ac:dyDescent="0.2">
      <c r="B622" s="762" t="s">
        <v>803</v>
      </c>
      <c r="C622" s="763"/>
      <c r="D622" s="763"/>
      <c r="E622" s="763"/>
      <c r="F622" s="763"/>
      <c r="G622" s="763"/>
      <c r="H622" s="763"/>
      <c r="I622" s="763"/>
      <c r="J622" s="763"/>
      <c r="K622" s="763"/>
      <c r="L622" s="763"/>
      <c r="M622" s="763"/>
      <c r="N622" s="763"/>
      <c r="O622" s="763"/>
      <c r="P622" s="763"/>
      <c r="Q622" s="763"/>
      <c r="R622" s="763"/>
      <c r="S622" s="763"/>
      <c r="T622" s="763"/>
      <c r="U622" s="763"/>
      <c r="V622" s="763"/>
      <c r="W622" s="763"/>
      <c r="AB622" s="4"/>
      <c r="AF622" s="760"/>
      <c r="AG622" s="761"/>
      <c r="AH622" s="761"/>
    </row>
    <row r="623" spans="1:34" ht="12" customHeight="1" x14ac:dyDescent="0.2">
      <c r="B623" s="783" t="s">
        <v>11</v>
      </c>
      <c r="C623" s="783" t="s">
        <v>12</v>
      </c>
      <c r="D623" s="784"/>
      <c r="E623" s="784"/>
      <c r="F623" s="685" t="s">
        <v>283</v>
      </c>
      <c r="G623" s="685" t="s">
        <v>13</v>
      </c>
      <c r="H623" s="692" t="s">
        <v>795</v>
      </c>
      <c r="I623" s="692"/>
      <c r="J623" s="693"/>
      <c r="K623" s="693"/>
      <c r="L623" s="693"/>
      <c r="M623" s="693"/>
      <c r="N623" s="693"/>
      <c r="O623" s="693"/>
      <c r="P623" s="693"/>
      <c r="Q623" s="693"/>
      <c r="R623" s="693"/>
      <c r="S623" s="693"/>
      <c r="T623" s="693"/>
      <c r="U623" s="693"/>
      <c r="V623" s="693"/>
      <c r="W623" s="693"/>
      <c r="X623" s="651" t="s">
        <v>14</v>
      </c>
      <c r="Y623" s="652"/>
      <c r="Z623" s="652"/>
      <c r="AA623" s="652"/>
      <c r="AB623" s="798" t="s">
        <v>15</v>
      </c>
      <c r="AF623" s="760"/>
      <c r="AG623" s="761"/>
      <c r="AH623" s="761"/>
    </row>
    <row r="624" spans="1:34" ht="11.25" customHeight="1" x14ac:dyDescent="0.2">
      <c r="B624" s="784"/>
      <c r="C624" s="784"/>
      <c r="D624" s="784"/>
      <c r="E624" s="784"/>
      <c r="F624" s="686"/>
      <c r="G624" s="686"/>
      <c r="H624" s="453"/>
      <c r="I624" s="452" t="s">
        <v>284</v>
      </c>
      <c r="J624" s="453"/>
      <c r="K624" s="452" t="s">
        <v>285</v>
      </c>
      <c r="L624" s="453"/>
      <c r="M624" s="452" t="s">
        <v>549</v>
      </c>
      <c r="N624" s="453"/>
      <c r="O624" s="452" t="s">
        <v>17</v>
      </c>
      <c r="P624" s="453"/>
      <c r="Q624" s="452" t="s">
        <v>18</v>
      </c>
      <c r="R624" s="453"/>
      <c r="S624" s="452" t="s">
        <v>19</v>
      </c>
      <c r="T624" s="453"/>
      <c r="U624" s="452" t="s">
        <v>286</v>
      </c>
      <c r="V624" s="453"/>
      <c r="W624" s="452" t="s">
        <v>20</v>
      </c>
      <c r="X624" s="654"/>
      <c r="Y624" s="655"/>
      <c r="Z624" s="655"/>
      <c r="AA624" s="655"/>
      <c r="AB624" s="799"/>
    </row>
    <row r="625" spans="1:28" ht="12.6" customHeight="1" x14ac:dyDescent="0.2">
      <c r="A625" s="18"/>
      <c r="B625" s="808" t="s">
        <v>528</v>
      </c>
      <c r="C625" s="809"/>
      <c r="D625" s="809"/>
      <c r="E625" s="810"/>
      <c r="F625" s="296">
        <v>3500</v>
      </c>
      <c r="G625" s="252"/>
      <c r="H625" s="101"/>
      <c r="I625" s="296"/>
      <c r="J625" s="610">
        <f>F625+600</f>
        <v>4100</v>
      </c>
      <c r="K625" s="279">
        <f t="shared" ref="K625" si="1704">+J625*$X$1</f>
        <v>4100</v>
      </c>
      <c r="L625" s="610">
        <f>F625+550</f>
        <v>4050</v>
      </c>
      <c r="M625" s="279">
        <f t="shared" ref="M625" si="1705">+L625*$X$1</f>
        <v>4050</v>
      </c>
      <c r="N625" s="610">
        <f>F625+450</f>
        <v>3950</v>
      </c>
      <c r="O625" s="279">
        <f t="shared" ref="O625" si="1706">+N625*$X$1</f>
        <v>3950</v>
      </c>
      <c r="P625" s="610">
        <f>F625+410</f>
        <v>3910</v>
      </c>
      <c r="Q625" s="279">
        <f t="shared" ref="Q625" si="1707">+P625*$X$1</f>
        <v>3910</v>
      </c>
      <c r="R625" s="610">
        <f>F625+360</f>
        <v>3860</v>
      </c>
      <c r="S625" s="279">
        <f t="shared" ref="S625" si="1708">+R625*$X$1</f>
        <v>3860</v>
      </c>
      <c r="T625" s="610">
        <f>F625+320</f>
        <v>3820</v>
      </c>
      <c r="U625" s="279">
        <f t="shared" ref="U625" si="1709">+T625*$X$1</f>
        <v>3820</v>
      </c>
      <c r="V625" s="610">
        <f>F625+290</f>
        <v>3790</v>
      </c>
      <c r="W625" s="279">
        <f t="shared" ref="W625" si="1710">+V625*$X$1</f>
        <v>3790</v>
      </c>
      <c r="X625" s="140"/>
      <c r="Y625" s="141"/>
      <c r="Z625" s="141"/>
      <c r="AA625" s="141"/>
      <c r="AB625" s="400" t="s">
        <v>770</v>
      </c>
    </row>
    <row r="626" spans="1:28" ht="12.6" customHeight="1" x14ac:dyDescent="0.2">
      <c r="A626" s="18"/>
      <c r="B626" s="661" t="s">
        <v>384</v>
      </c>
      <c r="C626" s="662"/>
      <c r="D626" s="662"/>
      <c r="E626" s="663"/>
      <c r="F626" s="280">
        <v>1400</v>
      </c>
      <c r="G626" s="295"/>
      <c r="H626" s="441"/>
      <c r="I626" s="280"/>
      <c r="J626" s="441"/>
      <c r="K626" s="280"/>
      <c r="L626" s="441">
        <f>F626+550</f>
        <v>1950</v>
      </c>
      <c r="M626" s="280">
        <f t="shared" ref="M626" si="1711">+L626*$X$1</f>
        <v>1950</v>
      </c>
      <c r="N626" s="441">
        <f>F626+450</f>
        <v>1850</v>
      </c>
      <c r="O626" s="280">
        <f t="shared" ref="O626" si="1712">+N626*$X$1</f>
        <v>1850</v>
      </c>
      <c r="P626" s="441">
        <f>F626+410</f>
        <v>1810</v>
      </c>
      <c r="Q626" s="280">
        <f t="shared" ref="Q626" si="1713">+P626*$X$1</f>
        <v>1810</v>
      </c>
      <c r="R626" s="441">
        <f>F626+360</f>
        <v>1760</v>
      </c>
      <c r="S626" s="280">
        <f t="shared" ref="S626" si="1714">+R626*$X$1</f>
        <v>1760</v>
      </c>
      <c r="T626" s="441">
        <f>F626+320</f>
        <v>1720</v>
      </c>
      <c r="U626" s="280">
        <f t="shared" ref="U626" si="1715">+T626*$X$1</f>
        <v>1720</v>
      </c>
      <c r="V626" s="441">
        <f>F626+290</f>
        <v>1690</v>
      </c>
      <c r="W626" s="280">
        <f t="shared" ref="W626" si="1716">+V626*$X$1</f>
        <v>1690</v>
      </c>
      <c r="X626" s="140"/>
      <c r="Y626" s="141"/>
      <c r="Z626" s="141"/>
      <c r="AA626" s="141"/>
      <c r="AB626" s="32"/>
    </row>
    <row r="627" spans="1:28" ht="12.6" customHeight="1" x14ac:dyDescent="0.2">
      <c r="A627" s="18"/>
      <c r="B627" s="664" t="s">
        <v>427</v>
      </c>
      <c r="C627" s="680"/>
      <c r="D627" s="680"/>
      <c r="E627" s="681"/>
      <c r="F627" s="296">
        <v>3710</v>
      </c>
      <c r="G627" s="252"/>
      <c r="H627" s="610">
        <f>F627+1300</f>
        <v>5010</v>
      </c>
      <c r="I627" s="279">
        <f t="shared" ref="I627" si="1717">+H627*$X$1</f>
        <v>5010</v>
      </c>
      <c r="J627" s="610">
        <f>F627+600</f>
        <v>4310</v>
      </c>
      <c r="K627" s="279">
        <f t="shared" ref="K627" si="1718">+J627*$X$1</f>
        <v>4310</v>
      </c>
      <c r="L627" s="610">
        <f>F627+550</f>
        <v>4260</v>
      </c>
      <c r="M627" s="279">
        <f t="shared" ref="M627" si="1719">+L627*$X$1</f>
        <v>4260</v>
      </c>
      <c r="N627" s="610">
        <f>F627+450</f>
        <v>4160</v>
      </c>
      <c r="O627" s="279">
        <f t="shared" ref="O627" si="1720">+N627*$X$1</f>
        <v>4160</v>
      </c>
      <c r="P627" s="610">
        <f>F627+410</f>
        <v>4120</v>
      </c>
      <c r="Q627" s="279">
        <f t="shared" ref="Q627" si="1721">+P627*$X$1</f>
        <v>4120</v>
      </c>
      <c r="R627" s="610">
        <f>F627+360</f>
        <v>4070</v>
      </c>
      <c r="S627" s="279">
        <f t="shared" ref="S627" si="1722">+R627*$X$1</f>
        <v>4070</v>
      </c>
      <c r="T627" s="610">
        <f>F627+320</f>
        <v>4030</v>
      </c>
      <c r="U627" s="279">
        <f t="shared" ref="U627" si="1723">+T627*$X$1</f>
        <v>4030</v>
      </c>
      <c r="V627" s="610">
        <f>F627+290</f>
        <v>4000</v>
      </c>
      <c r="W627" s="279">
        <f t="shared" ref="W627" si="1724">+V627*$X$1</f>
        <v>4000</v>
      </c>
      <c r="X627" s="140"/>
      <c r="Y627" s="141"/>
      <c r="Z627" s="141"/>
      <c r="AA627" s="141"/>
      <c r="AB627" s="386" t="s">
        <v>771</v>
      </c>
    </row>
    <row r="628" spans="1:28" ht="12.6" customHeight="1" x14ac:dyDescent="0.2">
      <c r="A628" s="18"/>
      <c r="B628" s="661" t="s">
        <v>287</v>
      </c>
      <c r="C628" s="694"/>
      <c r="D628" s="694"/>
      <c r="E628" s="695"/>
      <c r="F628" s="309"/>
      <c r="G628" s="295"/>
      <c r="H628" s="441"/>
      <c r="I628" s="280"/>
      <c r="J628" s="441"/>
      <c r="K628" s="280"/>
      <c r="L628" s="441"/>
      <c r="M628" s="280"/>
      <c r="N628" s="441"/>
      <c r="O628" s="280"/>
      <c r="P628" s="441"/>
      <c r="Q628" s="280"/>
      <c r="R628" s="441"/>
      <c r="S628" s="280"/>
      <c r="T628" s="441"/>
      <c r="U628" s="280"/>
      <c r="V628" s="441"/>
      <c r="W628" s="280"/>
      <c r="X628" s="140"/>
      <c r="Y628" s="141"/>
      <c r="Z628" s="141"/>
      <c r="AA628" s="141"/>
      <c r="AB628" s="386" t="s">
        <v>772</v>
      </c>
    </row>
    <row r="629" spans="1:28" ht="12.6" customHeight="1" x14ac:dyDescent="0.2">
      <c r="A629" s="18"/>
      <c r="B629" s="865" t="s">
        <v>288</v>
      </c>
      <c r="C629" s="866"/>
      <c r="D629" s="866"/>
      <c r="E629" s="867"/>
      <c r="F629" s="573">
        <v>3043</v>
      </c>
      <c r="G629" s="252"/>
      <c r="H629" s="610"/>
      <c r="I629" s="279"/>
      <c r="J629" s="610">
        <f t="shared" ref="J629:J635" si="1725">F629+600</f>
        <v>3643</v>
      </c>
      <c r="K629" s="279">
        <f t="shared" ref="K629:K635" si="1726">+J629*$X$1</f>
        <v>3643</v>
      </c>
      <c r="L629" s="610">
        <f t="shared" ref="L629:L635" si="1727">F629+550</f>
        <v>3593</v>
      </c>
      <c r="M629" s="279">
        <f t="shared" ref="M629:M635" si="1728">+L629*$X$1</f>
        <v>3593</v>
      </c>
      <c r="N629" s="610">
        <f t="shared" ref="N629:N635" si="1729">F629+450</f>
        <v>3493</v>
      </c>
      <c r="O629" s="279">
        <f t="shared" ref="O629:O635" si="1730">+N629*$X$1</f>
        <v>3493</v>
      </c>
      <c r="P629" s="610">
        <f t="shared" ref="P629:P635" si="1731">F629+410</f>
        <v>3453</v>
      </c>
      <c r="Q629" s="279">
        <f t="shared" ref="Q629:Q635" si="1732">+P629*$X$1</f>
        <v>3453</v>
      </c>
      <c r="R629" s="610">
        <f t="shared" ref="R629:R635" si="1733">F629+360</f>
        <v>3403</v>
      </c>
      <c r="S629" s="279">
        <f t="shared" ref="S629:S635" si="1734">+R629*$X$1</f>
        <v>3403</v>
      </c>
      <c r="T629" s="610">
        <f t="shared" ref="T629:T635" si="1735">F629+320</f>
        <v>3363</v>
      </c>
      <c r="U629" s="279">
        <f t="shared" ref="U629:U635" si="1736">+T629*$X$1</f>
        <v>3363</v>
      </c>
      <c r="V629" s="610">
        <f t="shared" ref="V629:V635" si="1737">F629+290</f>
        <v>3333</v>
      </c>
      <c r="W629" s="279">
        <f t="shared" ref="W629:W635" si="1738">+V629*$X$1</f>
        <v>3333</v>
      </c>
      <c r="X629" s="140"/>
      <c r="Y629" s="141"/>
      <c r="Z629" s="141"/>
      <c r="AA629" s="141"/>
      <c r="AB629" s="386" t="s">
        <v>864</v>
      </c>
    </row>
    <row r="630" spans="1:28" ht="12.6" customHeight="1" x14ac:dyDescent="0.2">
      <c r="A630" s="18"/>
      <c r="B630" s="667" t="s">
        <v>289</v>
      </c>
      <c r="C630" s="668"/>
      <c r="D630" s="668"/>
      <c r="E630" s="668"/>
      <c r="F630" s="280">
        <v>2778</v>
      </c>
      <c r="G630" s="295"/>
      <c r="H630" s="441"/>
      <c r="I630" s="280"/>
      <c r="J630" s="441">
        <f t="shared" si="1725"/>
        <v>3378</v>
      </c>
      <c r="K630" s="280">
        <f t="shared" si="1726"/>
        <v>3378</v>
      </c>
      <c r="L630" s="441">
        <f t="shared" si="1727"/>
        <v>3328</v>
      </c>
      <c r="M630" s="280">
        <f t="shared" si="1728"/>
        <v>3328</v>
      </c>
      <c r="N630" s="441">
        <f t="shared" si="1729"/>
        <v>3228</v>
      </c>
      <c r="O630" s="280">
        <f t="shared" si="1730"/>
        <v>3228</v>
      </c>
      <c r="P630" s="441">
        <f t="shared" si="1731"/>
        <v>3188</v>
      </c>
      <c r="Q630" s="280">
        <f t="shared" si="1732"/>
        <v>3188</v>
      </c>
      <c r="R630" s="441">
        <f t="shared" si="1733"/>
        <v>3138</v>
      </c>
      <c r="S630" s="280">
        <f t="shared" si="1734"/>
        <v>3138</v>
      </c>
      <c r="T630" s="441">
        <f t="shared" si="1735"/>
        <v>3098</v>
      </c>
      <c r="U630" s="280">
        <f t="shared" si="1736"/>
        <v>3098</v>
      </c>
      <c r="V630" s="441">
        <f t="shared" si="1737"/>
        <v>3068</v>
      </c>
      <c r="W630" s="280">
        <f t="shared" si="1738"/>
        <v>3068</v>
      </c>
      <c r="X630" s="140"/>
      <c r="Y630" s="141"/>
      <c r="Z630" s="141"/>
      <c r="AA630" s="141"/>
      <c r="AB630" s="386" t="s">
        <v>773</v>
      </c>
    </row>
    <row r="631" spans="1:28" ht="12.6" customHeight="1" x14ac:dyDescent="0.2">
      <c r="A631" s="18"/>
      <c r="B631" s="718" t="s">
        <v>755</v>
      </c>
      <c r="C631" s="719"/>
      <c r="D631" s="719"/>
      <c r="E631" s="720"/>
      <c r="F631" s="296">
        <v>7526</v>
      </c>
      <c r="G631" s="252"/>
      <c r="H631" s="610">
        <f>F631+1300</f>
        <v>8826</v>
      </c>
      <c r="I631" s="279">
        <f t="shared" ref="I631:I632" si="1739">+H631*$X$1</f>
        <v>8826</v>
      </c>
      <c r="J631" s="610">
        <f t="shared" si="1725"/>
        <v>8126</v>
      </c>
      <c r="K631" s="279">
        <f t="shared" si="1726"/>
        <v>8126</v>
      </c>
      <c r="L631" s="610">
        <f t="shared" si="1727"/>
        <v>8076</v>
      </c>
      <c r="M631" s="279">
        <f t="shared" si="1728"/>
        <v>8076</v>
      </c>
      <c r="N631" s="610">
        <f t="shared" si="1729"/>
        <v>7976</v>
      </c>
      <c r="O631" s="279">
        <f t="shared" si="1730"/>
        <v>7976</v>
      </c>
      <c r="P631" s="610">
        <f t="shared" si="1731"/>
        <v>7936</v>
      </c>
      <c r="Q631" s="279">
        <f t="shared" si="1732"/>
        <v>7936</v>
      </c>
      <c r="R631" s="610">
        <f t="shared" si="1733"/>
        <v>7886</v>
      </c>
      <c r="S631" s="279">
        <f t="shared" si="1734"/>
        <v>7886</v>
      </c>
      <c r="T631" s="610">
        <f t="shared" si="1735"/>
        <v>7846</v>
      </c>
      <c r="U631" s="279">
        <f t="shared" si="1736"/>
        <v>7846</v>
      </c>
      <c r="V631" s="610">
        <f t="shared" si="1737"/>
        <v>7816</v>
      </c>
      <c r="W631" s="279">
        <f t="shared" si="1738"/>
        <v>7816</v>
      </c>
      <c r="X631" s="140"/>
      <c r="Y631" s="141"/>
      <c r="Z631" s="141"/>
      <c r="AA631" s="141"/>
      <c r="AB631" s="32"/>
    </row>
    <row r="632" spans="1:28" ht="12.6" customHeight="1" x14ac:dyDescent="0.2">
      <c r="A632" s="18"/>
      <c r="B632" s="661" t="s">
        <v>486</v>
      </c>
      <c r="C632" s="694"/>
      <c r="D632" s="694"/>
      <c r="E632" s="695"/>
      <c r="F632" s="309">
        <v>7314</v>
      </c>
      <c r="G632" s="295"/>
      <c r="H632" s="441">
        <f>F632+1300</f>
        <v>8614</v>
      </c>
      <c r="I632" s="280">
        <f t="shared" si="1739"/>
        <v>8614</v>
      </c>
      <c r="J632" s="441">
        <f t="shared" si="1725"/>
        <v>7914</v>
      </c>
      <c r="K632" s="280">
        <f t="shared" si="1726"/>
        <v>7914</v>
      </c>
      <c r="L632" s="441">
        <f t="shared" si="1727"/>
        <v>7864</v>
      </c>
      <c r="M632" s="280">
        <f t="shared" si="1728"/>
        <v>7864</v>
      </c>
      <c r="N632" s="441">
        <f t="shared" si="1729"/>
        <v>7764</v>
      </c>
      <c r="O632" s="280">
        <f t="shared" si="1730"/>
        <v>7764</v>
      </c>
      <c r="P632" s="441">
        <f t="shared" si="1731"/>
        <v>7724</v>
      </c>
      <c r="Q632" s="280">
        <f t="shared" si="1732"/>
        <v>7724</v>
      </c>
      <c r="R632" s="441">
        <f t="shared" si="1733"/>
        <v>7674</v>
      </c>
      <c r="S632" s="280">
        <f t="shared" si="1734"/>
        <v>7674</v>
      </c>
      <c r="T632" s="441">
        <f t="shared" si="1735"/>
        <v>7634</v>
      </c>
      <c r="U632" s="280">
        <f t="shared" si="1736"/>
        <v>7634</v>
      </c>
      <c r="V632" s="441">
        <f t="shared" si="1737"/>
        <v>7604</v>
      </c>
      <c r="W632" s="280">
        <f t="shared" si="1738"/>
        <v>7604</v>
      </c>
      <c r="X632" s="140"/>
      <c r="Y632" s="141"/>
      <c r="Z632" s="141"/>
      <c r="AA632" s="141"/>
      <c r="AB632" s="32"/>
    </row>
    <row r="633" spans="1:28" ht="12.6" customHeight="1" x14ac:dyDescent="0.2">
      <c r="A633" s="4"/>
      <c r="B633" s="780" t="s">
        <v>433</v>
      </c>
      <c r="C633" s="680"/>
      <c r="D633" s="680"/>
      <c r="E633" s="681"/>
      <c r="F633" s="279">
        <v>1900</v>
      </c>
      <c r="G633" s="252"/>
      <c r="H633" s="610"/>
      <c r="I633" s="279"/>
      <c r="J633" s="610">
        <f t="shared" si="1725"/>
        <v>2500</v>
      </c>
      <c r="K633" s="279">
        <f t="shared" si="1726"/>
        <v>2500</v>
      </c>
      <c r="L633" s="610">
        <f t="shared" si="1727"/>
        <v>2450</v>
      </c>
      <c r="M633" s="279">
        <f t="shared" si="1728"/>
        <v>2450</v>
      </c>
      <c r="N633" s="610">
        <f t="shared" si="1729"/>
        <v>2350</v>
      </c>
      <c r="O633" s="279">
        <f t="shared" si="1730"/>
        <v>2350</v>
      </c>
      <c r="P633" s="610">
        <f t="shared" si="1731"/>
        <v>2310</v>
      </c>
      <c r="Q633" s="279">
        <f t="shared" si="1732"/>
        <v>2310</v>
      </c>
      <c r="R633" s="610">
        <f t="shared" si="1733"/>
        <v>2260</v>
      </c>
      <c r="S633" s="279">
        <f t="shared" si="1734"/>
        <v>2260</v>
      </c>
      <c r="T633" s="610">
        <f t="shared" si="1735"/>
        <v>2220</v>
      </c>
      <c r="U633" s="279">
        <f t="shared" si="1736"/>
        <v>2220</v>
      </c>
      <c r="V633" s="610">
        <f t="shared" si="1737"/>
        <v>2190</v>
      </c>
      <c r="W633" s="279">
        <f t="shared" si="1738"/>
        <v>2190</v>
      </c>
      <c r="X633" s="140"/>
      <c r="Y633" s="129"/>
      <c r="Z633" s="142"/>
      <c r="AA633" s="142"/>
      <c r="AB633" s="386" t="s">
        <v>432</v>
      </c>
    </row>
    <row r="634" spans="1:28" ht="12.6" customHeight="1" x14ac:dyDescent="0.2">
      <c r="A634" s="4"/>
      <c r="B634" s="789" t="s">
        <v>431</v>
      </c>
      <c r="C634" s="694"/>
      <c r="D634" s="694"/>
      <c r="E634" s="695"/>
      <c r="F634" s="280">
        <v>1900</v>
      </c>
      <c r="G634" s="295"/>
      <c r="H634" s="441"/>
      <c r="I634" s="280"/>
      <c r="J634" s="441">
        <f t="shared" si="1725"/>
        <v>2500</v>
      </c>
      <c r="K634" s="280">
        <f t="shared" si="1726"/>
        <v>2500</v>
      </c>
      <c r="L634" s="441">
        <f t="shared" si="1727"/>
        <v>2450</v>
      </c>
      <c r="M634" s="280">
        <f t="shared" si="1728"/>
        <v>2450</v>
      </c>
      <c r="N634" s="441">
        <f t="shared" si="1729"/>
        <v>2350</v>
      </c>
      <c r="O634" s="280">
        <f t="shared" si="1730"/>
        <v>2350</v>
      </c>
      <c r="P634" s="441">
        <f t="shared" si="1731"/>
        <v>2310</v>
      </c>
      <c r="Q634" s="280">
        <f t="shared" si="1732"/>
        <v>2310</v>
      </c>
      <c r="R634" s="441">
        <f t="shared" si="1733"/>
        <v>2260</v>
      </c>
      <c r="S634" s="280">
        <f t="shared" si="1734"/>
        <v>2260</v>
      </c>
      <c r="T634" s="441">
        <f t="shared" si="1735"/>
        <v>2220</v>
      </c>
      <c r="U634" s="280">
        <f t="shared" si="1736"/>
        <v>2220</v>
      </c>
      <c r="V634" s="441">
        <f t="shared" si="1737"/>
        <v>2190</v>
      </c>
      <c r="W634" s="280">
        <f t="shared" si="1738"/>
        <v>2190</v>
      </c>
      <c r="X634" s="140"/>
      <c r="Y634" s="129"/>
      <c r="Z634" s="142"/>
      <c r="AA634" s="142"/>
      <c r="AB634" s="386" t="s">
        <v>428</v>
      </c>
    </row>
    <row r="635" spans="1:28" ht="12.6" customHeight="1" x14ac:dyDescent="0.2">
      <c r="A635" s="4"/>
      <c r="B635" s="780" t="s">
        <v>429</v>
      </c>
      <c r="C635" s="680"/>
      <c r="D635" s="680"/>
      <c r="E635" s="681"/>
      <c r="F635" s="279">
        <v>2800</v>
      </c>
      <c r="G635" s="252"/>
      <c r="H635" s="610"/>
      <c r="I635" s="279"/>
      <c r="J635" s="610">
        <f t="shared" si="1725"/>
        <v>3400</v>
      </c>
      <c r="K635" s="279">
        <f t="shared" si="1726"/>
        <v>3400</v>
      </c>
      <c r="L635" s="610">
        <f t="shared" si="1727"/>
        <v>3350</v>
      </c>
      <c r="M635" s="279">
        <f t="shared" si="1728"/>
        <v>3350</v>
      </c>
      <c r="N635" s="610">
        <f t="shared" si="1729"/>
        <v>3250</v>
      </c>
      <c r="O635" s="279">
        <f t="shared" si="1730"/>
        <v>3250</v>
      </c>
      <c r="P635" s="610">
        <f t="shared" si="1731"/>
        <v>3210</v>
      </c>
      <c r="Q635" s="279">
        <f t="shared" si="1732"/>
        <v>3210</v>
      </c>
      <c r="R635" s="610">
        <f t="shared" si="1733"/>
        <v>3160</v>
      </c>
      <c r="S635" s="279">
        <f t="shared" si="1734"/>
        <v>3160</v>
      </c>
      <c r="T635" s="610">
        <f t="shared" si="1735"/>
        <v>3120</v>
      </c>
      <c r="U635" s="279">
        <f t="shared" si="1736"/>
        <v>3120</v>
      </c>
      <c r="V635" s="610">
        <f t="shared" si="1737"/>
        <v>3090</v>
      </c>
      <c r="W635" s="279">
        <f t="shared" si="1738"/>
        <v>3090</v>
      </c>
      <c r="X635" s="140"/>
      <c r="Y635" s="129"/>
      <c r="Z635" s="142"/>
      <c r="AA635" s="142"/>
      <c r="AB635" s="386" t="s">
        <v>430</v>
      </c>
    </row>
    <row r="636" spans="1:28" ht="12.6" customHeight="1" x14ac:dyDescent="0.2">
      <c r="A636" s="4"/>
      <c r="B636" s="779" t="s">
        <v>290</v>
      </c>
      <c r="C636" s="712"/>
      <c r="D636" s="712"/>
      <c r="E636" s="712"/>
      <c r="F636" s="98"/>
      <c r="G636" s="92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137"/>
      <c r="Y636" s="132"/>
      <c r="Z636" s="138"/>
      <c r="AA636" s="139"/>
      <c r="AB636" s="386">
        <v>986</v>
      </c>
    </row>
    <row r="637" spans="1:28" ht="12.6" customHeight="1" x14ac:dyDescent="0.2">
      <c r="A637" s="4"/>
      <c r="B637" s="778" t="s">
        <v>352</v>
      </c>
      <c r="C637" s="721"/>
      <c r="D637" s="721"/>
      <c r="E637" s="721"/>
      <c r="F637" s="375"/>
      <c r="G637" s="94"/>
      <c r="H637" s="600"/>
      <c r="I637" s="600"/>
      <c r="J637" s="600"/>
      <c r="K637" s="600"/>
      <c r="L637" s="600"/>
      <c r="M637" s="600"/>
      <c r="N637" s="600"/>
      <c r="O637" s="600"/>
      <c r="P637" s="600"/>
      <c r="Q637" s="600"/>
      <c r="R637" s="600"/>
      <c r="S637" s="600"/>
      <c r="T637" s="600"/>
      <c r="U637" s="600"/>
      <c r="V637" s="600"/>
      <c r="W637" s="600"/>
      <c r="X637" s="137"/>
      <c r="Y637" s="132"/>
      <c r="Z637" s="138"/>
      <c r="AA637" s="139"/>
      <c r="AB637" s="386">
        <v>987</v>
      </c>
    </row>
    <row r="638" spans="1:28" ht="12.6" customHeight="1" x14ac:dyDescent="0.2">
      <c r="A638" s="4"/>
      <c r="B638" s="779" t="s">
        <v>291</v>
      </c>
      <c r="C638" s="648"/>
      <c r="D638" s="648"/>
      <c r="E638" s="648"/>
      <c r="F638" s="91"/>
      <c r="G638" s="92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137"/>
      <c r="Y638" s="132"/>
      <c r="Z638" s="138"/>
      <c r="AA638" s="139"/>
      <c r="AB638" s="386">
        <v>989</v>
      </c>
    </row>
    <row r="639" spans="1:28" ht="12.6" customHeight="1" x14ac:dyDescent="0.2">
      <c r="A639" s="4"/>
      <c r="B639" s="106"/>
      <c r="C639" s="196"/>
      <c r="D639" s="196"/>
      <c r="E639" s="196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97"/>
      <c r="Y639" s="74"/>
      <c r="Z639" s="198"/>
      <c r="AA639" s="198"/>
      <c r="AB639" s="38"/>
    </row>
    <row r="640" spans="1:28" ht="12.6" customHeight="1" x14ac:dyDescent="0.2">
      <c r="A640" s="4"/>
      <c r="B640" s="106"/>
      <c r="C640" s="196"/>
      <c r="D640" s="196"/>
      <c r="E640" s="196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97"/>
      <c r="Y640" s="74"/>
      <c r="Z640" s="198"/>
      <c r="AA640" s="198"/>
      <c r="AB640" s="38"/>
    </row>
    <row r="641" spans="1:38" ht="12.6" customHeight="1" x14ac:dyDescent="0.2">
      <c r="A641" s="4"/>
      <c r="B641" s="106"/>
      <c r="C641" s="196"/>
      <c r="D641" s="196"/>
      <c r="E641" s="196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97"/>
      <c r="Y641" s="74"/>
      <c r="Z641" s="198"/>
      <c r="AA641" s="198"/>
      <c r="AB641" s="38"/>
    </row>
    <row r="642" spans="1:38" ht="15.75" customHeight="1" x14ac:dyDescent="0.2">
      <c r="B642" s="762" t="s">
        <v>292</v>
      </c>
      <c r="C642" s="763"/>
      <c r="D642" s="763"/>
      <c r="E642" s="763"/>
      <c r="F642" s="763"/>
      <c r="G642" s="763"/>
      <c r="H642" s="763"/>
      <c r="I642" s="763"/>
      <c r="J642" s="763"/>
      <c r="K642" s="763"/>
      <c r="L642" s="763"/>
      <c r="M642" s="763"/>
      <c r="N642" s="763"/>
      <c r="O642" s="763"/>
      <c r="P642" s="763"/>
      <c r="Q642" s="763"/>
      <c r="R642" s="763"/>
      <c r="S642" s="763"/>
      <c r="T642" s="1197"/>
      <c r="U642" s="1197"/>
      <c r="V642" s="1198"/>
      <c r="W642" s="1198"/>
      <c r="AB642" s="4"/>
    </row>
    <row r="643" spans="1:38" ht="14.25" customHeight="1" x14ac:dyDescent="0.2">
      <c r="B643" s="783" t="s">
        <v>11</v>
      </c>
      <c r="C643" s="783" t="s">
        <v>12</v>
      </c>
      <c r="D643" s="784"/>
      <c r="E643" s="784"/>
      <c r="F643" s="685" t="s">
        <v>283</v>
      </c>
      <c r="G643" s="685" t="s">
        <v>13</v>
      </c>
      <c r="H643" s="692" t="s">
        <v>794</v>
      </c>
      <c r="I643" s="692"/>
      <c r="J643" s="693"/>
      <c r="K643" s="693"/>
      <c r="L643" s="693"/>
      <c r="M643" s="693"/>
      <c r="N643" s="693"/>
      <c r="O643" s="693"/>
      <c r="P643" s="693"/>
      <c r="Q643" s="693"/>
      <c r="R643" s="693"/>
      <c r="S643" s="693"/>
      <c r="T643" s="693"/>
      <c r="U643" s="693"/>
      <c r="V643" s="693"/>
      <c r="W643" s="693"/>
      <c r="X643" s="651" t="s">
        <v>14</v>
      </c>
      <c r="Y643" s="827"/>
      <c r="Z643" s="827"/>
      <c r="AA643" s="828"/>
      <c r="AB643" s="798" t="s">
        <v>15</v>
      </c>
      <c r="AF643" s="760" t="s">
        <v>3</v>
      </c>
      <c r="AG643" s="761"/>
      <c r="AH643" s="761"/>
    </row>
    <row r="644" spans="1:38" ht="12" customHeight="1" x14ac:dyDescent="0.2">
      <c r="B644" s="784"/>
      <c r="C644" s="784"/>
      <c r="D644" s="784"/>
      <c r="E644" s="784"/>
      <c r="F644" s="686"/>
      <c r="G644" s="686"/>
      <c r="H644" s="451"/>
      <c r="I644" s="452" t="s">
        <v>547</v>
      </c>
      <c r="J644" s="451"/>
      <c r="K644" s="452" t="s">
        <v>284</v>
      </c>
      <c r="L644" s="452"/>
      <c r="M644" s="452" t="s">
        <v>285</v>
      </c>
      <c r="N644" s="452"/>
      <c r="O644" s="452" t="s">
        <v>549</v>
      </c>
      <c r="P644" s="452"/>
      <c r="Q644" s="452" t="s">
        <v>17</v>
      </c>
      <c r="R644" s="452"/>
      <c r="S644" s="452" t="s">
        <v>18</v>
      </c>
      <c r="T644" s="452"/>
      <c r="U644" s="452" t="s">
        <v>19</v>
      </c>
      <c r="V644" s="452"/>
      <c r="W644" s="452" t="s">
        <v>550</v>
      </c>
      <c r="X644" s="829"/>
      <c r="Y644" s="830"/>
      <c r="Z644" s="830"/>
      <c r="AA644" s="831"/>
      <c r="AB644" s="799"/>
    </row>
    <row r="645" spans="1:38" ht="12.6" customHeight="1" x14ac:dyDescent="0.2">
      <c r="B645" s="795" t="s">
        <v>739</v>
      </c>
      <c r="C645" s="795"/>
      <c r="D645" s="795"/>
      <c r="E645" s="795"/>
      <c r="F645" s="496">
        <f>21.73*X2</f>
        <v>23642.240000000002</v>
      </c>
      <c r="G645" s="296">
        <f>+F645*$X$1</f>
        <v>23642.240000000002</v>
      </c>
      <c r="H645" s="101">
        <f>F645+4000</f>
        <v>27642.240000000002</v>
      </c>
      <c r="I645" s="296">
        <f t="shared" ref="I645" si="1740">+H645*$X$1</f>
        <v>27642.240000000002</v>
      </c>
      <c r="J645" s="70">
        <f>F645+1000</f>
        <v>24642.240000000002</v>
      </c>
      <c r="K645" s="279">
        <f>+J645*$X$1</f>
        <v>24642.240000000002</v>
      </c>
      <c r="L645" s="610">
        <f>F645+650</f>
        <v>24292.240000000002</v>
      </c>
      <c r="M645" s="279">
        <f>+L645*$X$1</f>
        <v>24292.240000000002</v>
      </c>
      <c r="N645" s="610">
        <f>F645+500</f>
        <v>24142.240000000002</v>
      </c>
      <c r="O645" s="279">
        <f>+N645*$X$1</f>
        <v>24142.240000000002</v>
      </c>
      <c r="P645" s="610">
        <f>F645+400</f>
        <v>24042.240000000002</v>
      </c>
      <c r="Q645" s="279">
        <f>+P645*$X$1</f>
        <v>24042.240000000002</v>
      </c>
      <c r="R645" s="610">
        <f>F645+330</f>
        <v>23972.240000000002</v>
      </c>
      <c r="S645" s="279">
        <f>+R645*$X$1</f>
        <v>23972.240000000002</v>
      </c>
      <c r="T645" s="610">
        <f>F645+280</f>
        <v>23922.240000000002</v>
      </c>
      <c r="U645" s="279">
        <f>+T645*$X$1</f>
        <v>23922.240000000002</v>
      </c>
      <c r="V645" s="610">
        <f>F645+230</f>
        <v>23872.240000000002</v>
      </c>
      <c r="W645" s="279">
        <f>+V645*$X$1</f>
        <v>23872.240000000002</v>
      </c>
      <c r="X645" s="438"/>
      <c r="Y645" s="134"/>
      <c r="Z645" s="132"/>
      <c r="AA645" s="135"/>
      <c r="AB645" s="406" t="s">
        <v>740</v>
      </c>
    </row>
    <row r="646" spans="1:38" ht="12.6" customHeight="1" x14ac:dyDescent="0.2">
      <c r="B646" s="779" t="s">
        <v>293</v>
      </c>
      <c r="C646" s="779"/>
      <c r="D646" s="779"/>
      <c r="E646" s="779"/>
      <c r="F646" s="435"/>
      <c r="G646" s="441"/>
      <c r="H646" s="103"/>
      <c r="I646" s="103"/>
      <c r="J646" s="441"/>
      <c r="K646" s="441"/>
      <c r="L646" s="441"/>
      <c r="M646" s="441"/>
      <c r="N646" s="113"/>
      <c r="O646" s="441"/>
      <c r="P646" s="441"/>
      <c r="Q646" s="441"/>
      <c r="R646" s="441"/>
      <c r="S646" s="441"/>
      <c r="T646" s="441"/>
      <c r="U646" s="441"/>
      <c r="V646" s="272"/>
      <c r="W646" s="566"/>
      <c r="X646" s="132"/>
      <c r="Y646" s="132"/>
      <c r="Z646" s="132"/>
      <c r="AA646" s="135"/>
      <c r="AB646" s="405" t="s">
        <v>294</v>
      </c>
    </row>
    <row r="647" spans="1:38" ht="12.6" customHeight="1" x14ac:dyDescent="0.2">
      <c r="B647" s="778" t="s">
        <v>295</v>
      </c>
      <c r="C647" s="778"/>
      <c r="D647" s="778"/>
      <c r="E647" s="778"/>
      <c r="F647" s="114"/>
      <c r="G647" s="552"/>
      <c r="H647" s="99"/>
      <c r="I647" s="99"/>
      <c r="J647" s="610"/>
      <c r="K647" s="610"/>
      <c r="L647" s="610"/>
      <c r="M647" s="610"/>
      <c r="N647" s="112"/>
      <c r="O647" s="610"/>
      <c r="P647" s="610"/>
      <c r="Q647" s="610"/>
      <c r="R647" s="610"/>
      <c r="S647" s="610"/>
      <c r="T647" s="610"/>
      <c r="U647" s="610"/>
      <c r="V647" s="273"/>
      <c r="W647" s="567"/>
      <c r="X647" s="132"/>
      <c r="Y647" s="132"/>
      <c r="Z647" s="132"/>
      <c r="AA647" s="135"/>
      <c r="AB647" s="405" t="s">
        <v>296</v>
      </c>
    </row>
    <row r="648" spans="1:38" ht="12.6" customHeight="1" x14ac:dyDescent="0.2">
      <c r="B648" s="779" t="s">
        <v>704</v>
      </c>
      <c r="C648" s="779"/>
      <c r="D648" s="779"/>
      <c r="E648" s="779"/>
      <c r="F648" s="437">
        <f>20.59*X2</f>
        <v>22401.919999999998</v>
      </c>
      <c r="G648" s="280">
        <f>+F648*$X$1</f>
        <v>22401.919999999998</v>
      </c>
      <c r="H648" s="441">
        <f>F648+4000</f>
        <v>26401.919999999998</v>
      </c>
      <c r="I648" s="280">
        <f t="shared" ref="I648" si="1741">+H648*$X$1</f>
        <v>26401.919999999998</v>
      </c>
      <c r="J648" s="441">
        <f>F648+1000</f>
        <v>23401.919999999998</v>
      </c>
      <c r="K648" s="280">
        <f t="shared" ref="K648" si="1742">+J648*$X$1</f>
        <v>23401.919999999998</v>
      </c>
      <c r="L648" s="441">
        <f>F648+700</f>
        <v>23101.919999999998</v>
      </c>
      <c r="M648" s="280">
        <f t="shared" ref="M648" si="1743">+L648*$X$1</f>
        <v>23101.919999999998</v>
      </c>
      <c r="N648" s="441">
        <f>F648+600</f>
        <v>23001.919999999998</v>
      </c>
      <c r="O648" s="280">
        <f t="shared" ref="O648" si="1744">+N648*$X$1</f>
        <v>23001.919999999998</v>
      </c>
      <c r="P648" s="441">
        <f>F648+500</f>
        <v>22901.919999999998</v>
      </c>
      <c r="Q648" s="280">
        <f t="shared" ref="Q648" si="1745">+P648*$X$1</f>
        <v>22901.919999999998</v>
      </c>
      <c r="R648" s="441">
        <f>F648+430</f>
        <v>22831.919999999998</v>
      </c>
      <c r="S648" s="280">
        <f t="shared" ref="S648" si="1746">+R648*$X$1</f>
        <v>22831.919999999998</v>
      </c>
      <c r="T648" s="441">
        <f>F648+370</f>
        <v>22771.919999999998</v>
      </c>
      <c r="U648" s="280">
        <f t="shared" ref="U648" si="1747">+T648*$X$1</f>
        <v>22771.919999999998</v>
      </c>
      <c r="V648" s="441">
        <f>F648+310</f>
        <v>22711.919999999998</v>
      </c>
      <c r="W648" s="280">
        <f t="shared" ref="W648" si="1748">+V648*$X$1</f>
        <v>22711.919999999998</v>
      </c>
      <c r="X648" s="432"/>
      <c r="Y648" s="134"/>
      <c r="Z648" s="132"/>
      <c r="AA648" s="135"/>
      <c r="AB648" s="405" t="s">
        <v>705</v>
      </c>
    </row>
    <row r="649" spans="1:38" ht="12.6" customHeight="1" x14ac:dyDescent="0.2">
      <c r="B649" s="778" t="s">
        <v>856</v>
      </c>
      <c r="C649" s="778"/>
      <c r="D649" s="778"/>
      <c r="E649" s="778"/>
      <c r="F649" s="436">
        <f>22.35*X2</f>
        <v>24316.800000000003</v>
      </c>
      <c r="G649" s="279">
        <f>+F649*$X$1</f>
        <v>24316.800000000003</v>
      </c>
      <c r="H649" s="101"/>
      <c r="I649" s="296"/>
      <c r="J649" s="101">
        <f>F649+1200</f>
        <v>25516.800000000003</v>
      </c>
      <c r="K649" s="296">
        <f t="shared" ref="K649:K650" si="1749">+J649*$X$1</f>
        <v>25516.800000000003</v>
      </c>
      <c r="L649" s="101">
        <f>F649+900</f>
        <v>25216.800000000003</v>
      </c>
      <c r="M649" s="296">
        <f t="shared" ref="M649:M650" si="1750">+L649*$X$1</f>
        <v>25216.800000000003</v>
      </c>
      <c r="N649" s="101">
        <f>F649+700</f>
        <v>25016.800000000003</v>
      </c>
      <c r="O649" s="296">
        <f t="shared" ref="O649:O650" si="1751">+N649*$X$1</f>
        <v>25016.800000000003</v>
      </c>
      <c r="P649" s="101">
        <f>F649+620</f>
        <v>24936.800000000003</v>
      </c>
      <c r="Q649" s="296">
        <f t="shared" ref="Q649:Q650" si="1752">+P649*$X$1</f>
        <v>24936.800000000003</v>
      </c>
      <c r="R649" s="101">
        <f>F649+550</f>
        <v>24866.800000000003</v>
      </c>
      <c r="S649" s="296">
        <f t="shared" ref="S649:S650" si="1753">+R649*$X$1</f>
        <v>24866.800000000003</v>
      </c>
      <c r="T649" s="101">
        <f>F649+480</f>
        <v>24796.800000000003</v>
      </c>
      <c r="U649" s="296">
        <f t="shared" ref="U649:U650" si="1754">+T649*$X$1</f>
        <v>24796.800000000003</v>
      </c>
      <c r="V649" s="101">
        <f>F649+420</f>
        <v>24736.800000000003</v>
      </c>
      <c r="W649" s="296">
        <f t="shared" ref="W649:W650" si="1755">+V649*$X$1</f>
        <v>24736.800000000003</v>
      </c>
      <c r="X649" s="494"/>
      <c r="Y649" s="134"/>
      <c r="Z649" s="132"/>
      <c r="AA649" s="135"/>
      <c r="AB649" s="405" t="s">
        <v>855</v>
      </c>
    </row>
    <row r="650" spans="1:38" ht="12.6" customHeight="1" x14ac:dyDescent="0.2">
      <c r="B650" s="779" t="s">
        <v>706</v>
      </c>
      <c r="C650" s="779"/>
      <c r="D650" s="779"/>
      <c r="E650" s="779"/>
      <c r="F650" s="437">
        <f>38.5*X2</f>
        <v>41888</v>
      </c>
      <c r="G650" s="280">
        <f>+F650*$X$1</f>
        <v>41888</v>
      </c>
      <c r="H650" s="441">
        <f>F650+4000</f>
        <v>45888</v>
      </c>
      <c r="I650" s="280">
        <f t="shared" ref="I650" si="1756">+H650*$X$1</f>
        <v>45888</v>
      </c>
      <c r="J650" s="441">
        <f>F650+1000</f>
        <v>42888</v>
      </c>
      <c r="K650" s="280">
        <f t="shared" si="1749"/>
        <v>42888</v>
      </c>
      <c r="L650" s="441">
        <f>F650+700</f>
        <v>42588</v>
      </c>
      <c r="M650" s="280">
        <f t="shared" si="1750"/>
        <v>42588</v>
      </c>
      <c r="N650" s="441">
        <f>F650+600</f>
        <v>42488</v>
      </c>
      <c r="O650" s="280">
        <f t="shared" si="1751"/>
        <v>42488</v>
      </c>
      <c r="P650" s="441">
        <f>F650+500</f>
        <v>42388</v>
      </c>
      <c r="Q650" s="280">
        <f t="shared" si="1752"/>
        <v>42388</v>
      </c>
      <c r="R650" s="441">
        <f>F650+430</f>
        <v>42318</v>
      </c>
      <c r="S650" s="280">
        <f t="shared" si="1753"/>
        <v>42318</v>
      </c>
      <c r="T650" s="441">
        <f>F650+370</f>
        <v>42258</v>
      </c>
      <c r="U650" s="280">
        <f t="shared" si="1754"/>
        <v>42258</v>
      </c>
      <c r="V650" s="441">
        <f>F650+310</f>
        <v>42198</v>
      </c>
      <c r="W650" s="280">
        <f t="shared" si="1755"/>
        <v>42198</v>
      </c>
      <c r="X650" s="432"/>
      <c r="Y650" s="134"/>
      <c r="Z650" s="132"/>
      <c r="AA650" s="135"/>
      <c r="AB650" s="405" t="s">
        <v>707</v>
      </c>
    </row>
    <row r="651" spans="1:38" ht="12.6" customHeight="1" x14ac:dyDescent="0.2">
      <c r="B651" s="778" t="s">
        <v>849</v>
      </c>
      <c r="C651" s="778"/>
      <c r="D651" s="778"/>
      <c r="E651" s="778"/>
      <c r="F651" s="436"/>
      <c r="G651" s="279"/>
      <c r="H651" s="101"/>
      <c r="I651" s="296"/>
      <c r="J651" s="101"/>
      <c r="K651" s="296"/>
      <c r="L651" s="101"/>
      <c r="M651" s="296"/>
      <c r="N651" s="101"/>
      <c r="O651" s="296"/>
      <c r="P651" s="101"/>
      <c r="Q651" s="296"/>
      <c r="R651" s="101"/>
      <c r="S651" s="296"/>
      <c r="T651" s="101"/>
      <c r="U651" s="296"/>
      <c r="V651" s="101"/>
      <c r="W651" s="296"/>
      <c r="X651" s="493"/>
      <c r="Y651" s="134"/>
      <c r="Z651" s="132"/>
      <c r="AA651" s="135"/>
      <c r="AB651" s="405" t="s">
        <v>872</v>
      </c>
    </row>
    <row r="652" spans="1:38" ht="12.6" customHeight="1" x14ac:dyDescent="0.2">
      <c r="B652" s="779" t="s">
        <v>297</v>
      </c>
      <c r="C652" s="779"/>
      <c r="D652" s="779"/>
      <c r="E652" s="779"/>
      <c r="F652" s="435"/>
      <c r="G652" s="441"/>
      <c r="H652" s="103"/>
      <c r="I652" s="103"/>
      <c r="J652" s="441"/>
      <c r="K652" s="441"/>
      <c r="L652" s="441"/>
      <c r="M652" s="441"/>
      <c r="N652" s="441"/>
      <c r="O652" s="441"/>
      <c r="P652" s="113"/>
      <c r="Q652" s="441"/>
      <c r="R652" s="113"/>
      <c r="S652" s="441"/>
      <c r="T652" s="113"/>
      <c r="U652" s="441"/>
      <c r="V652" s="272"/>
      <c r="W652" s="568"/>
      <c r="X652" s="160"/>
      <c r="Y652" s="160"/>
      <c r="Z652" s="160"/>
      <c r="AA652" s="161"/>
      <c r="AB652" s="405" t="s">
        <v>298</v>
      </c>
    </row>
    <row r="653" spans="1:38" ht="12.6" customHeight="1" x14ac:dyDescent="0.2">
      <c r="B653" s="778" t="s">
        <v>299</v>
      </c>
      <c r="C653" s="778"/>
      <c r="D653" s="778"/>
      <c r="E653" s="778"/>
      <c r="F653" s="114"/>
      <c r="G653" s="552"/>
      <c r="H653" s="99"/>
      <c r="I653" s="99"/>
      <c r="J653" s="610"/>
      <c r="K653" s="610"/>
      <c r="L653" s="610"/>
      <c r="M653" s="610"/>
      <c r="N653" s="610"/>
      <c r="O653" s="610"/>
      <c r="P653" s="112"/>
      <c r="Q653" s="610"/>
      <c r="R653" s="112"/>
      <c r="S653" s="610"/>
      <c r="T653" s="112"/>
      <c r="U653" s="610"/>
      <c r="V653" s="569"/>
      <c r="W653" s="570"/>
      <c r="X653" s="160"/>
      <c r="Y653" s="160"/>
      <c r="Z653" s="160"/>
      <c r="AA653" s="161"/>
      <c r="AB653" s="405" t="s">
        <v>300</v>
      </c>
    </row>
    <row r="654" spans="1:38" ht="12.6" customHeight="1" x14ac:dyDescent="0.2">
      <c r="B654" s="779" t="s">
        <v>301</v>
      </c>
      <c r="C654" s="779"/>
      <c r="D654" s="779"/>
      <c r="E654" s="779"/>
      <c r="F654" s="435"/>
      <c r="G654" s="441"/>
      <c r="H654" s="103"/>
      <c r="I654" s="103"/>
      <c r="J654" s="441"/>
      <c r="K654" s="441"/>
      <c r="L654" s="441"/>
      <c r="M654" s="441"/>
      <c r="N654" s="441"/>
      <c r="O654" s="441"/>
      <c r="P654" s="113"/>
      <c r="Q654" s="441"/>
      <c r="R654" s="113"/>
      <c r="S654" s="441"/>
      <c r="T654" s="113"/>
      <c r="U654" s="441"/>
      <c r="V654" s="272"/>
      <c r="W654" s="568"/>
      <c r="X654" s="134"/>
      <c r="Y654" s="134"/>
      <c r="Z654" s="134"/>
      <c r="AA654" s="134"/>
      <c r="AB654" s="405" t="s">
        <v>412</v>
      </c>
    </row>
    <row r="655" spans="1:38" ht="12.6" customHeight="1" x14ac:dyDescent="0.2">
      <c r="B655" s="778" t="s">
        <v>712</v>
      </c>
      <c r="C655" s="778"/>
      <c r="D655" s="778"/>
      <c r="E655" s="778"/>
      <c r="F655" s="436">
        <f>36*X2</f>
        <v>39168</v>
      </c>
      <c r="G655" s="279">
        <f t="shared" ref="G655:G657" si="1757">+F655*$X$1</f>
        <v>39168</v>
      </c>
      <c r="H655" s="101">
        <f>F655+5000</f>
        <v>44168</v>
      </c>
      <c r="I655" s="296">
        <f t="shared" ref="I655" si="1758">+H655*$X$1</f>
        <v>44168</v>
      </c>
      <c r="J655" s="101">
        <f>F655+1000</f>
        <v>40168</v>
      </c>
      <c r="K655" s="296">
        <f t="shared" ref="K655" si="1759">+J655*$X$1</f>
        <v>40168</v>
      </c>
      <c r="L655" s="101">
        <f t="shared" ref="L655" si="1760">F655+800</f>
        <v>39968</v>
      </c>
      <c r="M655" s="296">
        <f t="shared" ref="M655" si="1761">+L655*$X$1</f>
        <v>39968</v>
      </c>
      <c r="N655" s="101">
        <f t="shared" ref="N655" si="1762">F655+700</f>
        <v>39868</v>
      </c>
      <c r="O655" s="296">
        <f t="shared" ref="O655" si="1763">+N655*$X$1</f>
        <v>39868</v>
      </c>
      <c r="P655" s="101">
        <f t="shared" ref="P655" si="1764">F655+600</f>
        <v>39768</v>
      </c>
      <c r="Q655" s="296">
        <f t="shared" ref="Q655:Q663" si="1765">+P655*$X$1</f>
        <v>39768</v>
      </c>
      <c r="R655" s="101">
        <f t="shared" ref="R655" si="1766">F655+500</f>
        <v>39668</v>
      </c>
      <c r="S655" s="296">
        <f t="shared" ref="S655:S663" si="1767">+R655*$X$1</f>
        <v>39668</v>
      </c>
      <c r="T655" s="101">
        <f t="shared" ref="T655" si="1768">F655+450</f>
        <v>39618</v>
      </c>
      <c r="U655" s="296">
        <f t="shared" ref="U655:U663" si="1769">+T655*$X$1</f>
        <v>39618</v>
      </c>
      <c r="V655" s="101">
        <f t="shared" ref="V655" si="1770">F655+360</f>
        <v>39528</v>
      </c>
      <c r="W655" s="296">
        <f t="shared" ref="W655:W663" si="1771">+V655*$X$1</f>
        <v>39528</v>
      </c>
      <c r="X655" s="434"/>
      <c r="Y655" s="134"/>
      <c r="Z655" s="132"/>
      <c r="AA655" s="135"/>
      <c r="AB655" s="405" t="s">
        <v>713</v>
      </c>
    </row>
    <row r="656" spans="1:38" s="1" customFormat="1" ht="12.6" customHeight="1" x14ac:dyDescent="0.2">
      <c r="A656" s="19"/>
      <c r="B656" s="647" t="s">
        <v>199</v>
      </c>
      <c r="C656" s="648"/>
      <c r="D656" s="648"/>
      <c r="E656" s="648"/>
      <c r="F656" s="280">
        <v>4780</v>
      </c>
      <c r="G656" s="282">
        <f t="shared" si="1757"/>
        <v>4780</v>
      </c>
      <c r="H656" s="441"/>
      <c r="I656" s="280"/>
      <c r="J656" s="87"/>
      <c r="K656" s="280"/>
      <c r="L656" s="441"/>
      <c r="M656" s="280"/>
      <c r="N656" s="441"/>
      <c r="O656" s="280"/>
      <c r="P656" s="441">
        <f t="shared" ref="P656:P663" si="1772">F656+400</f>
        <v>5180</v>
      </c>
      <c r="Q656" s="280">
        <f t="shared" si="1765"/>
        <v>5180</v>
      </c>
      <c r="R656" s="441">
        <f t="shared" ref="R656:R663" si="1773">F656+330</f>
        <v>5110</v>
      </c>
      <c r="S656" s="280">
        <f t="shared" si="1767"/>
        <v>5110</v>
      </c>
      <c r="T656" s="441">
        <f t="shared" ref="T656:T663" si="1774">F656+280</f>
        <v>5060</v>
      </c>
      <c r="U656" s="280">
        <f t="shared" si="1769"/>
        <v>5060</v>
      </c>
      <c r="V656" s="441">
        <f t="shared" ref="V656:V663" si="1775">F656+220</f>
        <v>5000</v>
      </c>
      <c r="W656" s="280">
        <f t="shared" si="1771"/>
        <v>5000</v>
      </c>
      <c r="X656" s="687"/>
      <c r="Y656" s="826"/>
      <c r="Z656" s="826"/>
      <c r="AA656" s="689"/>
      <c r="AB656" s="190">
        <v>965</v>
      </c>
      <c r="AC656" s="4"/>
      <c r="AD656" s="4"/>
      <c r="AE656" s="4"/>
      <c r="AF656" s="4"/>
      <c r="AG656" s="4"/>
      <c r="AH656" s="4"/>
      <c r="AI656" s="4"/>
      <c r="AJ656" s="4"/>
      <c r="AK656" s="4"/>
      <c r="AL656" s="4"/>
    </row>
    <row r="657" spans="1:38" s="1" customFormat="1" ht="12.6" customHeight="1" x14ac:dyDescent="0.2">
      <c r="A657" s="19"/>
      <c r="B657" s="664" t="s">
        <v>200</v>
      </c>
      <c r="C657" s="680"/>
      <c r="D657" s="680"/>
      <c r="E657" s="681"/>
      <c r="F657" s="279">
        <v>7340</v>
      </c>
      <c r="G657" s="281">
        <f t="shared" si="1757"/>
        <v>7340</v>
      </c>
      <c r="H657" s="610"/>
      <c r="I657" s="279"/>
      <c r="J657" s="70"/>
      <c r="K657" s="279"/>
      <c r="L657" s="610"/>
      <c r="M657" s="279"/>
      <c r="N657" s="610"/>
      <c r="O657" s="279"/>
      <c r="P657" s="610">
        <f t="shared" si="1772"/>
        <v>7740</v>
      </c>
      <c r="Q657" s="279">
        <f t="shared" si="1765"/>
        <v>7740</v>
      </c>
      <c r="R657" s="610">
        <f t="shared" si="1773"/>
        <v>7670</v>
      </c>
      <c r="S657" s="279">
        <f t="shared" si="1767"/>
        <v>7670</v>
      </c>
      <c r="T657" s="610">
        <f t="shared" si="1774"/>
        <v>7620</v>
      </c>
      <c r="U657" s="279">
        <f t="shared" si="1769"/>
        <v>7620</v>
      </c>
      <c r="V657" s="610">
        <f t="shared" si="1775"/>
        <v>7560</v>
      </c>
      <c r="W657" s="279">
        <f t="shared" si="1771"/>
        <v>7560</v>
      </c>
      <c r="X657" s="151"/>
      <c r="Y657" s="152"/>
      <c r="Z657" s="152"/>
      <c r="AA657" s="153"/>
      <c r="AB657" s="398">
        <v>967</v>
      </c>
      <c r="AC657" s="4"/>
      <c r="AD657" s="4"/>
      <c r="AE657" s="4"/>
      <c r="AF657" s="4"/>
      <c r="AG657" s="4"/>
      <c r="AH657" s="4"/>
      <c r="AI657" s="4"/>
      <c r="AJ657" s="4"/>
      <c r="AK657" s="4"/>
      <c r="AL657" s="4"/>
    </row>
    <row r="658" spans="1:38" s="1" customFormat="1" ht="12.6" customHeight="1" x14ac:dyDescent="0.2">
      <c r="A658" s="19"/>
      <c r="B658" s="661" t="s">
        <v>346</v>
      </c>
      <c r="C658" s="694"/>
      <c r="D658" s="694"/>
      <c r="E658" s="695"/>
      <c r="F658" s="280">
        <v>4485</v>
      </c>
      <c r="G658" s="282">
        <f t="shared" ref="G658" si="1776">+F658*$X$1</f>
        <v>4485</v>
      </c>
      <c r="H658" s="441"/>
      <c r="I658" s="280"/>
      <c r="J658" s="87"/>
      <c r="K658" s="280"/>
      <c r="L658" s="441"/>
      <c r="M658" s="280"/>
      <c r="N658" s="441"/>
      <c r="O658" s="280"/>
      <c r="P658" s="441">
        <f t="shared" si="1772"/>
        <v>4885</v>
      </c>
      <c r="Q658" s="280">
        <f t="shared" si="1765"/>
        <v>4885</v>
      </c>
      <c r="R658" s="441">
        <f t="shared" si="1773"/>
        <v>4815</v>
      </c>
      <c r="S658" s="280">
        <f t="shared" si="1767"/>
        <v>4815</v>
      </c>
      <c r="T658" s="441">
        <f t="shared" si="1774"/>
        <v>4765</v>
      </c>
      <c r="U658" s="280">
        <f t="shared" si="1769"/>
        <v>4765</v>
      </c>
      <c r="V658" s="441">
        <f t="shared" si="1775"/>
        <v>4705</v>
      </c>
      <c r="W658" s="280">
        <f t="shared" si="1771"/>
        <v>4705</v>
      </c>
      <c r="X658" s="687"/>
      <c r="Y658" s="826"/>
      <c r="Z658" s="826"/>
      <c r="AA658" s="689"/>
      <c r="AB658" s="398">
        <v>968</v>
      </c>
      <c r="AC658" s="4"/>
      <c r="AD658" s="4"/>
      <c r="AE658" s="4"/>
      <c r="AF658" s="4"/>
      <c r="AG658" s="4"/>
      <c r="AH658" s="4"/>
      <c r="AI658" s="4"/>
      <c r="AJ658" s="4"/>
      <c r="AK658" s="4"/>
      <c r="AL658" s="4"/>
    </row>
    <row r="659" spans="1:38" s="1" customFormat="1" ht="12.6" customHeight="1" x14ac:dyDescent="0.2">
      <c r="A659" s="19"/>
      <c r="B659" s="659" t="s">
        <v>201</v>
      </c>
      <c r="C659" s="660"/>
      <c r="D659" s="660"/>
      <c r="E659" s="660"/>
      <c r="F659" s="279">
        <v>12106</v>
      </c>
      <c r="G659" s="281">
        <f t="shared" ref="G659" si="1777">+F659*$X$1</f>
        <v>12106</v>
      </c>
      <c r="H659" s="610"/>
      <c r="I659" s="279"/>
      <c r="J659" s="70"/>
      <c r="K659" s="279"/>
      <c r="L659" s="610"/>
      <c r="M659" s="279"/>
      <c r="N659" s="610"/>
      <c r="O659" s="279"/>
      <c r="P659" s="610">
        <f t="shared" si="1772"/>
        <v>12506</v>
      </c>
      <c r="Q659" s="279">
        <f t="shared" si="1765"/>
        <v>12506</v>
      </c>
      <c r="R659" s="610">
        <f t="shared" si="1773"/>
        <v>12436</v>
      </c>
      <c r="S659" s="279">
        <f t="shared" si="1767"/>
        <v>12436</v>
      </c>
      <c r="T659" s="610">
        <f t="shared" si="1774"/>
        <v>12386</v>
      </c>
      <c r="U659" s="279">
        <f t="shared" si="1769"/>
        <v>12386</v>
      </c>
      <c r="V659" s="610">
        <f t="shared" si="1775"/>
        <v>12326</v>
      </c>
      <c r="W659" s="279">
        <f t="shared" si="1771"/>
        <v>12326</v>
      </c>
      <c r="X659" s="687"/>
      <c r="Y659" s="826"/>
      <c r="Z659" s="826"/>
      <c r="AA659" s="689"/>
      <c r="AB659" s="398">
        <v>969</v>
      </c>
      <c r="AC659" s="4"/>
      <c r="AD659" s="4"/>
      <c r="AE659" s="4"/>
      <c r="AF659" s="4"/>
      <c r="AG659" s="4"/>
      <c r="AH659" s="4"/>
      <c r="AI659" s="4"/>
      <c r="AJ659" s="4"/>
      <c r="AK659" s="4"/>
      <c r="AL659" s="4"/>
    </row>
    <row r="660" spans="1:38" s="1" customFormat="1" ht="12.6" customHeight="1" x14ac:dyDescent="0.2">
      <c r="A660" s="19"/>
      <c r="B660" s="661" t="s">
        <v>363</v>
      </c>
      <c r="C660" s="694"/>
      <c r="D660" s="694"/>
      <c r="E660" s="695"/>
      <c r="F660" s="280">
        <v>11100</v>
      </c>
      <c r="G660" s="282">
        <f t="shared" ref="G660" si="1778">+F660*$X$1</f>
        <v>11100</v>
      </c>
      <c r="H660" s="441"/>
      <c r="I660" s="280"/>
      <c r="J660" s="87"/>
      <c r="K660" s="280"/>
      <c r="L660" s="441"/>
      <c r="M660" s="280"/>
      <c r="N660" s="441"/>
      <c r="O660" s="280"/>
      <c r="P660" s="441">
        <f t="shared" si="1772"/>
        <v>11500</v>
      </c>
      <c r="Q660" s="280">
        <f t="shared" si="1765"/>
        <v>11500</v>
      </c>
      <c r="R660" s="441">
        <f t="shared" si="1773"/>
        <v>11430</v>
      </c>
      <c r="S660" s="280">
        <f t="shared" si="1767"/>
        <v>11430</v>
      </c>
      <c r="T660" s="441">
        <f t="shared" si="1774"/>
        <v>11380</v>
      </c>
      <c r="U660" s="280">
        <f t="shared" si="1769"/>
        <v>11380</v>
      </c>
      <c r="V660" s="441">
        <f t="shared" si="1775"/>
        <v>11320</v>
      </c>
      <c r="W660" s="280">
        <f t="shared" si="1771"/>
        <v>11320</v>
      </c>
      <c r="X660" s="213"/>
      <c r="Y660" s="215"/>
      <c r="Z660" s="215"/>
      <c r="AA660" s="214"/>
      <c r="AB660" s="398" t="s">
        <v>439</v>
      </c>
      <c r="AC660" s="4"/>
      <c r="AD660" s="4"/>
      <c r="AE660" s="4"/>
      <c r="AF660" s="4"/>
      <c r="AG660" s="4"/>
      <c r="AH660" s="4"/>
      <c r="AI660" s="4"/>
      <c r="AJ660" s="4"/>
      <c r="AK660" s="4"/>
      <c r="AL660" s="4"/>
    </row>
    <row r="661" spans="1:38" s="1" customFormat="1" ht="12.6" customHeight="1" x14ac:dyDescent="0.2">
      <c r="A661" s="19"/>
      <c r="B661" s="659" t="s">
        <v>202</v>
      </c>
      <c r="C661" s="660"/>
      <c r="D661" s="660"/>
      <c r="E661" s="660"/>
      <c r="F661" s="279">
        <v>3090</v>
      </c>
      <c r="G661" s="281">
        <f t="shared" ref="G661" si="1779">+F661*$X$1</f>
        <v>3090</v>
      </c>
      <c r="H661" s="610"/>
      <c r="I661" s="279"/>
      <c r="J661" s="70"/>
      <c r="K661" s="279"/>
      <c r="L661" s="610"/>
      <c r="M661" s="279"/>
      <c r="N661" s="610"/>
      <c r="O661" s="279"/>
      <c r="P661" s="610">
        <f t="shared" si="1772"/>
        <v>3490</v>
      </c>
      <c r="Q661" s="279">
        <f t="shared" si="1765"/>
        <v>3490</v>
      </c>
      <c r="R661" s="610">
        <f t="shared" si="1773"/>
        <v>3420</v>
      </c>
      <c r="S661" s="279">
        <f t="shared" si="1767"/>
        <v>3420</v>
      </c>
      <c r="T661" s="610">
        <f t="shared" si="1774"/>
        <v>3370</v>
      </c>
      <c r="U661" s="279">
        <f t="shared" si="1769"/>
        <v>3370</v>
      </c>
      <c r="V661" s="610">
        <f t="shared" si="1775"/>
        <v>3310</v>
      </c>
      <c r="W661" s="279">
        <f t="shared" si="1771"/>
        <v>3310</v>
      </c>
      <c r="X661" s="687"/>
      <c r="Y661" s="826"/>
      <c r="Z661" s="826"/>
      <c r="AA661" s="689"/>
      <c r="AB661" s="398">
        <v>970</v>
      </c>
      <c r="AC661" s="4"/>
      <c r="AD661" s="4"/>
      <c r="AE661" s="4"/>
      <c r="AF661" s="4"/>
      <c r="AG661" s="4"/>
      <c r="AH661" s="4"/>
      <c r="AI661" s="4"/>
      <c r="AJ661" s="4"/>
      <c r="AK661" s="4"/>
      <c r="AL661" s="4"/>
    </row>
    <row r="662" spans="1:38" s="1" customFormat="1" ht="12.6" customHeight="1" x14ac:dyDescent="0.2">
      <c r="A662" s="19"/>
      <c r="B662" s="647" t="s">
        <v>203</v>
      </c>
      <c r="C662" s="648"/>
      <c r="D662" s="648"/>
      <c r="E662" s="648"/>
      <c r="F662" s="280">
        <v>3193</v>
      </c>
      <c r="G662" s="282">
        <f t="shared" ref="G662" si="1780">+F662*$X$1</f>
        <v>3193</v>
      </c>
      <c r="H662" s="441"/>
      <c r="I662" s="280"/>
      <c r="J662" s="87"/>
      <c r="K662" s="280"/>
      <c r="L662" s="441"/>
      <c r="M662" s="280"/>
      <c r="N662" s="441"/>
      <c r="O662" s="280"/>
      <c r="P662" s="441">
        <f t="shared" si="1772"/>
        <v>3593</v>
      </c>
      <c r="Q662" s="280">
        <f t="shared" si="1765"/>
        <v>3593</v>
      </c>
      <c r="R662" s="441">
        <f t="shared" si="1773"/>
        <v>3523</v>
      </c>
      <c r="S662" s="280">
        <f t="shared" si="1767"/>
        <v>3523</v>
      </c>
      <c r="T662" s="441">
        <f t="shared" si="1774"/>
        <v>3473</v>
      </c>
      <c r="U662" s="280">
        <f t="shared" si="1769"/>
        <v>3473</v>
      </c>
      <c r="V662" s="441">
        <f t="shared" si="1775"/>
        <v>3413</v>
      </c>
      <c r="W662" s="280">
        <f t="shared" si="1771"/>
        <v>3413</v>
      </c>
      <c r="X662" s="687"/>
      <c r="Y662" s="826"/>
      <c r="Z662" s="826"/>
      <c r="AA662" s="689"/>
      <c r="AB662" s="398">
        <v>971</v>
      </c>
      <c r="AC662" s="4"/>
      <c r="AD662" s="4"/>
      <c r="AE662" s="4"/>
      <c r="AF662" s="4"/>
      <c r="AG662" s="4"/>
      <c r="AH662" s="4"/>
      <c r="AI662" s="4"/>
      <c r="AJ662" s="4"/>
      <c r="AK662" s="4"/>
      <c r="AL662" s="4"/>
    </row>
    <row r="663" spans="1:38" s="1" customFormat="1" ht="12.6" customHeight="1" x14ac:dyDescent="0.2">
      <c r="A663" s="19"/>
      <c r="B663" s="664" t="s">
        <v>364</v>
      </c>
      <c r="C663" s="680"/>
      <c r="D663" s="680"/>
      <c r="E663" s="681"/>
      <c r="F663" s="279">
        <v>5394</v>
      </c>
      <c r="G663" s="281">
        <f t="shared" ref="G663" si="1781">+F663*$X$1</f>
        <v>5394</v>
      </c>
      <c r="H663" s="610"/>
      <c r="I663" s="279"/>
      <c r="J663" s="70"/>
      <c r="K663" s="279"/>
      <c r="L663" s="610"/>
      <c r="M663" s="279"/>
      <c r="N663" s="610"/>
      <c r="O663" s="279"/>
      <c r="P663" s="610">
        <f t="shared" si="1772"/>
        <v>5794</v>
      </c>
      <c r="Q663" s="279">
        <f t="shared" si="1765"/>
        <v>5794</v>
      </c>
      <c r="R663" s="610">
        <f t="shared" si="1773"/>
        <v>5724</v>
      </c>
      <c r="S663" s="279">
        <f t="shared" si="1767"/>
        <v>5724</v>
      </c>
      <c r="T663" s="610">
        <f t="shared" si="1774"/>
        <v>5674</v>
      </c>
      <c r="U663" s="279">
        <f t="shared" si="1769"/>
        <v>5674</v>
      </c>
      <c r="V663" s="610">
        <f t="shared" si="1775"/>
        <v>5614</v>
      </c>
      <c r="W663" s="279">
        <f t="shared" si="1771"/>
        <v>5614</v>
      </c>
      <c r="X663" s="151"/>
      <c r="Y663" s="152"/>
      <c r="Z663" s="152"/>
      <c r="AA663" s="153"/>
      <c r="AB663" s="398">
        <v>972</v>
      </c>
      <c r="AC663" s="4"/>
      <c r="AD663" s="4"/>
      <c r="AE663" s="4"/>
      <c r="AF663" s="4"/>
      <c r="AG663" s="4"/>
      <c r="AH663" s="4"/>
      <c r="AI663" s="4"/>
      <c r="AJ663" s="4"/>
      <c r="AK663" s="4"/>
      <c r="AL663" s="4"/>
    </row>
    <row r="664" spans="1:38" s="1" customFormat="1" ht="12.6" customHeight="1" x14ac:dyDescent="0.2">
      <c r="A664" s="19"/>
      <c r="B664" s="647" t="s">
        <v>204</v>
      </c>
      <c r="C664" s="648"/>
      <c r="D664" s="648"/>
      <c r="E664" s="648"/>
      <c r="F664" s="441"/>
      <c r="G664" s="441"/>
      <c r="H664" s="272"/>
      <c r="I664" s="272"/>
      <c r="J664" s="87"/>
      <c r="K664" s="441"/>
      <c r="L664" s="441"/>
      <c r="M664" s="441"/>
      <c r="N664" s="441"/>
      <c r="O664" s="441"/>
      <c r="P664" s="441"/>
      <c r="Q664" s="441"/>
      <c r="R664" s="441"/>
      <c r="S664" s="441"/>
      <c r="T664" s="441"/>
      <c r="U664" s="441"/>
      <c r="V664" s="441"/>
      <c r="W664" s="441"/>
      <c r="X664" s="736"/>
      <c r="Y664" s="737"/>
      <c r="Z664" s="737"/>
      <c r="AA664" s="738"/>
      <c r="AB664" s="190">
        <v>980</v>
      </c>
      <c r="AC664" s="4"/>
      <c r="AD664" s="4"/>
      <c r="AE664" s="4"/>
      <c r="AF664" s="4"/>
      <c r="AG664" s="4"/>
      <c r="AH664" s="4"/>
      <c r="AI664" s="4"/>
      <c r="AJ664" s="4"/>
      <c r="AK664" s="4"/>
      <c r="AL664" s="4"/>
    </row>
    <row r="665" spans="1:38" s="1" customFormat="1" ht="12.6" customHeight="1" x14ac:dyDescent="0.2">
      <c r="A665" s="19"/>
      <c r="B665" s="659" t="s">
        <v>205</v>
      </c>
      <c r="C665" s="721"/>
      <c r="D665" s="721"/>
      <c r="E665" s="721"/>
      <c r="F665" s="101"/>
      <c r="G665" s="580"/>
      <c r="H665" s="273"/>
      <c r="I665" s="273"/>
      <c r="J665" s="70"/>
      <c r="K665" s="580"/>
      <c r="L665" s="580"/>
      <c r="M665" s="580"/>
      <c r="N665" s="580"/>
      <c r="O665" s="580"/>
      <c r="P665" s="580"/>
      <c r="Q665" s="580"/>
      <c r="R665" s="580"/>
      <c r="S665" s="580"/>
      <c r="T665" s="580"/>
      <c r="U665" s="580"/>
      <c r="V665" s="580"/>
      <c r="W665" s="580"/>
      <c r="X665" s="736"/>
      <c r="Y665" s="737"/>
      <c r="Z665" s="737"/>
      <c r="AA665" s="738"/>
      <c r="AB665" s="190">
        <v>981</v>
      </c>
      <c r="AC665" s="4"/>
      <c r="AD665" s="4"/>
      <c r="AE665" s="4"/>
      <c r="AF665" s="4"/>
      <c r="AG665" s="4"/>
      <c r="AH665" s="4"/>
      <c r="AI665" s="4"/>
      <c r="AJ665" s="4"/>
      <c r="AK665" s="4"/>
      <c r="AL665" s="4"/>
    </row>
    <row r="666" spans="1:38" s="1" customFormat="1" ht="12.6" customHeight="1" x14ac:dyDescent="0.2">
      <c r="A666" s="19"/>
      <c r="B666" s="661" t="s">
        <v>455</v>
      </c>
      <c r="C666" s="790"/>
      <c r="D666" s="790"/>
      <c r="E666" s="791"/>
      <c r="F666" s="100"/>
      <c r="G666" s="441"/>
      <c r="H666" s="272"/>
      <c r="I666" s="272"/>
      <c r="J666" s="87"/>
      <c r="K666" s="441"/>
      <c r="L666" s="441"/>
      <c r="M666" s="441"/>
      <c r="N666" s="441"/>
      <c r="O666" s="441"/>
      <c r="P666" s="441"/>
      <c r="Q666" s="441"/>
      <c r="R666" s="441"/>
      <c r="S666" s="441"/>
      <c r="T666" s="441"/>
      <c r="U666" s="441"/>
      <c r="V666" s="441"/>
      <c r="W666" s="441"/>
      <c r="X666" s="736"/>
      <c r="Y666" s="737"/>
      <c r="Z666" s="737"/>
      <c r="AA666" s="738"/>
      <c r="AB666" s="190">
        <v>982</v>
      </c>
      <c r="AC666" s="4"/>
      <c r="AD666" s="4"/>
      <c r="AE666" s="4"/>
      <c r="AF666" s="4"/>
      <c r="AG666" s="4"/>
      <c r="AH666" s="4"/>
      <c r="AI666" s="4"/>
      <c r="AJ666" s="4"/>
      <c r="AK666" s="4"/>
      <c r="AL666" s="4"/>
    </row>
    <row r="667" spans="1:38" s="1" customFormat="1" ht="12.6" customHeight="1" x14ac:dyDescent="0.2">
      <c r="A667" s="19"/>
      <c r="B667" s="664" t="s">
        <v>488</v>
      </c>
      <c r="C667" s="665"/>
      <c r="D667" s="665"/>
      <c r="E667" s="666"/>
      <c r="F667" s="101"/>
      <c r="G667" s="580"/>
      <c r="H667" s="273"/>
      <c r="I667" s="273"/>
      <c r="J667" s="70"/>
      <c r="K667" s="580"/>
      <c r="L667" s="580"/>
      <c r="M667" s="580"/>
      <c r="N667" s="580"/>
      <c r="O667" s="580"/>
      <c r="P667" s="580"/>
      <c r="Q667" s="580"/>
      <c r="R667" s="580"/>
      <c r="S667" s="580"/>
      <c r="T667" s="580"/>
      <c r="U667" s="580"/>
      <c r="V667" s="580"/>
      <c r="W667" s="580"/>
      <c r="X667" s="736"/>
      <c r="Y667" s="737"/>
      <c r="Z667" s="737"/>
      <c r="AA667" s="738"/>
      <c r="AB667" s="190">
        <v>983</v>
      </c>
      <c r="AC667" s="4"/>
      <c r="AD667" s="4"/>
      <c r="AE667" s="4"/>
      <c r="AF667" s="4"/>
      <c r="AG667" s="4"/>
      <c r="AH667" s="4"/>
      <c r="AI667" s="4"/>
      <c r="AJ667" s="4"/>
      <c r="AK667" s="4"/>
      <c r="AL667" s="4"/>
    </row>
    <row r="668" spans="1:38" s="1" customFormat="1" ht="12.6" customHeight="1" x14ac:dyDescent="0.2">
      <c r="A668" s="19"/>
      <c r="B668" s="661" t="s">
        <v>206</v>
      </c>
      <c r="C668" s="790"/>
      <c r="D668" s="790"/>
      <c r="E668" s="791"/>
      <c r="F668" s="441"/>
      <c r="G668" s="441"/>
      <c r="H668" s="272"/>
      <c r="I668" s="272"/>
      <c r="J668" s="87"/>
      <c r="K668" s="441"/>
      <c r="L668" s="441"/>
      <c r="M668" s="441"/>
      <c r="N668" s="441"/>
      <c r="O668" s="441"/>
      <c r="P668" s="441"/>
      <c r="Q668" s="441"/>
      <c r="R668" s="441"/>
      <c r="S668" s="441"/>
      <c r="T668" s="441"/>
      <c r="U668" s="441"/>
      <c r="V668" s="441"/>
      <c r="W668" s="441"/>
      <c r="X668" s="736"/>
      <c r="Y668" s="737"/>
      <c r="Z668" s="737"/>
      <c r="AA668" s="738"/>
      <c r="AB668" s="190">
        <v>984</v>
      </c>
      <c r="AC668" s="4"/>
      <c r="AD668" s="4"/>
      <c r="AE668" s="4"/>
      <c r="AF668" s="4"/>
      <c r="AG668" s="4"/>
      <c r="AH668" s="4"/>
      <c r="AI668" s="4"/>
      <c r="AJ668" s="4"/>
      <c r="AK668" s="4"/>
      <c r="AL668" s="4"/>
    </row>
    <row r="669" spans="1:38" s="1" customFormat="1" ht="12.6" customHeight="1" x14ac:dyDescent="0.2">
      <c r="A669" s="19"/>
      <c r="B669" s="664" t="s">
        <v>207</v>
      </c>
      <c r="C669" s="665"/>
      <c r="D669" s="665"/>
      <c r="E669" s="666"/>
      <c r="F669" s="580"/>
      <c r="G669" s="580"/>
      <c r="H669" s="273"/>
      <c r="I669" s="273"/>
      <c r="J669" s="70"/>
      <c r="K669" s="580"/>
      <c r="L669" s="580"/>
      <c r="M669" s="580"/>
      <c r="N669" s="580"/>
      <c r="O669" s="580"/>
      <c r="P669" s="580"/>
      <c r="Q669" s="580"/>
      <c r="R669" s="580"/>
      <c r="S669" s="580"/>
      <c r="T669" s="580"/>
      <c r="U669" s="580"/>
      <c r="V669" s="580"/>
      <c r="W669" s="580"/>
      <c r="X669" s="736"/>
      <c r="Y669" s="737"/>
      <c r="Z669" s="737"/>
      <c r="AA669" s="738"/>
      <c r="AB669" s="190">
        <v>985</v>
      </c>
      <c r="AC669" s="4"/>
      <c r="AD669" s="4"/>
      <c r="AE669" s="4"/>
      <c r="AF669" s="4"/>
      <c r="AG669" s="4"/>
      <c r="AH669" s="4"/>
      <c r="AI669" s="4"/>
      <c r="AJ669" s="4"/>
      <c r="AK669" s="4"/>
      <c r="AL669" s="4"/>
    </row>
    <row r="670" spans="1:38" s="1" customFormat="1" ht="12.6" customHeight="1" x14ac:dyDescent="0.2">
      <c r="A670" s="19"/>
      <c r="B670" s="676" t="s">
        <v>936</v>
      </c>
      <c r="C670" s="677"/>
      <c r="D670" s="677"/>
      <c r="E670" s="678"/>
      <c r="F670" s="437">
        <f>21.75*X2</f>
        <v>23664</v>
      </c>
      <c r="G670" s="280">
        <f>+F670*$X$1</f>
        <v>23664</v>
      </c>
      <c r="H670" s="441">
        <f>F670+3000</f>
        <v>26664</v>
      </c>
      <c r="I670" s="280">
        <f t="shared" ref="I670" si="1782">+H670*$X$1</f>
        <v>26664</v>
      </c>
      <c r="J670" s="441">
        <f>F670+900</f>
        <v>24564</v>
      </c>
      <c r="K670" s="280">
        <f t="shared" ref="K670" si="1783">+J670*$X$1</f>
        <v>24564</v>
      </c>
      <c r="L670" s="441">
        <f>F670+700</f>
        <v>24364</v>
      </c>
      <c r="M670" s="280">
        <f t="shared" ref="M670" si="1784">+L670*$X$1</f>
        <v>24364</v>
      </c>
      <c r="N670" s="441">
        <f>F670+500</f>
        <v>24164</v>
      </c>
      <c r="O670" s="280">
        <f t="shared" ref="O670" si="1785">+N670*$X$1</f>
        <v>24164</v>
      </c>
      <c r="P670" s="441">
        <f>F670+400</f>
        <v>24064</v>
      </c>
      <c r="Q670" s="280">
        <f t="shared" ref="Q670" si="1786">+P670*$X$1</f>
        <v>24064</v>
      </c>
      <c r="R670" s="441">
        <f>F670+330</f>
        <v>23994</v>
      </c>
      <c r="S670" s="280">
        <f t="shared" ref="S670" si="1787">+R670*$X$1</f>
        <v>23994</v>
      </c>
      <c r="T670" s="441">
        <f>F670+280</f>
        <v>23944</v>
      </c>
      <c r="U670" s="280">
        <f t="shared" ref="U670" si="1788">+T670*$X$1</f>
        <v>23944</v>
      </c>
      <c r="V670" s="441">
        <f>F670+220</f>
        <v>23884</v>
      </c>
      <c r="W670" s="280">
        <f t="shared" ref="W670" si="1789">+V670*$X$1</f>
        <v>23884</v>
      </c>
      <c r="X670" s="687"/>
      <c r="Y670" s="688"/>
      <c r="Z670" s="688"/>
      <c r="AA670" s="689"/>
      <c r="AB670" s="190">
        <v>990</v>
      </c>
      <c r="AC670" s="4"/>
      <c r="AD670" s="4"/>
      <c r="AE670" s="4"/>
      <c r="AF670" s="4"/>
      <c r="AG670" s="4"/>
      <c r="AH670" s="126"/>
      <c r="AI670" s="4"/>
      <c r="AJ670" s="4"/>
      <c r="AK670" s="4"/>
      <c r="AL670" s="4"/>
    </row>
    <row r="671" spans="1:38" ht="12.6" customHeight="1" x14ac:dyDescent="0.2">
      <c r="B671" s="778" t="s">
        <v>709</v>
      </c>
      <c r="C671" s="778"/>
      <c r="D671" s="778"/>
      <c r="E671" s="778"/>
      <c r="F671" s="436">
        <f>23*X2</f>
        <v>25024</v>
      </c>
      <c r="G671" s="279">
        <f>+F671*$X$1</f>
        <v>25024</v>
      </c>
      <c r="H671" s="610">
        <f>F671+4500</f>
        <v>29524</v>
      </c>
      <c r="I671" s="279">
        <f t="shared" ref="I671:I672" si="1790">+H671*$X$1</f>
        <v>29524</v>
      </c>
      <c r="J671" s="610">
        <f>F671+1500</f>
        <v>26524</v>
      </c>
      <c r="K671" s="279">
        <f t="shared" ref="K671:K672" si="1791">+J671*$X$1</f>
        <v>26524</v>
      </c>
      <c r="L671" s="610">
        <f>F671+1200</f>
        <v>26224</v>
      </c>
      <c r="M671" s="279">
        <f t="shared" ref="M671:M672" si="1792">+L671*$X$1</f>
        <v>26224</v>
      </c>
      <c r="N671" s="610">
        <f>F671+900</f>
        <v>25924</v>
      </c>
      <c r="O671" s="279">
        <f t="shared" ref="O671:O672" si="1793">+N671*$X$1</f>
        <v>25924</v>
      </c>
      <c r="P671" s="610">
        <f>F671+750</f>
        <v>25774</v>
      </c>
      <c r="Q671" s="279">
        <f t="shared" ref="Q671:Q672" si="1794">+P671*$X$1</f>
        <v>25774</v>
      </c>
      <c r="R671" s="610">
        <f>F671+650</f>
        <v>25674</v>
      </c>
      <c r="S671" s="279">
        <f t="shared" ref="S671:S672" si="1795">+R671*$X$1</f>
        <v>25674</v>
      </c>
      <c r="T671" s="610">
        <f>F671+500</f>
        <v>25524</v>
      </c>
      <c r="U671" s="279">
        <f t="shared" ref="U671:U672" si="1796">+T671*$X$1</f>
        <v>25524</v>
      </c>
      <c r="V671" s="610">
        <f>F671+400</f>
        <v>25424</v>
      </c>
      <c r="W671" s="279">
        <f t="shared" ref="W671:W672" si="1797">+V671*$X$1</f>
        <v>25424</v>
      </c>
      <c r="X671" s="434"/>
      <c r="Y671" s="134"/>
      <c r="Z671" s="132"/>
      <c r="AA671" s="135"/>
      <c r="AB671" s="405" t="s">
        <v>708</v>
      </c>
    </row>
    <row r="672" spans="1:38" s="1" customFormat="1" ht="12.6" customHeight="1" x14ac:dyDescent="0.2">
      <c r="A672" s="19"/>
      <c r="B672" s="676" t="s">
        <v>911</v>
      </c>
      <c r="C672" s="677"/>
      <c r="D672" s="677"/>
      <c r="E672" s="678"/>
      <c r="F672" s="437">
        <f>18.44*X2</f>
        <v>20062.72</v>
      </c>
      <c r="G672" s="280">
        <f>+F672*$X$1</f>
        <v>20062.72</v>
      </c>
      <c r="H672" s="441">
        <f>F672+3000</f>
        <v>23062.720000000001</v>
      </c>
      <c r="I672" s="280">
        <f t="shared" si="1790"/>
        <v>23062.720000000001</v>
      </c>
      <c r="J672" s="441">
        <f>F672+900</f>
        <v>20962.72</v>
      </c>
      <c r="K672" s="280">
        <f t="shared" si="1791"/>
        <v>20962.72</v>
      </c>
      <c r="L672" s="441">
        <f>F672+700</f>
        <v>20762.72</v>
      </c>
      <c r="M672" s="280">
        <f t="shared" si="1792"/>
        <v>20762.72</v>
      </c>
      <c r="N672" s="441">
        <f>F672+500</f>
        <v>20562.72</v>
      </c>
      <c r="O672" s="280">
        <f t="shared" si="1793"/>
        <v>20562.72</v>
      </c>
      <c r="P672" s="441">
        <f>F672+400</f>
        <v>20462.72</v>
      </c>
      <c r="Q672" s="280">
        <f t="shared" si="1794"/>
        <v>20462.72</v>
      </c>
      <c r="R672" s="441">
        <f>F672+330</f>
        <v>20392.72</v>
      </c>
      <c r="S672" s="280">
        <f t="shared" si="1795"/>
        <v>20392.72</v>
      </c>
      <c r="T672" s="441">
        <f>F672+280</f>
        <v>20342.72</v>
      </c>
      <c r="U672" s="280">
        <f t="shared" si="1796"/>
        <v>20342.72</v>
      </c>
      <c r="V672" s="441">
        <f>F672+220</f>
        <v>20282.72</v>
      </c>
      <c r="W672" s="280">
        <f t="shared" si="1797"/>
        <v>20282.72</v>
      </c>
      <c r="X672" s="687"/>
      <c r="Y672" s="688"/>
      <c r="Z672" s="688"/>
      <c r="AA672" s="689"/>
      <c r="AB672" s="190">
        <v>993</v>
      </c>
      <c r="AC672" s="4"/>
      <c r="AD672" s="4"/>
      <c r="AE672" s="4"/>
      <c r="AF672" s="4"/>
      <c r="AG672" s="4"/>
      <c r="AH672" s="126"/>
      <c r="AI672" s="4"/>
      <c r="AJ672" s="4"/>
      <c r="AK672" s="4"/>
      <c r="AL672" s="4"/>
    </row>
    <row r="673" spans="1:38" ht="12.6" customHeight="1" x14ac:dyDescent="0.2">
      <c r="B673" s="778" t="s">
        <v>857</v>
      </c>
      <c r="C673" s="778"/>
      <c r="D673" s="778"/>
      <c r="E673" s="778"/>
      <c r="F673" s="436">
        <f>23.6*X2</f>
        <v>25676.800000000003</v>
      </c>
      <c r="G673" s="279">
        <f t="shared" ref="G673" si="1798">+F673*$X$1</f>
        <v>25676.800000000003</v>
      </c>
      <c r="H673" s="610">
        <f>F673+4000</f>
        <v>29676.800000000003</v>
      </c>
      <c r="I673" s="279">
        <f t="shared" ref="I673:I674" si="1799">+H673*$X$1</f>
        <v>29676.800000000003</v>
      </c>
      <c r="J673" s="610">
        <f>F673+1200</f>
        <v>26876.800000000003</v>
      </c>
      <c r="K673" s="279">
        <f t="shared" ref="K673:K674" si="1800">+J673*$X$1</f>
        <v>26876.800000000003</v>
      </c>
      <c r="L673" s="610">
        <f>F673+900</f>
        <v>26576.800000000003</v>
      </c>
      <c r="M673" s="279">
        <f t="shared" ref="M673:M675" si="1801">+L673*$X$1</f>
        <v>26576.800000000003</v>
      </c>
      <c r="N673" s="610">
        <f>F673+700</f>
        <v>26376.800000000003</v>
      </c>
      <c r="O673" s="279">
        <f t="shared" ref="O673:O675" si="1802">+N673*$X$1</f>
        <v>26376.800000000003</v>
      </c>
      <c r="P673" s="610">
        <f>F673+580</f>
        <v>26256.800000000003</v>
      </c>
      <c r="Q673" s="279">
        <f t="shared" ref="Q673:Q675" si="1803">+P673*$X$1</f>
        <v>26256.800000000003</v>
      </c>
      <c r="R673" s="610">
        <f>F673+490</f>
        <v>26166.800000000003</v>
      </c>
      <c r="S673" s="279">
        <f t="shared" ref="S673:S679" si="1804">+R673*$X$1</f>
        <v>26166.800000000003</v>
      </c>
      <c r="T673" s="610">
        <f>F673+390</f>
        <v>26066.800000000003</v>
      </c>
      <c r="U673" s="279">
        <f t="shared" ref="U673:U679" si="1805">+T673*$X$1</f>
        <v>26066.800000000003</v>
      </c>
      <c r="V673" s="610">
        <f>F673+300</f>
        <v>25976.800000000003</v>
      </c>
      <c r="W673" s="279">
        <f t="shared" ref="W673:W679" si="1806">+V673*$X$1</f>
        <v>25976.800000000003</v>
      </c>
      <c r="X673" s="494"/>
      <c r="Y673" s="134"/>
      <c r="Z673" s="132"/>
      <c r="AA673" s="135"/>
      <c r="AB673" s="405" t="s">
        <v>858</v>
      </c>
    </row>
    <row r="674" spans="1:38" ht="12.6" customHeight="1" x14ac:dyDescent="0.2">
      <c r="B674" s="779" t="s">
        <v>710</v>
      </c>
      <c r="C674" s="779"/>
      <c r="D674" s="779"/>
      <c r="E674" s="779"/>
      <c r="F674" s="437">
        <f>36.297*X2</f>
        <v>39491.135999999999</v>
      </c>
      <c r="G674" s="280">
        <f t="shared" ref="G674:G688" si="1807">+F674*$X$1</f>
        <v>39491.135999999999</v>
      </c>
      <c r="H674" s="441">
        <f>F674+4500</f>
        <v>43991.135999999999</v>
      </c>
      <c r="I674" s="280">
        <f t="shared" si="1799"/>
        <v>43991.135999999999</v>
      </c>
      <c r="J674" s="441">
        <f>F674+1500</f>
        <v>40991.135999999999</v>
      </c>
      <c r="K674" s="280">
        <f t="shared" si="1800"/>
        <v>40991.135999999999</v>
      </c>
      <c r="L674" s="441">
        <f>F674+1200</f>
        <v>40691.135999999999</v>
      </c>
      <c r="M674" s="280">
        <f t="shared" si="1801"/>
        <v>40691.135999999999</v>
      </c>
      <c r="N674" s="441">
        <f>F674+900</f>
        <v>40391.135999999999</v>
      </c>
      <c r="O674" s="280">
        <f t="shared" si="1802"/>
        <v>40391.135999999999</v>
      </c>
      <c r="P674" s="441">
        <f>F674+750</f>
        <v>40241.135999999999</v>
      </c>
      <c r="Q674" s="280">
        <f t="shared" si="1803"/>
        <v>40241.135999999999</v>
      </c>
      <c r="R674" s="441">
        <f>F674+650</f>
        <v>40141.135999999999</v>
      </c>
      <c r="S674" s="280">
        <f t="shared" si="1804"/>
        <v>40141.135999999999</v>
      </c>
      <c r="T674" s="441">
        <f>F674+500</f>
        <v>39991.135999999999</v>
      </c>
      <c r="U674" s="280">
        <f t="shared" si="1805"/>
        <v>39991.135999999999</v>
      </c>
      <c r="V674" s="441">
        <f>F674+400</f>
        <v>39891.135999999999</v>
      </c>
      <c r="W674" s="280">
        <f t="shared" si="1806"/>
        <v>39891.135999999999</v>
      </c>
      <c r="X674" s="434"/>
      <c r="Y674" s="134"/>
      <c r="Z674" s="132"/>
      <c r="AA674" s="135"/>
      <c r="AB674" s="405" t="s">
        <v>711</v>
      </c>
    </row>
    <row r="675" spans="1:38" s="1" customFormat="1" ht="12.6" customHeight="1" x14ac:dyDescent="0.2">
      <c r="A675" s="19"/>
      <c r="B675" s="664" t="s">
        <v>208</v>
      </c>
      <c r="C675" s="708"/>
      <c r="D675" s="708"/>
      <c r="E675" s="709"/>
      <c r="F675" s="279">
        <v>1400</v>
      </c>
      <c r="G675" s="296">
        <f t="shared" ref="G675" si="1808">+F675*$X$1</f>
        <v>1400</v>
      </c>
      <c r="H675" s="610"/>
      <c r="I675" s="279"/>
      <c r="J675" s="610"/>
      <c r="K675" s="279"/>
      <c r="L675" s="610">
        <f>F675+700</f>
        <v>2100</v>
      </c>
      <c r="M675" s="279">
        <f t="shared" si="1801"/>
        <v>2100</v>
      </c>
      <c r="N675" s="610">
        <f>F675+500</f>
        <v>1900</v>
      </c>
      <c r="O675" s="279">
        <f t="shared" si="1802"/>
        <v>1900</v>
      </c>
      <c r="P675" s="610">
        <f>F675+400</f>
        <v>1800</v>
      </c>
      <c r="Q675" s="279">
        <f t="shared" si="1803"/>
        <v>1800</v>
      </c>
      <c r="R675" s="610">
        <f>F675+330</f>
        <v>1730</v>
      </c>
      <c r="S675" s="279">
        <f t="shared" si="1804"/>
        <v>1730</v>
      </c>
      <c r="T675" s="610">
        <f>F675+280</f>
        <v>1680</v>
      </c>
      <c r="U675" s="279">
        <f t="shared" si="1805"/>
        <v>1680</v>
      </c>
      <c r="V675" s="610">
        <f>F675+220</f>
        <v>1620</v>
      </c>
      <c r="W675" s="279">
        <f t="shared" si="1806"/>
        <v>1620</v>
      </c>
      <c r="X675" s="687"/>
      <c r="Y675" s="688"/>
      <c r="Z675" s="688"/>
      <c r="AA675" s="689"/>
      <c r="AB675" s="190">
        <v>1001</v>
      </c>
      <c r="AC675" s="4"/>
      <c r="AD675" s="4"/>
      <c r="AE675" s="4"/>
      <c r="AF675" s="4"/>
      <c r="AG675" s="4"/>
      <c r="AH675" s="4"/>
      <c r="AI675" s="4"/>
      <c r="AJ675" s="4"/>
      <c r="AK675" s="4"/>
      <c r="AL675" s="4"/>
    </row>
    <row r="676" spans="1:38" s="1" customFormat="1" ht="12.6" customHeight="1" x14ac:dyDescent="0.2">
      <c r="A676" s="19"/>
      <c r="B676" s="661" t="s">
        <v>209</v>
      </c>
      <c r="C676" s="662"/>
      <c r="D676" s="662"/>
      <c r="E676" s="663"/>
      <c r="F676" s="309">
        <v>1400</v>
      </c>
      <c r="G676" s="280">
        <f>+F676*$X$1</f>
        <v>1400</v>
      </c>
      <c r="H676" s="633"/>
      <c r="I676" s="614"/>
      <c r="J676" s="614"/>
      <c r="K676" s="614"/>
      <c r="L676" s="441"/>
      <c r="M676" s="280"/>
      <c r="N676" s="441"/>
      <c r="O676" s="280"/>
      <c r="P676" s="441"/>
      <c r="Q676" s="280"/>
      <c r="R676" s="441">
        <f>F676+330</f>
        <v>1730</v>
      </c>
      <c r="S676" s="280">
        <f t="shared" si="1804"/>
        <v>1730</v>
      </c>
      <c r="T676" s="441">
        <f>F676+280</f>
        <v>1680</v>
      </c>
      <c r="U676" s="280">
        <f t="shared" si="1805"/>
        <v>1680</v>
      </c>
      <c r="V676" s="441">
        <f>F676+220</f>
        <v>1620</v>
      </c>
      <c r="W676" s="280">
        <f t="shared" si="1806"/>
        <v>1620</v>
      </c>
      <c r="X676" s="687"/>
      <c r="Y676" s="688"/>
      <c r="Z676" s="688"/>
      <c r="AA676" s="689"/>
      <c r="AB676" s="190">
        <v>1002</v>
      </c>
      <c r="AC676" s="4"/>
      <c r="AD676" s="4"/>
      <c r="AE676" s="4"/>
      <c r="AF676" s="4"/>
      <c r="AG676" s="4"/>
      <c r="AH676" s="4"/>
      <c r="AI676" s="4"/>
      <c r="AJ676" s="4"/>
      <c r="AK676" s="4"/>
      <c r="AL676" s="4"/>
    </row>
    <row r="677" spans="1:38" s="1" customFormat="1" ht="12.6" customHeight="1" x14ac:dyDescent="0.2">
      <c r="A677" s="19"/>
      <c r="B677" s="664" t="s">
        <v>618</v>
      </c>
      <c r="C677" s="708"/>
      <c r="D677" s="708"/>
      <c r="E677" s="709"/>
      <c r="F677" s="279">
        <v>1400</v>
      </c>
      <c r="G677" s="279">
        <f>+F677*$X$1</f>
        <v>1400</v>
      </c>
      <c r="H677" s="634"/>
      <c r="I677" s="609"/>
      <c r="J677" s="609"/>
      <c r="K677" s="609"/>
      <c r="L677" s="610"/>
      <c r="M677" s="279"/>
      <c r="N677" s="610"/>
      <c r="O677" s="279"/>
      <c r="P677" s="610"/>
      <c r="Q677" s="279"/>
      <c r="R677" s="610">
        <f>F677+330</f>
        <v>1730</v>
      </c>
      <c r="S677" s="279">
        <f t="shared" si="1804"/>
        <v>1730</v>
      </c>
      <c r="T677" s="610">
        <f>F677+280</f>
        <v>1680</v>
      </c>
      <c r="U677" s="279">
        <f t="shared" si="1805"/>
        <v>1680</v>
      </c>
      <c r="V677" s="610">
        <f>F677+220</f>
        <v>1620</v>
      </c>
      <c r="W677" s="279">
        <f t="shared" si="1806"/>
        <v>1620</v>
      </c>
      <c r="X677" s="687"/>
      <c r="Y677" s="688"/>
      <c r="Z677" s="688"/>
      <c r="AA677" s="689"/>
      <c r="AB677" s="190"/>
      <c r="AC677" s="4"/>
      <c r="AD677" s="4"/>
      <c r="AE677" s="4"/>
      <c r="AF677" s="4"/>
      <c r="AG677" s="4"/>
      <c r="AH677" s="4"/>
      <c r="AI677" s="4"/>
      <c r="AJ677" s="4"/>
      <c r="AK677" s="4"/>
      <c r="AL677" s="4"/>
    </row>
    <row r="678" spans="1:38" s="1" customFormat="1" ht="12.6" customHeight="1" x14ac:dyDescent="0.2">
      <c r="A678" s="19"/>
      <c r="B678" s="647" t="s">
        <v>672</v>
      </c>
      <c r="C678" s="648"/>
      <c r="D678" s="648"/>
      <c r="E678" s="648"/>
      <c r="F678" s="280">
        <v>1650</v>
      </c>
      <c r="G678" s="280">
        <f>+F678*$X$1</f>
        <v>1650</v>
      </c>
      <c r="H678" s="633"/>
      <c r="I678" s="614"/>
      <c r="J678" s="614"/>
      <c r="K678" s="614"/>
      <c r="L678" s="441"/>
      <c r="M678" s="280"/>
      <c r="N678" s="441"/>
      <c r="O678" s="280"/>
      <c r="P678" s="441"/>
      <c r="Q678" s="280"/>
      <c r="R678" s="441">
        <f>F678+330</f>
        <v>1980</v>
      </c>
      <c r="S678" s="280">
        <f t="shared" si="1804"/>
        <v>1980</v>
      </c>
      <c r="T678" s="441">
        <f>F678+280</f>
        <v>1930</v>
      </c>
      <c r="U678" s="280">
        <f t="shared" si="1805"/>
        <v>1930</v>
      </c>
      <c r="V678" s="441">
        <f>F678+220</f>
        <v>1870</v>
      </c>
      <c r="W678" s="280">
        <f t="shared" si="1806"/>
        <v>1870</v>
      </c>
      <c r="X678" s="687"/>
      <c r="Y678" s="826"/>
      <c r="Z678" s="826"/>
      <c r="AA678" s="689"/>
      <c r="AB678" s="190">
        <v>1004</v>
      </c>
      <c r="AC678" s="4"/>
      <c r="AD678" s="4"/>
      <c r="AE678" s="4"/>
      <c r="AF678" s="4"/>
      <c r="AG678" s="4"/>
      <c r="AH678" s="4"/>
      <c r="AI678" s="4"/>
      <c r="AJ678" s="4"/>
      <c r="AK678" s="4"/>
      <c r="AL678" s="4"/>
    </row>
    <row r="679" spans="1:38" s="1" customFormat="1" ht="12.6" customHeight="1" x14ac:dyDescent="0.2">
      <c r="A679" s="19"/>
      <c r="B679" s="664" t="s">
        <v>671</v>
      </c>
      <c r="C679" s="708"/>
      <c r="D679" s="708"/>
      <c r="E679" s="709"/>
      <c r="F679" s="279">
        <v>1650</v>
      </c>
      <c r="G679" s="279">
        <f>+F679*$X$1</f>
        <v>1650</v>
      </c>
      <c r="H679" s="634"/>
      <c r="I679" s="609"/>
      <c r="J679" s="609"/>
      <c r="K679" s="609"/>
      <c r="L679" s="610"/>
      <c r="M679" s="279"/>
      <c r="N679" s="610"/>
      <c r="O679" s="279"/>
      <c r="P679" s="610"/>
      <c r="Q679" s="279"/>
      <c r="R679" s="610">
        <f>F679+330</f>
        <v>1980</v>
      </c>
      <c r="S679" s="279">
        <f t="shared" si="1804"/>
        <v>1980</v>
      </c>
      <c r="T679" s="610">
        <f>F679+280</f>
        <v>1930</v>
      </c>
      <c r="U679" s="279">
        <f t="shared" si="1805"/>
        <v>1930</v>
      </c>
      <c r="V679" s="610">
        <f>F679+220</f>
        <v>1870</v>
      </c>
      <c r="W679" s="279">
        <f t="shared" si="1806"/>
        <v>1870</v>
      </c>
      <c r="X679" s="687"/>
      <c r="Y679" s="688"/>
      <c r="Z679" s="688"/>
      <c r="AA679" s="689"/>
      <c r="AB679" s="190">
        <v>1005</v>
      </c>
      <c r="AC679" s="4"/>
      <c r="AD679" s="4"/>
      <c r="AE679" s="4"/>
      <c r="AF679" s="4"/>
      <c r="AG679" s="4"/>
      <c r="AH679" s="126"/>
      <c r="AI679" s="4"/>
      <c r="AJ679" s="4"/>
      <c r="AK679" s="4"/>
      <c r="AL679" s="4"/>
    </row>
    <row r="680" spans="1:38" s="1" customFormat="1" ht="12.6" customHeight="1" x14ac:dyDescent="0.2">
      <c r="A680" s="19"/>
      <c r="B680" s="661" t="s">
        <v>210</v>
      </c>
      <c r="C680" s="694"/>
      <c r="D680" s="694"/>
      <c r="E680" s="695"/>
      <c r="F680" s="280"/>
      <c r="G680" s="280"/>
      <c r="H680" s="635"/>
      <c r="I680" s="614"/>
      <c r="J680" s="614"/>
      <c r="K680" s="614"/>
      <c r="L680" s="614"/>
      <c r="M680" s="614"/>
      <c r="N680" s="441"/>
      <c r="O680" s="280"/>
      <c r="P680" s="441"/>
      <c r="Q680" s="280"/>
      <c r="R680" s="441"/>
      <c r="S680" s="280"/>
      <c r="T680" s="441"/>
      <c r="U680" s="280"/>
      <c r="V680" s="441"/>
      <c r="W680" s="280"/>
      <c r="X680" s="687"/>
      <c r="Y680" s="688"/>
      <c r="Z680" s="688"/>
      <c r="AA680" s="689"/>
      <c r="AB680" s="190">
        <v>1006</v>
      </c>
      <c r="AC680" s="4"/>
      <c r="AD680" s="4"/>
      <c r="AE680" s="4"/>
      <c r="AF680" s="4"/>
      <c r="AG680" s="4"/>
      <c r="AH680" s="126"/>
      <c r="AI680" s="4"/>
      <c r="AJ680" s="4"/>
      <c r="AK680" s="4"/>
      <c r="AL680" s="4"/>
    </row>
    <row r="681" spans="1:38" s="1" customFormat="1" ht="12.6" customHeight="1" x14ac:dyDescent="0.2">
      <c r="A681" s="19"/>
      <c r="B681" s="664" t="s">
        <v>540</v>
      </c>
      <c r="C681" s="680"/>
      <c r="D681" s="680"/>
      <c r="E681" s="681"/>
      <c r="F681" s="281">
        <v>9116</v>
      </c>
      <c r="G681" s="281">
        <f t="shared" si="1807"/>
        <v>9116</v>
      </c>
      <c r="H681" s="610">
        <f>F681+3000</f>
        <v>12116</v>
      </c>
      <c r="I681" s="279">
        <f t="shared" ref="I681:I682" si="1809">+H681*$X$1</f>
        <v>12116</v>
      </c>
      <c r="J681" s="610">
        <f>F681+900</f>
        <v>10016</v>
      </c>
      <c r="K681" s="279">
        <f t="shared" ref="K681:K682" si="1810">+J681*$X$1</f>
        <v>10016</v>
      </c>
      <c r="L681" s="610">
        <f>F681+700</f>
        <v>9816</v>
      </c>
      <c r="M681" s="279">
        <f t="shared" ref="M681:M682" si="1811">+L681*$X$1</f>
        <v>9816</v>
      </c>
      <c r="N681" s="610">
        <f>F681+500</f>
        <v>9616</v>
      </c>
      <c r="O681" s="279">
        <f t="shared" ref="O681:O682" si="1812">+N681*$X$1</f>
        <v>9616</v>
      </c>
      <c r="P681" s="610">
        <f>F681+400</f>
        <v>9516</v>
      </c>
      <c r="Q681" s="279">
        <f t="shared" ref="Q681:Q682" si="1813">+P681*$X$1</f>
        <v>9516</v>
      </c>
      <c r="R681" s="610">
        <f>F681+330</f>
        <v>9446</v>
      </c>
      <c r="S681" s="279">
        <f t="shared" ref="S681:S682" si="1814">+R681*$X$1</f>
        <v>9446</v>
      </c>
      <c r="T681" s="610">
        <f>F681+280</f>
        <v>9396</v>
      </c>
      <c r="U681" s="279">
        <f t="shared" ref="U681:U682" si="1815">+T681*$X$1</f>
        <v>9396</v>
      </c>
      <c r="V681" s="610">
        <f>F681+220</f>
        <v>9336</v>
      </c>
      <c r="W681" s="279">
        <f t="shared" ref="W681:W682" si="1816">+V681*$X$1</f>
        <v>9336</v>
      </c>
      <c r="X681" s="687"/>
      <c r="Y681" s="688"/>
      <c r="Z681" s="688"/>
      <c r="AA681" s="689"/>
      <c r="AB681" s="190">
        <v>1010</v>
      </c>
      <c r="AC681" s="4"/>
      <c r="AD681" s="4"/>
      <c r="AE681" s="4"/>
      <c r="AF681" s="4"/>
      <c r="AG681" s="4"/>
      <c r="AH681" s="126"/>
      <c r="AI681" s="4"/>
      <c r="AJ681" s="4"/>
      <c r="AK681" s="4"/>
      <c r="AL681" s="4"/>
    </row>
    <row r="682" spans="1:38" s="1" customFormat="1" ht="12.6" customHeight="1" x14ac:dyDescent="0.2">
      <c r="A682" s="19"/>
      <c r="B682" s="661" t="s">
        <v>541</v>
      </c>
      <c r="C682" s="694"/>
      <c r="D682" s="694"/>
      <c r="E682" s="695"/>
      <c r="F682" s="280">
        <v>20824</v>
      </c>
      <c r="G682" s="280">
        <f t="shared" si="1807"/>
        <v>20824</v>
      </c>
      <c r="H682" s="441">
        <f>F682+3000</f>
        <v>23824</v>
      </c>
      <c r="I682" s="280">
        <f t="shared" si="1809"/>
        <v>23824</v>
      </c>
      <c r="J682" s="441">
        <f>F682+900</f>
        <v>21724</v>
      </c>
      <c r="K682" s="280">
        <f t="shared" si="1810"/>
        <v>21724</v>
      </c>
      <c r="L682" s="441">
        <f>F682+700</f>
        <v>21524</v>
      </c>
      <c r="M682" s="280">
        <f t="shared" si="1811"/>
        <v>21524</v>
      </c>
      <c r="N682" s="441">
        <f>F682+500</f>
        <v>21324</v>
      </c>
      <c r="O682" s="280">
        <f t="shared" si="1812"/>
        <v>21324</v>
      </c>
      <c r="P682" s="441">
        <f>F682+400</f>
        <v>21224</v>
      </c>
      <c r="Q682" s="280">
        <f t="shared" si="1813"/>
        <v>21224</v>
      </c>
      <c r="R682" s="441">
        <f>F682+330</f>
        <v>21154</v>
      </c>
      <c r="S682" s="280">
        <f t="shared" si="1814"/>
        <v>21154</v>
      </c>
      <c r="T682" s="441">
        <f>F682+280</f>
        <v>21104</v>
      </c>
      <c r="U682" s="280">
        <f t="shared" si="1815"/>
        <v>21104</v>
      </c>
      <c r="V682" s="441">
        <f>F682+220</f>
        <v>21044</v>
      </c>
      <c r="W682" s="280">
        <f t="shared" si="1816"/>
        <v>21044</v>
      </c>
      <c r="X682" s="687"/>
      <c r="Y682" s="688"/>
      <c r="Z682" s="688"/>
      <c r="AA682" s="689"/>
      <c r="AB682" s="190">
        <v>1011</v>
      </c>
      <c r="AC682" s="4"/>
      <c r="AD682" s="4"/>
      <c r="AE682" s="4"/>
      <c r="AF682" s="4"/>
      <c r="AG682" s="4"/>
      <c r="AH682" s="126"/>
      <c r="AI682" s="4"/>
      <c r="AJ682" s="4"/>
      <c r="AK682" s="4"/>
      <c r="AL682" s="4"/>
    </row>
    <row r="683" spans="1:38" s="1" customFormat="1" ht="12.6" customHeight="1" x14ac:dyDescent="0.2">
      <c r="A683" s="19"/>
      <c r="B683" s="676" t="s">
        <v>937</v>
      </c>
      <c r="C683" s="677"/>
      <c r="D683" s="677"/>
      <c r="E683" s="678"/>
      <c r="F683" s="436">
        <f>9.45*X2</f>
        <v>10281.599999999999</v>
      </c>
      <c r="G683" s="279">
        <f>+F683*$X$1</f>
        <v>10281.599999999999</v>
      </c>
      <c r="H683" s="610"/>
      <c r="I683" s="279"/>
      <c r="J683" s="610">
        <f>F683+2000</f>
        <v>12281.599999999999</v>
      </c>
      <c r="K683" s="279">
        <f t="shared" ref="K683" si="1817">+J683*$X$1</f>
        <v>12281.599999999999</v>
      </c>
      <c r="L683" s="610">
        <f>F683+1500</f>
        <v>11781.599999999999</v>
      </c>
      <c r="M683" s="279">
        <f t="shared" ref="M683:M685" si="1818">+L683*$X$1</f>
        <v>11781.599999999999</v>
      </c>
      <c r="N683" s="610">
        <f>F683+1200</f>
        <v>11481.599999999999</v>
      </c>
      <c r="O683" s="279">
        <f t="shared" ref="O683:O685" si="1819">+N683*$X$1</f>
        <v>11481.599999999999</v>
      </c>
      <c r="P683" s="610">
        <f>F683+1050</f>
        <v>11331.599999999999</v>
      </c>
      <c r="Q683" s="279">
        <f t="shared" ref="Q683:Q685" si="1820">+P683*$X$1</f>
        <v>11331.599999999999</v>
      </c>
      <c r="R683" s="610">
        <f>F683+950</f>
        <v>11231.599999999999</v>
      </c>
      <c r="S683" s="279">
        <f t="shared" ref="S683:S685" si="1821">+R683*$X$1</f>
        <v>11231.599999999999</v>
      </c>
      <c r="T683" s="610">
        <f>F683+800</f>
        <v>11081.599999999999</v>
      </c>
      <c r="U683" s="279">
        <f t="shared" ref="U683:U685" si="1822">+T683*$X$1</f>
        <v>11081.599999999999</v>
      </c>
      <c r="V683" s="610">
        <f>F683+650</f>
        <v>10931.599999999999</v>
      </c>
      <c r="W683" s="279">
        <f t="shared" ref="W683:W685" si="1823">+V683*$X$1</f>
        <v>10931.599999999999</v>
      </c>
      <c r="X683" s="687"/>
      <c r="Y683" s="688"/>
      <c r="Z683" s="688"/>
      <c r="AA683" s="689"/>
      <c r="AB683" s="190">
        <v>1020</v>
      </c>
      <c r="AC683" s="4"/>
      <c r="AD683" s="4"/>
      <c r="AE683" s="4"/>
      <c r="AF683" s="4"/>
      <c r="AG683" s="4"/>
      <c r="AH683" s="126"/>
      <c r="AI683" s="4"/>
      <c r="AJ683" s="4"/>
      <c r="AK683" s="4"/>
      <c r="AL683" s="4"/>
    </row>
    <row r="684" spans="1:38" ht="12.6" customHeight="1" x14ac:dyDescent="0.2">
      <c r="B684" s="779" t="s">
        <v>639</v>
      </c>
      <c r="C684" s="779"/>
      <c r="D684" s="779"/>
      <c r="E684" s="779"/>
      <c r="F684" s="366">
        <f>3.04*X2</f>
        <v>3307.52</v>
      </c>
      <c r="G684" s="280">
        <f t="shared" si="1807"/>
        <v>3307.52</v>
      </c>
      <c r="H684" s="103"/>
      <c r="I684" s="103"/>
      <c r="J684" s="272"/>
      <c r="K684" s="272"/>
      <c r="L684" s="441">
        <f>F684+700</f>
        <v>4007.52</v>
      </c>
      <c r="M684" s="280">
        <f t="shared" si="1818"/>
        <v>4007.52</v>
      </c>
      <c r="N684" s="441">
        <f>F684+500</f>
        <v>3807.52</v>
      </c>
      <c r="O684" s="280">
        <f t="shared" si="1819"/>
        <v>3807.52</v>
      </c>
      <c r="P684" s="441">
        <f>F684+400</f>
        <v>3707.52</v>
      </c>
      <c r="Q684" s="280">
        <f t="shared" si="1820"/>
        <v>3707.52</v>
      </c>
      <c r="R684" s="441">
        <f>F684+330</f>
        <v>3637.52</v>
      </c>
      <c r="S684" s="280">
        <f t="shared" si="1821"/>
        <v>3637.52</v>
      </c>
      <c r="T684" s="441">
        <f>F684+280</f>
        <v>3587.52</v>
      </c>
      <c r="U684" s="280">
        <f t="shared" si="1822"/>
        <v>3587.52</v>
      </c>
      <c r="V684" s="441">
        <f>F684+220</f>
        <v>3527.52</v>
      </c>
      <c r="W684" s="280">
        <f t="shared" si="1823"/>
        <v>3527.52</v>
      </c>
      <c r="X684" s="407"/>
      <c r="Y684" s="134"/>
      <c r="Z684" s="132"/>
      <c r="AA684" s="135"/>
      <c r="AB684" s="405" t="s">
        <v>640</v>
      </c>
    </row>
    <row r="685" spans="1:38" ht="12.6" customHeight="1" x14ac:dyDescent="0.2">
      <c r="B685" s="778" t="s">
        <v>644</v>
      </c>
      <c r="C685" s="778"/>
      <c r="D685" s="778"/>
      <c r="E685" s="778"/>
      <c r="F685" s="365">
        <f>11.3*X2</f>
        <v>12294.400000000001</v>
      </c>
      <c r="G685" s="279">
        <f t="shared" si="1807"/>
        <v>12294.400000000001</v>
      </c>
      <c r="H685" s="99"/>
      <c r="I685" s="99"/>
      <c r="J685" s="70">
        <f>F685+900</f>
        <v>13194.400000000001</v>
      </c>
      <c r="K685" s="279">
        <f>+J685*$X$1</f>
        <v>13194.400000000001</v>
      </c>
      <c r="L685" s="610">
        <f>F685+700</f>
        <v>12994.400000000001</v>
      </c>
      <c r="M685" s="279">
        <f t="shared" si="1818"/>
        <v>12994.400000000001</v>
      </c>
      <c r="N685" s="610">
        <f>F685+500</f>
        <v>12794.400000000001</v>
      </c>
      <c r="O685" s="279">
        <f t="shared" si="1819"/>
        <v>12794.400000000001</v>
      </c>
      <c r="P685" s="610">
        <f>F685+400</f>
        <v>12694.400000000001</v>
      </c>
      <c r="Q685" s="279">
        <f t="shared" si="1820"/>
        <v>12694.400000000001</v>
      </c>
      <c r="R685" s="610">
        <f>F685+330</f>
        <v>12624.400000000001</v>
      </c>
      <c r="S685" s="279">
        <f t="shared" si="1821"/>
        <v>12624.400000000001</v>
      </c>
      <c r="T685" s="610">
        <f>F685+280</f>
        <v>12574.400000000001</v>
      </c>
      <c r="U685" s="279">
        <f t="shared" si="1822"/>
        <v>12574.400000000001</v>
      </c>
      <c r="V685" s="610">
        <f>F685+220</f>
        <v>12514.400000000001</v>
      </c>
      <c r="W685" s="279">
        <f t="shared" si="1823"/>
        <v>12514.400000000001</v>
      </c>
      <c r="X685" s="408"/>
      <c r="Y685" s="134"/>
      <c r="Z685" s="132"/>
      <c r="AA685" s="135"/>
      <c r="AB685" s="405" t="s">
        <v>645</v>
      </c>
    </row>
    <row r="686" spans="1:38" ht="12.6" customHeight="1" x14ac:dyDescent="0.2">
      <c r="B686" s="779" t="s">
        <v>476</v>
      </c>
      <c r="C686" s="779"/>
      <c r="D686" s="779"/>
      <c r="E686" s="779"/>
      <c r="F686" s="366">
        <f>4.3*X2</f>
        <v>4678.3999999999996</v>
      </c>
      <c r="G686" s="280">
        <f t="shared" si="1807"/>
        <v>4678.3999999999996</v>
      </c>
      <c r="H686" s="103"/>
      <c r="I686" s="103"/>
      <c r="J686" s="441">
        <f>F686+1000</f>
        <v>5678.4</v>
      </c>
      <c r="K686" s="280">
        <f t="shared" ref="K686:K688" si="1824">+J686*$X$1</f>
        <v>5678.4</v>
      </c>
      <c r="L686" s="441">
        <f>F686+600</f>
        <v>5278.4</v>
      </c>
      <c r="M686" s="280">
        <f t="shared" ref="M686:M688" si="1825">+L686*$X$1</f>
        <v>5278.4</v>
      </c>
      <c r="N686" s="441">
        <f>F686+380</f>
        <v>5058.3999999999996</v>
      </c>
      <c r="O686" s="280">
        <f t="shared" ref="O686:O688" si="1826">+N686*$X$1</f>
        <v>5058.3999999999996</v>
      </c>
      <c r="P686" s="441">
        <f>F686+270</f>
        <v>4948.3999999999996</v>
      </c>
      <c r="Q686" s="280">
        <f t="shared" ref="Q686:Q688" si="1827">+P686*$X$1</f>
        <v>4948.3999999999996</v>
      </c>
      <c r="R686" s="441">
        <f>F686+180</f>
        <v>4858.3999999999996</v>
      </c>
      <c r="S686" s="280">
        <f t="shared" ref="S686:S688" si="1828">+R686*$X$1</f>
        <v>4858.3999999999996</v>
      </c>
      <c r="T686" s="441">
        <f>F686+140</f>
        <v>4818.3999999999996</v>
      </c>
      <c r="U686" s="280">
        <f t="shared" ref="U686:U688" si="1829">+T686*$X$1</f>
        <v>4818.3999999999996</v>
      </c>
      <c r="V686" s="441">
        <f>F686+110</f>
        <v>4788.3999999999996</v>
      </c>
      <c r="W686" s="280">
        <f t="shared" ref="W686:W688" si="1830">+V686*$X$1</f>
        <v>4788.3999999999996</v>
      </c>
      <c r="X686" s="229"/>
      <c r="Y686" s="134"/>
      <c r="Z686" s="132"/>
      <c r="AA686" s="135"/>
      <c r="AB686" s="405" t="s">
        <v>407</v>
      </c>
    </row>
    <row r="687" spans="1:38" s="1" customFormat="1" ht="12.6" customHeight="1" x14ac:dyDescent="0.2">
      <c r="A687" s="19"/>
      <c r="B687" s="676" t="s">
        <v>935</v>
      </c>
      <c r="C687" s="677"/>
      <c r="D687" s="677"/>
      <c r="E687" s="678"/>
      <c r="F687" s="365">
        <f>22.49*X2</f>
        <v>24469.119999999999</v>
      </c>
      <c r="G687" s="279">
        <f t="shared" ref="G687" si="1831">+F687*$X$1</f>
        <v>24469.119999999999</v>
      </c>
      <c r="H687" s="610">
        <f>F687+3000</f>
        <v>27469.119999999999</v>
      </c>
      <c r="I687" s="279">
        <f t="shared" ref="I687:I688" si="1832">+H687*$X$1</f>
        <v>27469.119999999999</v>
      </c>
      <c r="J687" s="610">
        <f>F687+900</f>
        <v>25369.119999999999</v>
      </c>
      <c r="K687" s="279">
        <f t="shared" si="1824"/>
        <v>25369.119999999999</v>
      </c>
      <c r="L687" s="610">
        <f>F687+700</f>
        <v>25169.119999999999</v>
      </c>
      <c r="M687" s="279">
        <f t="shared" si="1825"/>
        <v>25169.119999999999</v>
      </c>
      <c r="N687" s="610">
        <f>F687+500</f>
        <v>24969.119999999999</v>
      </c>
      <c r="O687" s="279">
        <f t="shared" si="1826"/>
        <v>24969.119999999999</v>
      </c>
      <c r="P687" s="610">
        <f>F687+400</f>
        <v>24869.119999999999</v>
      </c>
      <c r="Q687" s="279">
        <f t="shared" si="1827"/>
        <v>24869.119999999999</v>
      </c>
      <c r="R687" s="610">
        <f>F687+330</f>
        <v>24799.119999999999</v>
      </c>
      <c r="S687" s="279">
        <f t="shared" si="1828"/>
        <v>24799.119999999999</v>
      </c>
      <c r="T687" s="610">
        <f>F687+280</f>
        <v>24749.119999999999</v>
      </c>
      <c r="U687" s="279">
        <f t="shared" si="1829"/>
        <v>24749.119999999999</v>
      </c>
      <c r="V687" s="610">
        <f>F687+220</f>
        <v>24689.119999999999</v>
      </c>
      <c r="W687" s="279">
        <f t="shared" si="1830"/>
        <v>24689.119999999999</v>
      </c>
      <c r="X687" s="687"/>
      <c r="Y687" s="688"/>
      <c r="Z687" s="688"/>
      <c r="AA687" s="689"/>
      <c r="AB687" s="190">
        <v>10506</v>
      </c>
      <c r="AC687" s="4"/>
      <c r="AD687" s="4"/>
      <c r="AE687" s="4"/>
      <c r="AF687" s="4"/>
      <c r="AG687" s="4"/>
      <c r="AH687" s="126"/>
      <c r="AI687" s="4"/>
      <c r="AJ687" s="4"/>
      <c r="AK687" s="4"/>
      <c r="AL687" s="4"/>
    </row>
    <row r="688" spans="1:38" s="1" customFormat="1" ht="12.6" customHeight="1" x14ac:dyDescent="0.2">
      <c r="A688" s="19"/>
      <c r="B688" s="676" t="s">
        <v>910</v>
      </c>
      <c r="C688" s="677"/>
      <c r="D688" s="677"/>
      <c r="E688" s="678"/>
      <c r="F688" s="366">
        <f>29.6*X2</f>
        <v>32204.800000000003</v>
      </c>
      <c r="G688" s="280">
        <f t="shared" si="1807"/>
        <v>32204.800000000003</v>
      </c>
      <c r="H688" s="441">
        <f>F688+3000</f>
        <v>35204.800000000003</v>
      </c>
      <c r="I688" s="280">
        <f t="shared" si="1832"/>
        <v>35204.800000000003</v>
      </c>
      <c r="J688" s="441">
        <f>F688+900</f>
        <v>33104.800000000003</v>
      </c>
      <c r="K688" s="280">
        <f t="shared" si="1824"/>
        <v>33104.800000000003</v>
      </c>
      <c r="L688" s="441">
        <f>F688+700</f>
        <v>32904.800000000003</v>
      </c>
      <c r="M688" s="280">
        <f t="shared" si="1825"/>
        <v>32904.800000000003</v>
      </c>
      <c r="N688" s="441">
        <f>F688+500</f>
        <v>32704.800000000003</v>
      </c>
      <c r="O688" s="280">
        <f t="shared" si="1826"/>
        <v>32704.800000000003</v>
      </c>
      <c r="P688" s="441">
        <f>F688+400</f>
        <v>32604.800000000003</v>
      </c>
      <c r="Q688" s="280">
        <f t="shared" si="1827"/>
        <v>32604.800000000003</v>
      </c>
      <c r="R688" s="441">
        <f>F688+330</f>
        <v>32534.800000000003</v>
      </c>
      <c r="S688" s="280">
        <f t="shared" si="1828"/>
        <v>32534.800000000003</v>
      </c>
      <c r="T688" s="441">
        <f>F688+280</f>
        <v>32484.800000000003</v>
      </c>
      <c r="U688" s="280">
        <f t="shared" si="1829"/>
        <v>32484.800000000003</v>
      </c>
      <c r="V688" s="441">
        <f>F688+220</f>
        <v>32424.800000000003</v>
      </c>
      <c r="W688" s="280">
        <f t="shared" si="1830"/>
        <v>32424.800000000003</v>
      </c>
      <c r="X688" s="687"/>
      <c r="Y688" s="688"/>
      <c r="Z688" s="688"/>
      <c r="AA688" s="689"/>
      <c r="AB688" s="190">
        <v>10507</v>
      </c>
      <c r="AC688" s="4"/>
      <c r="AD688" s="4"/>
      <c r="AE688" s="4"/>
      <c r="AF688" s="4"/>
      <c r="AG688" s="4"/>
      <c r="AH688" s="126"/>
      <c r="AI688" s="4"/>
      <c r="AJ688" s="4"/>
      <c r="AK688" s="4"/>
      <c r="AL688" s="4"/>
    </row>
    <row r="689" spans="1:38" ht="12.6" customHeight="1" x14ac:dyDescent="0.2">
      <c r="A689" s="10"/>
      <c r="B689" s="807" t="s">
        <v>302</v>
      </c>
      <c r="C689" s="807"/>
      <c r="D689" s="807"/>
      <c r="E689" s="807"/>
      <c r="F689" s="365">
        <f>35.1*X2</f>
        <v>38188.800000000003</v>
      </c>
      <c r="G689" s="279">
        <f t="shared" ref="G689" si="1833">+F689*$X$1</f>
        <v>38188.800000000003</v>
      </c>
      <c r="H689" s="99"/>
      <c r="I689" s="99"/>
      <c r="J689" s="70">
        <f>F689+900</f>
        <v>39088.800000000003</v>
      </c>
      <c r="K689" s="279">
        <f>+J689*$X$1</f>
        <v>39088.800000000003</v>
      </c>
      <c r="L689" s="610">
        <f>F689+500</f>
        <v>38688.800000000003</v>
      </c>
      <c r="M689" s="279">
        <f t="shared" ref="M689" si="1834">+L689*$X$1</f>
        <v>38688.800000000003</v>
      </c>
      <c r="N689" s="610">
        <f>F689+300</f>
        <v>38488.800000000003</v>
      </c>
      <c r="O689" s="279">
        <f t="shared" ref="O689" si="1835">+N689*$X$1</f>
        <v>38488.800000000003</v>
      </c>
      <c r="P689" s="610">
        <f>F689+190</f>
        <v>38378.800000000003</v>
      </c>
      <c r="Q689" s="279">
        <f t="shared" ref="Q689" si="1836">+P689*$X$1</f>
        <v>38378.800000000003</v>
      </c>
      <c r="R689" s="610">
        <f>F689+150</f>
        <v>38338.800000000003</v>
      </c>
      <c r="S689" s="279">
        <f t="shared" ref="S689" si="1837">+R689*$X$1</f>
        <v>38338.800000000003</v>
      </c>
      <c r="T689" s="610">
        <f>F689+120</f>
        <v>38308.800000000003</v>
      </c>
      <c r="U689" s="279">
        <f t="shared" ref="U689" si="1838">+T689*$X$1</f>
        <v>38308.800000000003</v>
      </c>
      <c r="V689" s="610"/>
      <c r="W689" s="279"/>
      <c r="X689" s="132"/>
      <c r="Y689" s="136"/>
      <c r="Z689" s="132"/>
      <c r="AA689" s="135"/>
      <c r="AB689" s="405" t="s">
        <v>422</v>
      </c>
    </row>
    <row r="690" spans="1:38" ht="12.6" customHeight="1" x14ac:dyDescent="0.2">
      <c r="A690" s="10"/>
      <c r="B690" s="949" t="s">
        <v>421</v>
      </c>
      <c r="C690" s="949"/>
      <c r="D690" s="949"/>
      <c r="E690" s="949"/>
      <c r="F690" s="280"/>
      <c r="G690" s="280"/>
      <c r="H690" s="103"/>
      <c r="I690" s="103"/>
      <c r="J690" s="441"/>
      <c r="K690" s="280"/>
      <c r="L690" s="441"/>
      <c r="M690" s="280"/>
      <c r="N690" s="441"/>
      <c r="O690" s="280"/>
      <c r="P690" s="441"/>
      <c r="Q690" s="280"/>
      <c r="R690" s="441"/>
      <c r="S690" s="280"/>
      <c r="T690" s="441"/>
      <c r="U690" s="280"/>
      <c r="V690" s="582"/>
      <c r="W690" s="568"/>
      <c r="X690" s="132"/>
      <c r="Y690" s="136"/>
      <c r="Z690" s="132"/>
      <c r="AA690" s="135"/>
      <c r="AB690" s="405" t="s">
        <v>303</v>
      </c>
    </row>
    <row r="691" spans="1:38" s="1" customFormat="1" ht="12.6" customHeight="1" x14ac:dyDescent="0.2">
      <c r="A691" s="19"/>
      <c r="B691" s="659" t="s">
        <v>841</v>
      </c>
      <c r="C691" s="660"/>
      <c r="D691" s="660"/>
      <c r="E691" s="660"/>
      <c r="F691" s="279">
        <v>20176</v>
      </c>
      <c r="G691" s="279">
        <f t="shared" ref="G691" si="1839">+F691*$X$1</f>
        <v>20176</v>
      </c>
      <c r="H691" s="610"/>
      <c r="I691" s="279"/>
      <c r="J691" s="70"/>
      <c r="K691" s="279"/>
      <c r="L691" s="610">
        <f>F691+600</f>
        <v>20776</v>
      </c>
      <c r="M691" s="279">
        <f t="shared" ref="M691:M692" si="1840">+L691*$X$1</f>
        <v>20776</v>
      </c>
      <c r="N691" s="610">
        <f>F691+380</f>
        <v>20556</v>
      </c>
      <c r="O691" s="279">
        <f t="shared" ref="O691:O692" si="1841">+N691*$X$1</f>
        <v>20556</v>
      </c>
      <c r="P691" s="610">
        <f>F691+270</f>
        <v>20446</v>
      </c>
      <c r="Q691" s="279">
        <f t="shared" ref="Q691:Q692" si="1842">+P691*$X$1</f>
        <v>20446</v>
      </c>
      <c r="R691" s="610">
        <f>F691+180</f>
        <v>20356</v>
      </c>
      <c r="S691" s="279">
        <f t="shared" ref="S691:S692" si="1843">+R691*$X$1</f>
        <v>20356</v>
      </c>
      <c r="T691" s="610">
        <f>F691+140</f>
        <v>20316</v>
      </c>
      <c r="U691" s="279">
        <f t="shared" ref="U691:U692" si="1844">+T691*$X$1</f>
        <v>20316</v>
      </c>
      <c r="V691" s="610">
        <f>F691+110</f>
        <v>20286</v>
      </c>
      <c r="W691" s="279">
        <f t="shared" ref="W691:W692" si="1845">+V691*$X$1</f>
        <v>20286</v>
      </c>
      <c r="X691" s="687"/>
      <c r="Y691" s="688"/>
      <c r="Z691" s="688"/>
      <c r="AA691" s="689"/>
      <c r="AB691" s="190" t="s">
        <v>839</v>
      </c>
      <c r="AC691" s="4"/>
      <c r="AD691" s="4"/>
      <c r="AE691" s="4"/>
      <c r="AF691" s="4"/>
      <c r="AG691" s="4"/>
      <c r="AH691" s="126"/>
      <c r="AI691" s="4"/>
      <c r="AJ691" s="4"/>
      <c r="AK691" s="4"/>
      <c r="AL691" s="4"/>
    </row>
    <row r="692" spans="1:38" s="1" customFormat="1" ht="12.6" customHeight="1" x14ac:dyDescent="0.2">
      <c r="A692" s="19"/>
      <c r="B692" s="647" t="s">
        <v>842</v>
      </c>
      <c r="C692" s="648"/>
      <c r="D692" s="648"/>
      <c r="E692" s="648"/>
      <c r="F692" s="280">
        <v>11058</v>
      </c>
      <c r="G692" s="280">
        <f t="shared" ref="G692" si="1846">+F692*$X$1</f>
        <v>11058</v>
      </c>
      <c r="H692" s="441"/>
      <c r="I692" s="280"/>
      <c r="J692" s="87"/>
      <c r="K692" s="280"/>
      <c r="L692" s="441">
        <f>F692+600</f>
        <v>11658</v>
      </c>
      <c r="M692" s="280">
        <f t="shared" si="1840"/>
        <v>11658</v>
      </c>
      <c r="N692" s="441">
        <f>F692+380</f>
        <v>11438</v>
      </c>
      <c r="O692" s="280">
        <f t="shared" si="1841"/>
        <v>11438</v>
      </c>
      <c r="P692" s="441">
        <f>F692+270</f>
        <v>11328</v>
      </c>
      <c r="Q692" s="280">
        <f t="shared" si="1842"/>
        <v>11328</v>
      </c>
      <c r="R692" s="441">
        <f>F692+180</f>
        <v>11238</v>
      </c>
      <c r="S692" s="280">
        <f t="shared" si="1843"/>
        <v>11238</v>
      </c>
      <c r="T692" s="441">
        <f>F692+140</f>
        <v>11198</v>
      </c>
      <c r="U692" s="280">
        <f t="shared" si="1844"/>
        <v>11198</v>
      </c>
      <c r="V692" s="441">
        <f>F692+110</f>
        <v>11168</v>
      </c>
      <c r="W692" s="280">
        <f t="shared" si="1845"/>
        <v>11168</v>
      </c>
      <c r="X692" s="687"/>
      <c r="Y692" s="688"/>
      <c r="Z692" s="688"/>
      <c r="AA692" s="689"/>
      <c r="AB692" s="190" t="s">
        <v>840</v>
      </c>
      <c r="AC692" s="4"/>
      <c r="AD692" s="4"/>
      <c r="AE692" s="4"/>
      <c r="AF692" s="4"/>
      <c r="AG692" s="4"/>
      <c r="AH692" s="126"/>
      <c r="AI692" s="4"/>
      <c r="AJ692" s="4"/>
      <c r="AK692" s="4"/>
      <c r="AL692" s="4"/>
    </row>
    <row r="693" spans="1:38" ht="12.6" customHeight="1" x14ac:dyDescent="0.2">
      <c r="A693" s="200"/>
      <c r="B693" s="778" t="s">
        <v>520</v>
      </c>
      <c r="C693" s="660"/>
      <c r="D693" s="660"/>
      <c r="E693" s="660"/>
      <c r="F693" s="279">
        <v>18624</v>
      </c>
      <c r="G693" s="279">
        <f t="shared" ref="G693" si="1847">+F693*$X$1</f>
        <v>18624</v>
      </c>
      <c r="H693" s="273"/>
      <c r="I693" s="273"/>
      <c r="J693" s="101">
        <f>F693+1000</f>
        <v>19624</v>
      </c>
      <c r="K693" s="296">
        <f t="shared" ref="K693" si="1848">+J693*$X$1</f>
        <v>19624</v>
      </c>
      <c r="L693" s="101">
        <f t="shared" ref="L693" si="1849">F693+800</f>
        <v>19424</v>
      </c>
      <c r="M693" s="296">
        <f t="shared" ref="M693:M696" si="1850">+L693*$X$1</f>
        <v>19424</v>
      </c>
      <c r="N693" s="101">
        <f t="shared" ref="N693" si="1851">F693+700</f>
        <v>19324</v>
      </c>
      <c r="O693" s="296">
        <f t="shared" ref="O693:O696" si="1852">+N693*$X$1</f>
        <v>19324</v>
      </c>
      <c r="P693" s="101">
        <f t="shared" ref="P693" si="1853">F693+600</f>
        <v>19224</v>
      </c>
      <c r="Q693" s="296">
        <f t="shared" ref="Q693:Q696" si="1854">+P693*$X$1</f>
        <v>19224</v>
      </c>
      <c r="R693" s="101">
        <f t="shared" ref="R693" si="1855">F693+500</f>
        <v>19124</v>
      </c>
      <c r="S693" s="296">
        <f t="shared" ref="S693:S696" si="1856">+R693*$X$1</f>
        <v>19124</v>
      </c>
      <c r="T693" s="101">
        <f t="shared" ref="T693" si="1857">F693+450</f>
        <v>19074</v>
      </c>
      <c r="U693" s="296">
        <f t="shared" ref="U693:U696" si="1858">+T693*$X$1</f>
        <v>19074</v>
      </c>
      <c r="V693" s="581"/>
      <c r="W693" s="279"/>
      <c r="X693" s="298"/>
      <c r="Y693" s="298"/>
      <c r="Z693" s="298"/>
      <c r="AA693" s="298"/>
      <c r="AB693" s="405" t="s">
        <v>646</v>
      </c>
    </row>
    <row r="694" spans="1:38" ht="12.6" customHeight="1" x14ac:dyDescent="0.2">
      <c r="A694" s="200"/>
      <c r="B694" s="785" t="s">
        <v>403</v>
      </c>
      <c r="C694" s="725"/>
      <c r="D694" s="725"/>
      <c r="E694" s="725"/>
      <c r="F694" s="280">
        <v>20890</v>
      </c>
      <c r="G694" s="280">
        <f t="shared" ref="G694:G699" si="1859">+F694*$X$1</f>
        <v>20890</v>
      </c>
      <c r="H694" s="272"/>
      <c r="I694" s="272"/>
      <c r="J694" s="441"/>
      <c r="K694" s="280"/>
      <c r="L694" s="441">
        <f>F694+600</f>
        <v>21490</v>
      </c>
      <c r="M694" s="280">
        <f t="shared" si="1850"/>
        <v>21490</v>
      </c>
      <c r="N694" s="441">
        <f>F694+380</f>
        <v>21270</v>
      </c>
      <c r="O694" s="280">
        <f t="shared" si="1852"/>
        <v>21270</v>
      </c>
      <c r="P694" s="441">
        <f>F694+270</f>
        <v>21160</v>
      </c>
      <c r="Q694" s="280">
        <f t="shared" si="1854"/>
        <v>21160</v>
      </c>
      <c r="R694" s="441">
        <f>F694+180</f>
        <v>21070</v>
      </c>
      <c r="S694" s="280">
        <f t="shared" si="1856"/>
        <v>21070</v>
      </c>
      <c r="T694" s="441">
        <f>F694+140</f>
        <v>21030</v>
      </c>
      <c r="U694" s="280">
        <f t="shared" si="1858"/>
        <v>21030</v>
      </c>
      <c r="V694" s="441">
        <f>F694+110</f>
        <v>21000</v>
      </c>
      <c r="W694" s="280">
        <f t="shared" ref="W694:W696" si="1860">+V694*$X$1</f>
        <v>21000</v>
      </c>
      <c r="X694" s="149"/>
      <c r="Y694" s="149"/>
      <c r="Z694" s="149"/>
      <c r="AA694" s="149"/>
      <c r="AB694" s="405" t="s">
        <v>406</v>
      </c>
    </row>
    <row r="695" spans="1:38" ht="12.6" customHeight="1" x14ac:dyDescent="0.2">
      <c r="A695" s="200"/>
      <c r="B695" s="795" t="s">
        <v>519</v>
      </c>
      <c r="C695" s="711"/>
      <c r="D695" s="711"/>
      <c r="E695" s="711"/>
      <c r="F695" s="279">
        <v>21780</v>
      </c>
      <c r="G695" s="279">
        <f t="shared" ref="G695:G696" si="1861">+F695*$X$1</f>
        <v>21780</v>
      </c>
      <c r="H695" s="610">
        <f>F695+3000</f>
        <v>24780</v>
      </c>
      <c r="I695" s="279">
        <f t="shared" ref="I695" si="1862">+H695*$X$1</f>
        <v>24780</v>
      </c>
      <c r="J695" s="610">
        <f t="shared" ref="J695:J701" si="1863">F695+1000</f>
        <v>22780</v>
      </c>
      <c r="K695" s="279">
        <f t="shared" ref="K695" si="1864">+J695*$X$1</f>
        <v>22780</v>
      </c>
      <c r="L695" s="610">
        <f>F695+600</f>
        <v>22380</v>
      </c>
      <c r="M695" s="279">
        <f t="shared" si="1850"/>
        <v>22380</v>
      </c>
      <c r="N695" s="610">
        <f>F695+380</f>
        <v>22160</v>
      </c>
      <c r="O695" s="279">
        <f t="shared" si="1852"/>
        <v>22160</v>
      </c>
      <c r="P695" s="610">
        <f>F695+270</f>
        <v>22050</v>
      </c>
      <c r="Q695" s="279">
        <f t="shared" si="1854"/>
        <v>22050</v>
      </c>
      <c r="R695" s="610">
        <f>F695+180</f>
        <v>21960</v>
      </c>
      <c r="S695" s="279">
        <f t="shared" si="1856"/>
        <v>21960</v>
      </c>
      <c r="T695" s="610">
        <f>F695+140</f>
        <v>21920</v>
      </c>
      <c r="U695" s="279">
        <f t="shared" si="1858"/>
        <v>21920</v>
      </c>
      <c r="V695" s="610">
        <f>F695+110</f>
        <v>21890</v>
      </c>
      <c r="W695" s="279">
        <f t="shared" si="1860"/>
        <v>21890</v>
      </c>
      <c r="X695" s="298"/>
      <c r="Y695" s="298"/>
      <c r="Z695" s="298"/>
      <c r="AA695" s="298"/>
      <c r="AB695" s="405" t="s">
        <v>521</v>
      </c>
    </row>
    <row r="696" spans="1:38" ht="12.6" customHeight="1" x14ac:dyDescent="0.2">
      <c r="A696" s="200"/>
      <c r="B696" s="785" t="s">
        <v>742</v>
      </c>
      <c r="C696" s="725"/>
      <c r="D696" s="725"/>
      <c r="E696" s="725"/>
      <c r="F696" s="280">
        <v>21603</v>
      </c>
      <c r="G696" s="280">
        <f t="shared" si="1861"/>
        <v>21603</v>
      </c>
      <c r="H696" s="441">
        <f>F696+3000</f>
        <v>24603</v>
      </c>
      <c r="I696" s="280">
        <f t="shared" ref="I696" si="1865">+H696*$X$1</f>
        <v>24603</v>
      </c>
      <c r="J696" s="441">
        <f t="shared" si="1863"/>
        <v>22603</v>
      </c>
      <c r="K696" s="280">
        <f t="shared" ref="K696:K701" si="1866">+J696*$X$1</f>
        <v>22603</v>
      </c>
      <c r="L696" s="441">
        <f>F696+600</f>
        <v>22203</v>
      </c>
      <c r="M696" s="280">
        <f t="shared" si="1850"/>
        <v>22203</v>
      </c>
      <c r="N696" s="441">
        <f>F696+380</f>
        <v>21983</v>
      </c>
      <c r="O696" s="280">
        <f t="shared" si="1852"/>
        <v>21983</v>
      </c>
      <c r="P696" s="441">
        <f>F696+270</f>
        <v>21873</v>
      </c>
      <c r="Q696" s="280">
        <f t="shared" si="1854"/>
        <v>21873</v>
      </c>
      <c r="R696" s="441">
        <f>F696+180</f>
        <v>21783</v>
      </c>
      <c r="S696" s="280">
        <f t="shared" si="1856"/>
        <v>21783</v>
      </c>
      <c r="T696" s="441">
        <f>F696+140</f>
        <v>21743</v>
      </c>
      <c r="U696" s="280">
        <f t="shared" si="1858"/>
        <v>21743</v>
      </c>
      <c r="V696" s="441">
        <f>F696+110</f>
        <v>21713</v>
      </c>
      <c r="W696" s="280">
        <f t="shared" si="1860"/>
        <v>21713</v>
      </c>
      <c r="X696" s="439"/>
      <c r="Y696" s="439"/>
      <c r="Z696" s="439"/>
      <c r="AA696" s="439"/>
      <c r="AB696" s="405" t="s">
        <v>743</v>
      </c>
    </row>
    <row r="697" spans="1:38" ht="12.6" customHeight="1" x14ac:dyDescent="0.2">
      <c r="A697" s="200"/>
      <c r="B697" s="795" t="s">
        <v>402</v>
      </c>
      <c r="C697" s="711"/>
      <c r="D697" s="711"/>
      <c r="E697" s="711"/>
      <c r="F697" s="279">
        <v>23148</v>
      </c>
      <c r="G697" s="279">
        <f t="shared" si="1859"/>
        <v>23148</v>
      </c>
      <c r="H697" s="273"/>
      <c r="I697" s="273"/>
      <c r="J697" s="101">
        <f t="shared" si="1863"/>
        <v>24148</v>
      </c>
      <c r="K697" s="296">
        <f t="shared" si="1866"/>
        <v>24148</v>
      </c>
      <c r="L697" s="101">
        <f t="shared" ref="L697:L701" si="1867">F697+800</f>
        <v>23948</v>
      </c>
      <c r="M697" s="296">
        <f t="shared" ref="M697:M701" si="1868">+L697*$X$1</f>
        <v>23948</v>
      </c>
      <c r="N697" s="101">
        <f t="shared" ref="N697:N701" si="1869">F697+700</f>
        <v>23848</v>
      </c>
      <c r="O697" s="296">
        <f t="shared" ref="O697:O701" si="1870">+N697*$X$1</f>
        <v>23848</v>
      </c>
      <c r="P697" s="101">
        <f t="shared" ref="P697:P701" si="1871">F697+600</f>
        <v>23748</v>
      </c>
      <c r="Q697" s="296">
        <f t="shared" ref="Q697:Q701" si="1872">+P697*$X$1</f>
        <v>23748</v>
      </c>
      <c r="R697" s="101">
        <f t="shared" ref="R697:R701" si="1873">F697+500</f>
        <v>23648</v>
      </c>
      <c r="S697" s="296">
        <f t="shared" ref="S697:S701" si="1874">+R697*$X$1</f>
        <v>23648</v>
      </c>
      <c r="T697" s="101">
        <f t="shared" ref="T697:T701" si="1875">F697+450</f>
        <v>23598</v>
      </c>
      <c r="U697" s="296">
        <f t="shared" ref="U697:U701" si="1876">+T697*$X$1</f>
        <v>23598</v>
      </c>
      <c r="V697" s="299"/>
      <c r="W697" s="279"/>
      <c r="X697" s="149"/>
      <c r="Y697" s="149"/>
      <c r="Z697" s="149"/>
      <c r="AA697" s="149"/>
      <c r="AB697" s="405" t="s">
        <v>405</v>
      </c>
    </row>
    <row r="698" spans="1:38" ht="12.6" customHeight="1" x14ac:dyDescent="0.2">
      <c r="A698" s="200"/>
      <c r="B698" s="785" t="s">
        <v>522</v>
      </c>
      <c r="C698" s="725"/>
      <c r="D698" s="725"/>
      <c r="E698" s="725"/>
      <c r="F698" s="366">
        <f>15.3*X2</f>
        <v>16646.400000000001</v>
      </c>
      <c r="G698" s="280">
        <f t="shared" ref="G698" si="1877">+F698*$X$1</f>
        <v>16646.400000000001</v>
      </c>
      <c r="H698" s="272"/>
      <c r="I698" s="272"/>
      <c r="J698" s="100">
        <f t="shared" si="1863"/>
        <v>17646.400000000001</v>
      </c>
      <c r="K698" s="309">
        <f t="shared" si="1866"/>
        <v>17646.400000000001</v>
      </c>
      <c r="L698" s="100">
        <f t="shared" si="1867"/>
        <v>17446.400000000001</v>
      </c>
      <c r="M698" s="309">
        <f t="shared" si="1868"/>
        <v>17446.400000000001</v>
      </c>
      <c r="N698" s="100">
        <f t="shared" si="1869"/>
        <v>17346.400000000001</v>
      </c>
      <c r="O698" s="309">
        <f t="shared" si="1870"/>
        <v>17346.400000000001</v>
      </c>
      <c r="P698" s="100">
        <f t="shared" si="1871"/>
        <v>17246.400000000001</v>
      </c>
      <c r="Q698" s="309">
        <f t="shared" si="1872"/>
        <v>17246.400000000001</v>
      </c>
      <c r="R698" s="100">
        <f t="shared" si="1873"/>
        <v>17146.400000000001</v>
      </c>
      <c r="S698" s="309">
        <f t="shared" si="1874"/>
        <v>17146.400000000001</v>
      </c>
      <c r="T698" s="100">
        <f t="shared" si="1875"/>
        <v>17096.400000000001</v>
      </c>
      <c r="U698" s="309">
        <f t="shared" si="1876"/>
        <v>17096.400000000001</v>
      </c>
      <c r="V698" s="476"/>
      <c r="W698" s="280"/>
      <c r="X698" s="300"/>
      <c r="Y698" s="300"/>
      <c r="Z698" s="300"/>
      <c r="AA698" s="300"/>
      <c r="AB698" s="405" t="s">
        <v>647</v>
      </c>
    </row>
    <row r="699" spans="1:38" ht="12.6" customHeight="1" x14ac:dyDescent="0.2">
      <c r="A699" s="200"/>
      <c r="B699" s="795" t="s">
        <v>452</v>
      </c>
      <c r="C699" s="711"/>
      <c r="D699" s="711"/>
      <c r="E699" s="711"/>
      <c r="F699" s="365">
        <f>9.7*X2</f>
        <v>10553.599999999999</v>
      </c>
      <c r="G699" s="279">
        <f t="shared" si="1859"/>
        <v>10553.599999999999</v>
      </c>
      <c r="H699" s="273"/>
      <c r="I699" s="273"/>
      <c r="J699" s="101">
        <f t="shared" si="1863"/>
        <v>11553.599999999999</v>
      </c>
      <c r="K699" s="296">
        <f t="shared" si="1866"/>
        <v>11553.599999999999</v>
      </c>
      <c r="L699" s="101">
        <f t="shared" si="1867"/>
        <v>11353.599999999999</v>
      </c>
      <c r="M699" s="296">
        <f t="shared" si="1868"/>
        <v>11353.599999999999</v>
      </c>
      <c r="N699" s="101">
        <f t="shared" si="1869"/>
        <v>11253.599999999999</v>
      </c>
      <c r="O699" s="296">
        <f t="shared" si="1870"/>
        <v>11253.599999999999</v>
      </c>
      <c r="P699" s="101">
        <f t="shared" si="1871"/>
        <v>11153.599999999999</v>
      </c>
      <c r="Q699" s="296">
        <f t="shared" si="1872"/>
        <v>11153.599999999999</v>
      </c>
      <c r="R699" s="101">
        <f t="shared" si="1873"/>
        <v>11053.599999999999</v>
      </c>
      <c r="S699" s="296">
        <f t="shared" si="1874"/>
        <v>11053.599999999999</v>
      </c>
      <c r="T699" s="101">
        <f t="shared" si="1875"/>
        <v>11003.599999999999</v>
      </c>
      <c r="U699" s="296">
        <f t="shared" si="1876"/>
        <v>11003.599999999999</v>
      </c>
      <c r="V699" s="610"/>
      <c r="W699" s="279"/>
      <c r="X699" s="149"/>
      <c r="Y699" s="149"/>
      <c r="Z699" s="149"/>
      <c r="AA699" s="149"/>
      <c r="AB699" s="405" t="s">
        <v>629</v>
      </c>
    </row>
    <row r="700" spans="1:38" ht="12.6" customHeight="1" x14ac:dyDescent="0.2">
      <c r="A700" s="200"/>
      <c r="B700" s="785" t="s">
        <v>650</v>
      </c>
      <c r="C700" s="725"/>
      <c r="D700" s="725"/>
      <c r="E700" s="725"/>
      <c r="F700" s="366">
        <f>16.8*X2</f>
        <v>18278.400000000001</v>
      </c>
      <c r="G700" s="280">
        <f t="shared" ref="G700" si="1878">+F700*$X$1</f>
        <v>18278.400000000001</v>
      </c>
      <c r="H700" s="272"/>
      <c r="I700" s="272"/>
      <c r="J700" s="100">
        <f t="shared" si="1863"/>
        <v>19278.400000000001</v>
      </c>
      <c r="K700" s="309">
        <f t="shared" si="1866"/>
        <v>19278.400000000001</v>
      </c>
      <c r="L700" s="100">
        <f t="shared" si="1867"/>
        <v>19078.400000000001</v>
      </c>
      <c r="M700" s="309">
        <f t="shared" si="1868"/>
        <v>19078.400000000001</v>
      </c>
      <c r="N700" s="100">
        <f t="shared" si="1869"/>
        <v>18978.400000000001</v>
      </c>
      <c r="O700" s="309">
        <f t="shared" si="1870"/>
        <v>18978.400000000001</v>
      </c>
      <c r="P700" s="100">
        <f t="shared" si="1871"/>
        <v>18878.400000000001</v>
      </c>
      <c r="Q700" s="309">
        <f t="shared" si="1872"/>
        <v>18878.400000000001</v>
      </c>
      <c r="R700" s="100">
        <f t="shared" si="1873"/>
        <v>18778.400000000001</v>
      </c>
      <c r="S700" s="309">
        <f t="shared" si="1874"/>
        <v>18778.400000000001</v>
      </c>
      <c r="T700" s="100">
        <f t="shared" si="1875"/>
        <v>18728.400000000001</v>
      </c>
      <c r="U700" s="309">
        <f t="shared" si="1876"/>
        <v>18728.400000000001</v>
      </c>
      <c r="V700" s="441"/>
      <c r="W700" s="280"/>
      <c r="X700" s="376"/>
      <c r="Y700" s="376"/>
      <c r="Z700" s="376"/>
      <c r="AA700" s="376"/>
      <c r="AB700" s="405" t="s">
        <v>630</v>
      </c>
    </row>
    <row r="701" spans="1:38" ht="12.6" customHeight="1" x14ac:dyDescent="0.2">
      <c r="A701" s="200"/>
      <c r="B701" s="795" t="s">
        <v>451</v>
      </c>
      <c r="C701" s="711"/>
      <c r="D701" s="711"/>
      <c r="E701" s="711"/>
      <c r="F701" s="365">
        <f>12.63*X2</f>
        <v>13741.44</v>
      </c>
      <c r="G701" s="279">
        <f t="shared" ref="G701" si="1879">+F701*$X$1</f>
        <v>13741.44</v>
      </c>
      <c r="H701" s="273"/>
      <c r="I701" s="273"/>
      <c r="J701" s="101">
        <f t="shared" si="1863"/>
        <v>14741.44</v>
      </c>
      <c r="K701" s="296">
        <f t="shared" si="1866"/>
        <v>14741.44</v>
      </c>
      <c r="L701" s="101">
        <f t="shared" si="1867"/>
        <v>14541.44</v>
      </c>
      <c r="M701" s="296">
        <f t="shared" si="1868"/>
        <v>14541.44</v>
      </c>
      <c r="N701" s="101">
        <f t="shared" si="1869"/>
        <v>14441.44</v>
      </c>
      <c r="O701" s="296">
        <f t="shared" si="1870"/>
        <v>14441.44</v>
      </c>
      <c r="P701" s="101">
        <f t="shared" si="1871"/>
        <v>14341.44</v>
      </c>
      <c r="Q701" s="296">
        <f t="shared" si="1872"/>
        <v>14341.44</v>
      </c>
      <c r="R701" s="101">
        <f t="shared" si="1873"/>
        <v>14241.44</v>
      </c>
      <c r="S701" s="296">
        <f t="shared" si="1874"/>
        <v>14241.44</v>
      </c>
      <c r="T701" s="101">
        <f t="shared" si="1875"/>
        <v>14191.44</v>
      </c>
      <c r="U701" s="296">
        <f t="shared" si="1876"/>
        <v>14191.44</v>
      </c>
      <c r="V701" s="610"/>
      <c r="W701" s="279"/>
      <c r="X701" s="149"/>
      <c r="Y701" s="149"/>
      <c r="Z701" s="149"/>
      <c r="AA701" s="149"/>
      <c r="AB701" s="405" t="s">
        <v>631</v>
      </c>
    </row>
    <row r="702" spans="1:38" ht="9.75" customHeight="1" x14ac:dyDescent="0.2">
      <c r="A702" s="200"/>
      <c r="B702" s="106"/>
      <c r="C702" s="488"/>
      <c r="D702" s="488"/>
      <c r="E702" s="488"/>
      <c r="F702" s="410"/>
      <c r="G702" s="324"/>
      <c r="H702" s="115"/>
      <c r="I702" s="324"/>
      <c r="J702" s="115"/>
      <c r="K702" s="324"/>
      <c r="L702" s="115"/>
      <c r="M702" s="324"/>
      <c r="N702" s="115"/>
      <c r="O702" s="324"/>
      <c r="P702" s="115"/>
      <c r="Q702" s="324"/>
      <c r="R702" s="115"/>
      <c r="S702" s="324"/>
      <c r="T702" s="115"/>
      <c r="U702" s="324"/>
      <c r="V702" s="74"/>
      <c r="W702" s="448"/>
      <c r="X702" s="487"/>
      <c r="Y702" s="487"/>
      <c r="Z702" s="487"/>
      <c r="AA702" s="487"/>
      <c r="AB702" s="411"/>
    </row>
    <row r="703" spans="1:38" ht="19.5" customHeight="1" x14ac:dyDescent="0.2">
      <c r="A703" s="28"/>
      <c r="B703" s="1199" t="s">
        <v>304</v>
      </c>
      <c r="C703" s="1200"/>
      <c r="D703" s="1200"/>
      <c r="E703" s="1200"/>
      <c r="F703" s="1200"/>
      <c r="G703" s="1200"/>
      <c r="H703" s="1200"/>
      <c r="I703" s="1200"/>
      <c r="J703" s="1200"/>
      <c r="K703" s="1200"/>
      <c r="L703" s="1200"/>
      <c r="M703" s="1200"/>
      <c r="N703" s="1200"/>
      <c r="O703" s="1200"/>
      <c r="P703" s="1200"/>
      <c r="Q703" s="1200"/>
      <c r="R703" s="1200"/>
      <c r="S703" s="1200"/>
      <c r="T703" s="1200"/>
      <c r="U703" s="1200"/>
      <c r="V703" s="1200"/>
      <c r="W703" s="1201"/>
      <c r="AF703" s="760"/>
      <c r="AG703" s="761"/>
      <c r="AH703" s="761"/>
    </row>
    <row r="704" spans="1:38" ht="12.6" customHeight="1" x14ac:dyDescent="0.2">
      <c r="A704" s="18"/>
      <c r="B704" s="977"/>
      <c r="C704" s="978"/>
      <c r="D704" s="978"/>
      <c r="E704" s="978"/>
      <c r="F704" s="978"/>
      <c r="G704" s="979"/>
      <c r="H704" s="467"/>
      <c r="I704" s="468" t="s">
        <v>285</v>
      </c>
      <c r="J704" s="468"/>
      <c r="K704" s="468" t="s">
        <v>17</v>
      </c>
      <c r="L704" s="468"/>
      <c r="M704" s="468" t="s">
        <v>18</v>
      </c>
      <c r="N704" s="468"/>
      <c r="O704" s="468" t="s">
        <v>19</v>
      </c>
      <c r="P704" s="468"/>
      <c r="Q704" s="468" t="s">
        <v>286</v>
      </c>
      <c r="R704" s="468"/>
      <c r="S704" s="468" t="s">
        <v>20</v>
      </c>
      <c r="T704" s="468"/>
      <c r="U704" s="468" t="s">
        <v>21</v>
      </c>
      <c r="V704" s="468"/>
      <c r="W704" s="468" t="s">
        <v>22</v>
      </c>
    </row>
    <row r="705" spans="1:35" ht="12.6" customHeight="1" x14ac:dyDescent="0.2">
      <c r="A705" s="973"/>
      <c r="B705" s="950" t="s">
        <v>493</v>
      </c>
      <c r="C705" s="951"/>
      <c r="D705" s="951"/>
      <c r="E705" s="951"/>
      <c r="F705" s="951"/>
      <c r="G705" s="952"/>
      <c r="H705" s="617"/>
      <c r="I705" s="377"/>
      <c r="J705" s="378"/>
      <c r="K705" s="351"/>
      <c r="L705" s="284">
        <v>130</v>
      </c>
      <c r="M705" s="351">
        <f>+L705*$X$1</f>
        <v>130</v>
      </c>
      <c r="N705" s="441">
        <v>70</v>
      </c>
      <c r="O705" s="351">
        <f>+N705*$X$1</f>
        <v>70</v>
      </c>
      <c r="P705" s="441">
        <v>50</v>
      </c>
      <c r="Q705" s="351">
        <v>55</v>
      </c>
      <c r="R705" s="441">
        <v>50</v>
      </c>
      <c r="S705" s="351">
        <f>+R705*$X$1</f>
        <v>50</v>
      </c>
      <c r="T705" s="441">
        <v>40</v>
      </c>
      <c r="U705" s="352">
        <f>+T705*$X$1</f>
        <v>40</v>
      </c>
      <c r="V705" s="441">
        <v>35</v>
      </c>
      <c r="W705" s="351">
        <f>+V705*$X$1</f>
        <v>35</v>
      </c>
    </row>
    <row r="706" spans="1:35" ht="12.6" customHeight="1" x14ac:dyDescent="0.2">
      <c r="A706" s="973"/>
      <c r="B706" s="945" t="s">
        <v>305</v>
      </c>
      <c r="C706" s="946"/>
      <c r="D706" s="946"/>
      <c r="E706" s="946"/>
      <c r="F706" s="946"/>
      <c r="G706" s="947"/>
      <c r="H706" s="618"/>
      <c r="I706" s="379"/>
      <c r="J706" s="380">
        <v>220</v>
      </c>
      <c r="K706" s="353">
        <f>+J706*$X$1</f>
        <v>220</v>
      </c>
      <c r="L706" s="381">
        <v>160</v>
      </c>
      <c r="M706" s="382">
        <f>+L706*$X$1</f>
        <v>160</v>
      </c>
      <c r="N706" s="110">
        <v>130</v>
      </c>
      <c r="O706" s="382">
        <f>+N706*$X$1</f>
        <v>130</v>
      </c>
      <c r="P706" s="110">
        <v>110</v>
      </c>
      <c r="Q706" s="382">
        <f>+P706*$X$1</f>
        <v>110</v>
      </c>
      <c r="R706" s="110">
        <v>90</v>
      </c>
      <c r="S706" s="382">
        <f>+R706*$X$1</f>
        <v>90</v>
      </c>
      <c r="T706" s="110">
        <v>70</v>
      </c>
      <c r="U706" s="382">
        <f>+T706*$X$1</f>
        <v>70</v>
      </c>
      <c r="V706" s="110">
        <v>55</v>
      </c>
      <c r="W706" s="382">
        <f>+V706*$X$1</f>
        <v>55</v>
      </c>
    </row>
    <row r="707" spans="1:35" ht="12.6" customHeight="1" x14ac:dyDescent="0.2">
      <c r="A707" s="973"/>
      <c r="B707" s="950" t="s">
        <v>494</v>
      </c>
      <c r="C707" s="951"/>
      <c r="D707" s="951"/>
      <c r="E707" s="951"/>
      <c r="F707" s="951"/>
      <c r="G707" s="952"/>
      <c r="H707" s="284"/>
      <c r="I707" s="351"/>
      <c r="J707" s="284"/>
      <c r="K707" s="351"/>
      <c r="L707" s="284">
        <v>130</v>
      </c>
      <c r="M707" s="351">
        <f>+L707*$X$1</f>
        <v>130</v>
      </c>
      <c r="N707" s="441">
        <v>80</v>
      </c>
      <c r="O707" s="351">
        <f>+N707*$X$1</f>
        <v>80</v>
      </c>
      <c r="P707" s="441">
        <v>75</v>
      </c>
      <c r="Q707" s="351">
        <f>+P707*$X$1</f>
        <v>75</v>
      </c>
      <c r="R707" s="441">
        <v>65</v>
      </c>
      <c r="S707" s="351">
        <f>+R707*$X$1</f>
        <v>65</v>
      </c>
      <c r="T707" s="441">
        <v>55</v>
      </c>
      <c r="U707" s="352">
        <f>+T707*$X$1</f>
        <v>55</v>
      </c>
      <c r="V707" s="441">
        <v>50</v>
      </c>
      <c r="W707" s="351">
        <f>+V707*$X$1</f>
        <v>50</v>
      </c>
    </row>
    <row r="708" spans="1:35" ht="12.6" customHeight="1" x14ac:dyDescent="0.2">
      <c r="A708" s="973"/>
      <c r="B708" s="876" t="s">
        <v>492</v>
      </c>
      <c r="C708" s="877"/>
      <c r="D708" s="877"/>
      <c r="E708" s="877"/>
      <c r="F708" s="877"/>
      <c r="G708" s="878"/>
      <c r="H708" s="383">
        <v>400</v>
      </c>
      <c r="I708" s="353">
        <f>+H708*$X$1</f>
        <v>400</v>
      </c>
      <c r="J708" s="383">
        <v>220</v>
      </c>
      <c r="K708" s="353">
        <f>+J708*$X$1</f>
        <v>220</v>
      </c>
      <c r="L708" s="383">
        <v>160</v>
      </c>
      <c r="M708" s="353">
        <f>+L708*$X$1</f>
        <v>160</v>
      </c>
      <c r="N708" s="606">
        <v>130</v>
      </c>
      <c r="O708" s="353">
        <f>+N708*$X$1</f>
        <v>130</v>
      </c>
      <c r="P708" s="606">
        <v>120</v>
      </c>
      <c r="Q708" s="353">
        <f>+P708*$X$1</f>
        <v>120</v>
      </c>
      <c r="R708" s="606">
        <v>90</v>
      </c>
      <c r="S708" s="353">
        <f>+R708*$X$1</f>
        <v>90</v>
      </c>
      <c r="T708" s="606">
        <v>80</v>
      </c>
      <c r="U708" s="382">
        <f>+T708*$X$1</f>
        <v>80</v>
      </c>
      <c r="V708" s="606">
        <v>70</v>
      </c>
      <c r="W708" s="353">
        <f>+V708*$X$1</f>
        <v>70</v>
      </c>
    </row>
    <row r="709" spans="1:35" ht="12.75" customHeight="1" x14ac:dyDescent="0.2">
      <c r="A709" s="973"/>
      <c r="B709" s="838" t="s">
        <v>831</v>
      </c>
      <c r="C709" s="839"/>
      <c r="D709" s="839"/>
      <c r="E709" s="839"/>
      <c r="F709" s="839"/>
      <c r="G709" s="839"/>
      <c r="H709" s="839"/>
      <c r="I709" s="839"/>
      <c r="J709" s="839"/>
      <c r="K709" s="839"/>
      <c r="L709" s="839"/>
      <c r="M709" s="839"/>
      <c r="N709" s="839"/>
      <c r="O709" s="839"/>
      <c r="P709" s="839"/>
      <c r="Q709" s="839"/>
      <c r="R709" s="839"/>
      <c r="S709" s="839"/>
      <c r="T709" s="839"/>
      <c r="U709" s="839"/>
      <c r="V709" s="839"/>
      <c r="W709" s="840"/>
    </row>
    <row r="710" spans="1:35" ht="13.5" customHeight="1" x14ac:dyDescent="0.2">
      <c r="A710" s="973"/>
      <c r="B710" s="811" t="s">
        <v>561</v>
      </c>
      <c r="C710" s="812"/>
      <c r="D710" s="812"/>
      <c r="E710" s="812"/>
      <c r="F710" s="812"/>
      <c r="G710" s="813"/>
      <c r="H710" s="841"/>
      <c r="I710" s="800" t="s">
        <v>285</v>
      </c>
      <c r="J710" s="841"/>
      <c r="K710" s="800" t="s">
        <v>17</v>
      </c>
      <c r="L710" s="800"/>
      <c r="M710" s="800" t="s">
        <v>18</v>
      </c>
      <c r="N710" s="800"/>
      <c r="O710" s="800" t="s">
        <v>19</v>
      </c>
      <c r="P710" s="800"/>
      <c r="Q710" s="800" t="s">
        <v>286</v>
      </c>
      <c r="R710" s="800"/>
      <c r="S710" s="800" t="s">
        <v>20</v>
      </c>
      <c r="T710" s="800"/>
      <c r="U710" s="800" t="s">
        <v>21</v>
      </c>
      <c r="V710" s="800"/>
      <c r="W710" s="800" t="s">
        <v>22</v>
      </c>
    </row>
    <row r="711" spans="1:35" ht="11.25" customHeight="1" x14ac:dyDescent="0.2">
      <c r="A711" s="973"/>
      <c r="B711" s="814"/>
      <c r="C711" s="815"/>
      <c r="D711" s="815"/>
      <c r="E711" s="815"/>
      <c r="F711" s="815"/>
      <c r="G711" s="816"/>
      <c r="H711" s="842"/>
      <c r="I711" s="948"/>
      <c r="J711" s="842"/>
      <c r="K711" s="948"/>
      <c r="L711" s="801"/>
      <c r="M711" s="801"/>
      <c r="N711" s="801"/>
      <c r="O711" s="801"/>
      <c r="P711" s="801"/>
      <c r="Q711" s="801"/>
      <c r="R711" s="801"/>
      <c r="S711" s="801"/>
      <c r="T711" s="801"/>
      <c r="U711" s="801"/>
      <c r="V711" s="801"/>
      <c r="W711" s="801"/>
      <c r="AB711" s="58"/>
      <c r="AC711" s="58"/>
      <c r="AD711" s="58"/>
      <c r="AE711" s="58"/>
      <c r="AF711" s="58"/>
      <c r="AG711" s="58"/>
      <c r="AH711" s="58"/>
      <c r="AI711" s="58"/>
    </row>
    <row r="712" spans="1:35" ht="12.6" customHeight="1" x14ac:dyDescent="0.2">
      <c r="A712" s="973"/>
      <c r="B712" s="843" t="s">
        <v>559</v>
      </c>
      <c r="C712" s="844"/>
      <c r="D712" s="844"/>
      <c r="E712" s="844"/>
      <c r="F712" s="844"/>
      <c r="G712" s="845"/>
      <c r="H712" s="87">
        <v>700</v>
      </c>
      <c r="I712" s="354">
        <f>+H712*$X$1</f>
        <v>700</v>
      </c>
      <c r="J712" s="87">
        <v>600</v>
      </c>
      <c r="K712" s="354">
        <f>+J712*$X$1</f>
        <v>600</v>
      </c>
      <c r="L712" s="441">
        <v>450</v>
      </c>
      <c r="M712" s="351">
        <f>+L712*$X$1</f>
        <v>450</v>
      </c>
      <c r="N712" s="441">
        <v>390</v>
      </c>
      <c r="O712" s="351">
        <f>+N712*$X$1</f>
        <v>390</v>
      </c>
      <c r="P712" s="441">
        <v>360</v>
      </c>
      <c r="Q712" s="351">
        <f>+P712*$X$1</f>
        <v>360</v>
      </c>
      <c r="R712" s="441">
        <v>320</v>
      </c>
      <c r="S712" s="351">
        <f>+R712*$X$1</f>
        <v>320</v>
      </c>
      <c r="T712" s="441">
        <v>300</v>
      </c>
      <c r="U712" s="351">
        <f>+T712*$X$1</f>
        <v>300</v>
      </c>
      <c r="V712" s="441">
        <v>290</v>
      </c>
      <c r="W712" s="351">
        <f>+V712*$X$1</f>
        <v>290</v>
      </c>
    </row>
    <row r="713" spans="1:35" ht="12.6" customHeight="1" x14ac:dyDescent="0.2">
      <c r="A713" s="973"/>
      <c r="B713" s="974" t="s">
        <v>556</v>
      </c>
      <c r="C713" s="975"/>
      <c r="D713" s="975"/>
      <c r="E713" s="975"/>
      <c r="F713" s="975"/>
      <c r="G713" s="976"/>
      <c r="H713" s="70">
        <v>750</v>
      </c>
      <c r="I713" s="384">
        <f>+H713*$X$1</f>
        <v>750</v>
      </c>
      <c r="J713" s="70">
        <v>650</v>
      </c>
      <c r="K713" s="384">
        <f>+J713*$X$1</f>
        <v>650</v>
      </c>
      <c r="L713" s="606">
        <v>600</v>
      </c>
      <c r="M713" s="353">
        <f>+L713*$X$1</f>
        <v>600</v>
      </c>
      <c r="N713" s="606">
        <v>540</v>
      </c>
      <c r="O713" s="353">
        <f>+N713*$X$1</f>
        <v>540</v>
      </c>
      <c r="P713" s="606">
        <v>500</v>
      </c>
      <c r="Q713" s="353">
        <f>+P713*$X$1</f>
        <v>500</v>
      </c>
      <c r="R713" s="606">
        <v>460</v>
      </c>
      <c r="S713" s="353">
        <f>+R713*$X$1</f>
        <v>460</v>
      </c>
      <c r="T713" s="606">
        <v>430</v>
      </c>
      <c r="U713" s="353">
        <f>+T713*$X$1</f>
        <v>430</v>
      </c>
      <c r="V713" s="606">
        <v>400</v>
      </c>
      <c r="W713" s="353">
        <f>+V713*$X$1</f>
        <v>400</v>
      </c>
    </row>
    <row r="714" spans="1:35" ht="12.6" customHeight="1" x14ac:dyDescent="0.2">
      <c r="A714" s="973"/>
      <c r="B714" s="843" t="s">
        <v>558</v>
      </c>
      <c r="C714" s="844"/>
      <c r="D714" s="844"/>
      <c r="E714" s="844"/>
      <c r="F714" s="844"/>
      <c r="G714" s="845"/>
      <c r="H714" s="87">
        <v>1000</v>
      </c>
      <c r="I714" s="354">
        <f>+H714*$X$1</f>
        <v>1000</v>
      </c>
      <c r="J714" s="87">
        <v>910</v>
      </c>
      <c r="K714" s="354">
        <f>+J714*$X$1</f>
        <v>910</v>
      </c>
      <c r="L714" s="441">
        <v>800</v>
      </c>
      <c r="M714" s="351">
        <f>+L714*$X$1</f>
        <v>800</v>
      </c>
      <c r="N714" s="441">
        <v>720</v>
      </c>
      <c r="O714" s="351">
        <f>+N714*$X$1</f>
        <v>720</v>
      </c>
      <c r="P714" s="441">
        <v>670</v>
      </c>
      <c r="Q714" s="351">
        <f>+P714*$X$1</f>
        <v>670</v>
      </c>
      <c r="R714" s="441">
        <v>640</v>
      </c>
      <c r="S714" s="351">
        <f>+R714*$X$1</f>
        <v>640</v>
      </c>
      <c r="T714" s="441">
        <v>625</v>
      </c>
      <c r="U714" s="351">
        <f>+T714*$X$1</f>
        <v>625</v>
      </c>
      <c r="V714" s="441">
        <v>600</v>
      </c>
      <c r="W714" s="351">
        <f>+V714*$X$1</f>
        <v>600</v>
      </c>
    </row>
    <row r="715" spans="1:35" ht="12.6" customHeight="1" x14ac:dyDescent="0.2">
      <c r="A715" s="973"/>
      <c r="B715" s="974" t="s">
        <v>557</v>
      </c>
      <c r="C715" s="975"/>
      <c r="D715" s="975"/>
      <c r="E715" s="975"/>
      <c r="F715" s="975"/>
      <c r="G715" s="976"/>
      <c r="H715" s="70">
        <v>1330</v>
      </c>
      <c r="I715" s="465">
        <f>+H715*$X$1</f>
        <v>1330</v>
      </c>
      <c r="J715" s="70">
        <v>1200</v>
      </c>
      <c r="K715" s="466">
        <f>+J715*$X$1</f>
        <v>1200</v>
      </c>
      <c r="L715" s="606">
        <v>1050</v>
      </c>
      <c r="M715" s="353">
        <f>+L715*$X$1</f>
        <v>1050</v>
      </c>
      <c r="N715" s="606">
        <v>960</v>
      </c>
      <c r="O715" s="353">
        <f>+N715*$X$1</f>
        <v>960</v>
      </c>
      <c r="P715" s="606">
        <v>920</v>
      </c>
      <c r="Q715" s="353">
        <f>+P715*$X$1</f>
        <v>920</v>
      </c>
      <c r="R715" s="606">
        <v>890</v>
      </c>
      <c r="S715" s="353">
        <f>+R715*$X$1</f>
        <v>890</v>
      </c>
      <c r="T715" s="606">
        <v>870</v>
      </c>
      <c r="U715" s="353">
        <f>+T715*$X$1</f>
        <v>870</v>
      </c>
      <c r="V715" s="606">
        <v>850</v>
      </c>
      <c r="W715" s="353">
        <f>+V715*$X$1</f>
        <v>850</v>
      </c>
    </row>
    <row r="716" spans="1:35" ht="6" customHeight="1" x14ac:dyDescent="0.2">
      <c r="A716" s="200"/>
      <c r="B716" s="201"/>
      <c r="C716" s="201"/>
      <c r="D716" s="201"/>
      <c r="E716" s="201"/>
      <c r="F716" s="202"/>
      <c r="G716" s="202"/>
      <c r="H716" s="74"/>
      <c r="I716" s="203"/>
      <c r="J716" s="203"/>
      <c r="K716" s="203"/>
      <c r="L716" s="203"/>
      <c r="M716" s="203"/>
      <c r="N716" s="203"/>
      <c r="O716" s="203"/>
      <c r="P716" s="203"/>
      <c r="Q716" s="203"/>
      <c r="R716" s="203"/>
      <c r="S716" s="203"/>
      <c r="T716" s="203"/>
      <c r="U716" s="203"/>
      <c r="V716" s="74"/>
      <c r="W716" s="195"/>
      <c r="X716" s="194"/>
      <c r="Y716" s="194"/>
      <c r="Z716" s="194"/>
      <c r="AA716" s="194"/>
      <c r="AB716" s="204"/>
    </row>
    <row r="717" spans="1:35" ht="13.5" customHeight="1" x14ac:dyDescent="0.2">
      <c r="B717" s="943" t="s">
        <v>499</v>
      </c>
      <c r="C717" s="944"/>
      <c r="D717" s="944"/>
      <c r="E717" s="944"/>
      <c r="F717" s="944"/>
      <c r="G717" s="944"/>
      <c r="H717" s="944"/>
      <c r="I717" s="944"/>
      <c r="J717" s="944"/>
      <c r="K717" s="68" t="s">
        <v>495</v>
      </c>
      <c r="L717" s="69">
        <v>30</v>
      </c>
      <c r="M717" s="350">
        <f>+L717*$X$1</f>
        <v>30</v>
      </c>
      <c r="N717" s="67"/>
      <c r="O717" s="68" t="s">
        <v>496</v>
      </c>
      <c r="P717" s="69">
        <v>28</v>
      </c>
      <c r="Q717" s="350">
        <f>+P717*$X$1</f>
        <v>28</v>
      </c>
      <c r="R717" s="45"/>
      <c r="S717" s="45"/>
      <c r="T717" s="45"/>
      <c r="U717" s="45"/>
      <c r="V717" s="45"/>
      <c r="W717" s="45"/>
    </row>
    <row r="718" spans="1:35" ht="12.6" customHeight="1" x14ac:dyDescent="0.2">
      <c r="B718" s="48"/>
      <c r="C718" s="169"/>
      <c r="D718" s="169"/>
      <c r="E718" s="169"/>
      <c r="F718" s="169"/>
      <c r="G718" s="169"/>
      <c r="H718" s="169"/>
      <c r="I718" s="169"/>
      <c r="J718" s="169"/>
      <c r="K718" s="49"/>
      <c r="L718" s="50"/>
      <c r="M718" s="51"/>
      <c r="N718" s="45"/>
      <c r="O718" s="49"/>
      <c r="P718" s="50"/>
      <c r="Q718" s="51"/>
      <c r="R718" s="45"/>
      <c r="S718" s="45"/>
      <c r="T718" s="45"/>
      <c r="U718" s="45"/>
      <c r="V718" s="45"/>
      <c r="W718" s="45"/>
    </row>
    <row r="719" spans="1:35" ht="12.6" customHeight="1" x14ac:dyDescent="0.2">
      <c r="B719" s="48"/>
      <c r="C719" s="169"/>
      <c r="D719" s="169"/>
      <c r="E719" s="169"/>
      <c r="F719" s="169"/>
      <c r="G719" s="169"/>
      <c r="H719" s="169"/>
      <c r="I719" s="169"/>
      <c r="J719" s="169"/>
      <c r="K719" s="49"/>
      <c r="L719" s="50"/>
      <c r="M719" s="51"/>
      <c r="N719" s="45"/>
      <c r="O719" s="49"/>
      <c r="P719" s="50"/>
      <c r="Q719" s="51"/>
      <c r="R719" s="45"/>
      <c r="S719" s="45"/>
      <c r="T719" s="45"/>
      <c r="U719" s="45"/>
      <c r="V719" s="45"/>
      <c r="W719" s="45"/>
    </row>
    <row r="720" spans="1:35" ht="12.6" customHeight="1" x14ac:dyDescent="0.2">
      <c r="B720" s="48"/>
      <c r="C720" s="169"/>
      <c r="D720" s="169"/>
      <c r="E720" s="169"/>
      <c r="F720" s="169"/>
      <c r="G720" s="169"/>
      <c r="H720" s="169"/>
      <c r="I720" s="169"/>
      <c r="J720" s="169"/>
      <c r="K720" s="49"/>
      <c r="L720" s="50"/>
      <c r="M720" s="51"/>
      <c r="N720" s="45"/>
      <c r="O720" s="49"/>
      <c r="P720" s="50"/>
      <c r="Q720" s="51"/>
      <c r="R720" s="45"/>
      <c r="S720" s="45"/>
      <c r="T720" s="45"/>
      <c r="U720" s="45"/>
      <c r="V720" s="45"/>
      <c r="W720" s="45"/>
    </row>
    <row r="721" spans="2:34" ht="12.6" customHeight="1" x14ac:dyDescent="0.2">
      <c r="B721" s="48"/>
      <c r="C721" s="169"/>
      <c r="D721" s="169"/>
      <c r="E721" s="169"/>
      <c r="F721" s="169"/>
      <c r="G721" s="169"/>
      <c r="H721" s="169"/>
      <c r="I721" s="169"/>
      <c r="J721" s="169"/>
      <c r="K721" s="49"/>
      <c r="L721" s="50"/>
      <c r="M721" s="51"/>
      <c r="N721" s="45"/>
      <c r="O721" s="49"/>
      <c r="P721" s="50"/>
      <c r="Q721" s="51"/>
      <c r="R721" s="45"/>
      <c r="S721" s="45"/>
      <c r="T721" s="45"/>
      <c r="U721" s="45"/>
      <c r="V721" s="45"/>
      <c r="W721" s="45"/>
    </row>
    <row r="722" spans="2:34" x14ac:dyDescent="0.2">
      <c r="B722" s="3"/>
      <c r="C722" s="941" t="s">
        <v>306</v>
      </c>
      <c r="D722" s="942"/>
      <c r="E722" s="942"/>
      <c r="F722" s="942"/>
      <c r="G722" s="942"/>
      <c r="H722" s="942"/>
      <c r="I722" s="942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7"/>
      <c r="W722" s="7"/>
    </row>
    <row r="723" spans="2:34" ht="12.6" customHeight="1" x14ac:dyDescent="0.2">
      <c r="B723" s="3"/>
      <c r="C723" s="938" t="s">
        <v>307</v>
      </c>
      <c r="D723" s="939"/>
      <c r="E723" s="939"/>
      <c r="F723" s="939"/>
      <c r="G723" s="940"/>
      <c r="H723" s="412"/>
      <c r="I723" s="409"/>
      <c r="J723" s="4"/>
      <c r="K723" s="4"/>
      <c r="L723" s="36"/>
      <c r="M723" s="3"/>
      <c r="N723" s="3"/>
      <c r="O723" s="3"/>
      <c r="P723" s="3"/>
      <c r="Q723" s="3"/>
      <c r="R723" s="3"/>
      <c r="S723" s="3"/>
      <c r="T723" s="3"/>
      <c r="U723" s="3"/>
      <c r="V723" s="7"/>
      <c r="W723" s="7"/>
    </row>
    <row r="724" spans="2:34" ht="12.6" customHeight="1" x14ac:dyDescent="0.2">
      <c r="B724" s="3"/>
      <c r="C724" s="804" t="s">
        <v>308</v>
      </c>
      <c r="D724" s="805"/>
      <c r="E724" s="805"/>
      <c r="F724" s="805"/>
      <c r="G724" s="806"/>
      <c r="H724" s="40"/>
      <c r="I724" s="413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7"/>
      <c r="W724" s="7"/>
    </row>
    <row r="725" spans="2:34" ht="12.6" customHeight="1" x14ac:dyDescent="0.2">
      <c r="B725" s="3"/>
      <c r="C725" s="804" t="s">
        <v>309</v>
      </c>
      <c r="D725" s="805"/>
      <c r="E725" s="805"/>
      <c r="F725" s="805"/>
      <c r="G725" s="806"/>
      <c r="H725" s="42"/>
      <c r="I725" s="349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7"/>
      <c r="W725" s="7"/>
    </row>
    <row r="726" spans="2:34" ht="15.95" customHeight="1" x14ac:dyDescent="0.2">
      <c r="B726" s="3"/>
      <c r="C726" s="846" t="s">
        <v>554</v>
      </c>
      <c r="D726" s="812"/>
      <c r="E726" s="812"/>
      <c r="F726" s="812"/>
      <c r="G726" s="812"/>
      <c r="H726" s="847"/>
      <c r="I726" s="848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7"/>
      <c r="W726" s="7"/>
    </row>
    <row r="727" spans="2:34" ht="15.75" customHeight="1" x14ac:dyDescent="0.2">
      <c r="B727" s="3"/>
      <c r="C727" s="814"/>
      <c r="D727" s="815"/>
      <c r="E727" s="815"/>
      <c r="F727" s="815"/>
      <c r="G727" s="815"/>
      <c r="H727" s="849"/>
      <c r="I727" s="850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7"/>
      <c r="W727" s="7"/>
    </row>
    <row r="728" spans="2:34" ht="12.6" customHeight="1" thickBot="1" x14ac:dyDescent="0.25">
      <c r="B728" s="4"/>
      <c r="C728" s="47"/>
      <c r="D728" s="47"/>
      <c r="E728" s="47"/>
      <c r="F728" s="47"/>
      <c r="G728" s="47"/>
      <c r="H728" s="41"/>
      <c r="I728" s="330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7"/>
      <c r="W728" s="7"/>
    </row>
    <row r="729" spans="2:34" ht="13.5" customHeight="1" x14ac:dyDescent="0.2">
      <c r="B729" s="817" t="s">
        <v>815</v>
      </c>
      <c r="C729" s="818"/>
      <c r="D729" s="818"/>
      <c r="E729" s="818"/>
      <c r="F729" s="818"/>
      <c r="G729" s="818"/>
      <c r="H729" s="818"/>
      <c r="I729" s="818"/>
      <c r="J729" s="818"/>
      <c r="K729" s="818"/>
      <c r="L729" s="818"/>
      <c r="M729" s="818"/>
      <c r="N729" s="818"/>
      <c r="O729" s="818"/>
      <c r="P729" s="818"/>
      <c r="Q729" s="818"/>
      <c r="R729" s="818"/>
      <c r="S729" s="818"/>
      <c r="T729" s="818"/>
      <c r="U729" s="818"/>
      <c r="V729" s="818"/>
      <c r="W729" s="819"/>
    </row>
    <row r="730" spans="2:34" ht="13.5" customHeight="1" x14ac:dyDescent="0.2">
      <c r="B730" s="820"/>
      <c r="C730" s="821"/>
      <c r="D730" s="821"/>
      <c r="E730" s="821"/>
      <c r="F730" s="821"/>
      <c r="G730" s="821"/>
      <c r="H730" s="821"/>
      <c r="I730" s="821"/>
      <c r="J730" s="821"/>
      <c r="K730" s="821"/>
      <c r="L730" s="821"/>
      <c r="M730" s="821"/>
      <c r="N730" s="821"/>
      <c r="O730" s="821"/>
      <c r="P730" s="821"/>
      <c r="Q730" s="821"/>
      <c r="R730" s="821"/>
      <c r="S730" s="821"/>
      <c r="T730" s="821"/>
      <c r="U730" s="821"/>
      <c r="V730" s="821"/>
      <c r="W730" s="822"/>
    </row>
    <row r="731" spans="2:34" ht="13.5" customHeight="1" thickBot="1" x14ac:dyDescent="0.25">
      <c r="B731" s="823"/>
      <c r="C731" s="824"/>
      <c r="D731" s="824"/>
      <c r="E731" s="824"/>
      <c r="F731" s="824"/>
      <c r="G731" s="824"/>
      <c r="H731" s="824"/>
      <c r="I731" s="824"/>
      <c r="J731" s="824"/>
      <c r="K731" s="824"/>
      <c r="L731" s="824"/>
      <c r="M731" s="824"/>
      <c r="N731" s="824"/>
      <c r="O731" s="824"/>
      <c r="P731" s="824"/>
      <c r="Q731" s="824"/>
      <c r="R731" s="824"/>
      <c r="S731" s="824"/>
      <c r="T731" s="824"/>
      <c r="U731" s="824"/>
      <c r="V731" s="824"/>
      <c r="W731" s="825"/>
    </row>
    <row r="732" spans="2:34" ht="12.6" customHeight="1" x14ac:dyDescent="0.2">
      <c r="B732" s="4"/>
      <c r="C732" s="39"/>
      <c r="D732" s="39"/>
      <c r="E732" s="39"/>
      <c r="F732" s="39"/>
      <c r="G732" s="39"/>
      <c r="H732" s="41"/>
      <c r="I732" s="41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7"/>
      <c r="W732" s="7"/>
    </row>
    <row r="733" spans="2:34" ht="23.25" customHeight="1" x14ac:dyDescent="0.2">
      <c r="B733" s="3"/>
      <c r="C733" s="832" t="s">
        <v>648</v>
      </c>
      <c r="D733" s="833"/>
      <c r="E733" s="833"/>
      <c r="F733" s="833"/>
      <c r="G733" s="833"/>
      <c r="H733" s="833"/>
      <c r="I733" s="834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AF733" s="760" t="s">
        <v>3</v>
      </c>
      <c r="AG733" s="761"/>
      <c r="AH733" s="761"/>
    </row>
    <row r="734" spans="2:34" ht="12.95" customHeight="1" x14ac:dyDescent="0.2">
      <c r="B734" s="3"/>
      <c r="C734" s="851"/>
      <c r="D734" s="852"/>
      <c r="E734" s="852"/>
      <c r="F734" s="852"/>
      <c r="G734" s="852"/>
      <c r="H734" s="852"/>
      <c r="I734" s="85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7"/>
      <c r="W734" s="7"/>
    </row>
    <row r="735" spans="2:34" ht="12.95" customHeight="1" x14ac:dyDescent="0.2">
      <c r="B735" s="3"/>
      <c r="C735" s="854"/>
      <c r="D735" s="855"/>
      <c r="E735" s="855"/>
      <c r="F735" s="855"/>
      <c r="G735" s="855"/>
      <c r="H735" s="855"/>
      <c r="I735" s="856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7"/>
      <c r="W735" s="7"/>
    </row>
    <row r="736" spans="2:34" ht="12.95" customHeight="1" x14ac:dyDescent="0.2">
      <c r="B736" s="3"/>
      <c r="C736" s="854"/>
      <c r="D736" s="855"/>
      <c r="E736" s="855"/>
      <c r="F736" s="855"/>
      <c r="G736" s="855"/>
      <c r="H736" s="855"/>
      <c r="I736" s="856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7"/>
      <c r="W736" s="7"/>
    </row>
    <row r="737" spans="2:34" ht="12.95" customHeight="1" x14ac:dyDescent="0.2">
      <c r="B737" s="3"/>
      <c r="C737" s="854"/>
      <c r="D737" s="855"/>
      <c r="E737" s="855"/>
      <c r="F737" s="855"/>
      <c r="G737" s="855"/>
      <c r="H737" s="855"/>
      <c r="I737" s="856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7"/>
      <c r="W737" s="7"/>
    </row>
    <row r="738" spans="2:34" ht="12.95" customHeight="1" x14ac:dyDescent="0.2">
      <c r="B738" s="3"/>
      <c r="C738" s="854"/>
      <c r="D738" s="855"/>
      <c r="E738" s="855"/>
      <c r="F738" s="855"/>
      <c r="G738" s="855"/>
      <c r="H738" s="855"/>
      <c r="I738" s="856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7"/>
      <c r="W738" s="7"/>
    </row>
    <row r="739" spans="2:34" ht="12.95" customHeight="1" x14ac:dyDescent="0.2">
      <c r="B739" s="3"/>
      <c r="C739" s="854"/>
      <c r="D739" s="855"/>
      <c r="E739" s="855"/>
      <c r="F739" s="855"/>
      <c r="G739" s="855"/>
      <c r="H739" s="855"/>
      <c r="I739" s="856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7"/>
      <c r="W739" s="7"/>
    </row>
    <row r="740" spans="2:34" ht="10.5" customHeight="1" x14ac:dyDescent="0.2">
      <c r="B740" s="3"/>
      <c r="C740" s="857"/>
      <c r="D740" s="858"/>
      <c r="E740" s="858"/>
      <c r="F740" s="858"/>
      <c r="G740" s="858"/>
      <c r="H740" s="858"/>
      <c r="I740" s="859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7"/>
      <c r="W740" s="7"/>
    </row>
    <row r="741" spans="2:34" ht="12.6" customHeight="1" x14ac:dyDescent="0.2">
      <c r="B741" s="3"/>
      <c r="C741" s="835" t="s">
        <v>398</v>
      </c>
      <c r="D741" s="835"/>
      <c r="E741" s="836"/>
      <c r="F741" s="836"/>
      <c r="G741" s="837"/>
      <c r="H741" s="42">
        <v>1500</v>
      </c>
      <c r="I741" s="353">
        <f>+H741*$X$1</f>
        <v>1500</v>
      </c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7"/>
      <c r="W741" s="7"/>
    </row>
    <row r="742" spans="2:34" ht="12.6" customHeight="1" x14ac:dyDescent="0.2">
      <c r="B742" s="3"/>
      <c r="C742" s="835" t="s">
        <v>649</v>
      </c>
      <c r="D742" s="835"/>
      <c r="E742" s="836"/>
      <c r="F742" s="836"/>
      <c r="G742" s="837"/>
      <c r="H742" s="42">
        <v>1400</v>
      </c>
      <c r="I742" s="353">
        <f>+H742*$X$1</f>
        <v>1400</v>
      </c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7"/>
      <c r="W742" s="7"/>
    </row>
    <row r="743" spans="2:34" ht="12.6" customHeight="1" x14ac:dyDescent="0.2">
      <c r="B743" s="3"/>
      <c r="C743" s="46"/>
      <c r="D743" s="44"/>
      <c r="E743" s="44"/>
      <c r="F743" s="44"/>
      <c r="G743" s="39"/>
      <c r="H743" s="41"/>
      <c r="I743" s="41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7"/>
      <c r="W743" s="7"/>
    </row>
    <row r="744" spans="2:34" ht="18" customHeight="1" x14ac:dyDescent="0.2">
      <c r="B744" s="903" t="s">
        <v>555</v>
      </c>
      <c r="C744" s="904"/>
      <c r="D744" s="904"/>
      <c r="E744" s="904"/>
      <c r="F744" s="904"/>
      <c r="G744" s="904"/>
      <c r="H744" s="904"/>
      <c r="I744" s="904"/>
      <c r="J744" s="904"/>
      <c r="K744" s="904"/>
      <c r="L744" s="904"/>
      <c r="M744" s="904"/>
      <c r="N744" s="904"/>
      <c r="O744" s="904"/>
      <c r="P744" s="904"/>
      <c r="Q744" s="904"/>
      <c r="R744" s="904"/>
      <c r="S744" s="904"/>
      <c r="T744" s="904"/>
      <c r="U744" s="904"/>
      <c r="V744" s="904"/>
      <c r="W744" s="905"/>
    </row>
    <row r="745" spans="2:34" ht="12.6" customHeight="1" x14ac:dyDescent="0.2">
      <c r="B745" s="26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</row>
    <row r="746" spans="2:34" ht="15.75" customHeight="1" x14ac:dyDescent="0.2">
      <c r="B746" s="901" t="s">
        <v>310</v>
      </c>
      <c r="C746" s="902"/>
      <c r="D746" s="902"/>
      <c r="E746" s="902"/>
      <c r="F746" s="902"/>
      <c r="G746" s="902"/>
      <c r="H746" s="902"/>
      <c r="I746" s="902"/>
      <c r="J746" s="902"/>
      <c r="K746" s="902"/>
      <c r="L746" s="902"/>
      <c r="M746" s="902"/>
      <c r="N746" s="902"/>
      <c r="O746" s="902"/>
      <c r="P746" s="902"/>
      <c r="Q746" s="902"/>
      <c r="R746" s="902"/>
      <c r="S746" s="902"/>
      <c r="T746" s="902"/>
      <c r="U746" s="902"/>
      <c r="V746" s="902"/>
      <c r="W746" s="902"/>
    </row>
    <row r="747" spans="2:34" ht="15.75" customHeight="1" x14ac:dyDescent="0.2">
      <c r="B747" s="901" t="s">
        <v>311</v>
      </c>
      <c r="C747" s="902"/>
      <c r="D747" s="902"/>
      <c r="E747" s="902"/>
      <c r="F747" s="902"/>
      <c r="G747" s="902"/>
      <c r="H747" s="902"/>
      <c r="I747" s="902"/>
      <c r="J747" s="902"/>
      <c r="K747" s="902"/>
      <c r="L747" s="902"/>
      <c r="M747" s="902"/>
      <c r="N747" s="902"/>
      <c r="O747" s="902"/>
      <c r="P747" s="902"/>
      <c r="Q747" s="902"/>
      <c r="R747" s="902"/>
      <c r="S747" s="902"/>
      <c r="T747" s="902"/>
      <c r="U747" s="902"/>
      <c r="V747" s="902"/>
      <c r="W747" s="902"/>
      <c r="AF747" s="760"/>
      <c r="AG747" s="761"/>
      <c r="AH747" s="761"/>
    </row>
    <row r="748" spans="2:34" ht="15.75" customHeight="1" x14ac:dyDescent="0.2">
      <c r="B748" s="901" t="s">
        <v>312</v>
      </c>
      <c r="C748" s="902"/>
      <c r="D748" s="902"/>
      <c r="E748" s="902"/>
      <c r="F748" s="902"/>
      <c r="G748" s="902"/>
      <c r="H748" s="902"/>
      <c r="I748" s="902"/>
      <c r="J748" s="902"/>
      <c r="K748" s="902"/>
      <c r="L748" s="902"/>
      <c r="M748" s="902"/>
      <c r="N748" s="902"/>
      <c r="O748" s="902"/>
      <c r="P748" s="902"/>
      <c r="Q748" s="902"/>
      <c r="R748" s="902"/>
      <c r="S748" s="902"/>
      <c r="T748" s="902"/>
      <c r="U748" s="902"/>
      <c r="V748" s="902"/>
      <c r="W748" s="902"/>
    </row>
    <row r="749" spans="2:34" ht="12.6" customHeight="1" x14ac:dyDescent="0.2">
      <c r="B749" s="11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</row>
    <row r="750" spans="2:34" ht="18" customHeight="1" thickBot="1" x14ac:dyDescent="0.25">
      <c r="B750" s="935" t="s">
        <v>313</v>
      </c>
      <c r="C750" s="936"/>
      <c r="D750" s="936"/>
      <c r="E750" s="936"/>
      <c r="F750" s="936"/>
      <c r="G750" s="936"/>
      <c r="H750" s="936"/>
      <c r="I750" s="936"/>
      <c r="J750" s="936"/>
      <c r="K750" s="936"/>
      <c r="L750" s="936"/>
      <c r="M750" s="936"/>
      <c r="N750" s="936"/>
      <c r="O750" s="936"/>
      <c r="P750" s="936"/>
      <c r="Q750" s="936"/>
      <c r="R750" s="936"/>
      <c r="S750" s="936"/>
      <c r="T750" s="936"/>
      <c r="U750" s="936"/>
      <c r="V750" s="936"/>
      <c r="W750" s="937"/>
    </row>
    <row r="751" spans="2:34" x14ac:dyDescent="0.2">
      <c r="B751" s="924" t="s">
        <v>977</v>
      </c>
      <c r="C751" s="925"/>
      <c r="D751" s="925"/>
      <c r="E751" s="925"/>
      <c r="F751" s="925"/>
      <c r="G751" s="925"/>
      <c r="H751" s="925"/>
      <c r="I751" s="925"/>
      <c r="J751" s="925"/>
      <c r="K751" s="925"/>
      <c r="L751" s="925"/>
      <c r="M751" s="925"/>
      <c r="N751" s="926"/>
      <c r="O751" s="926"/>
      <c r="P751" s="926"/>
      <c r="Q751" s="926"/>
      <c r="R751" s="926"/>
      <c r="S751" s="926"/>
      <c r="T751" s="926"/>
      <c r="U751" s="926"/>
      <c r="V751" s="926"/>
      <c r="W751" s="927"/>
    </row>
    <row r="752" spans="2:34" ht="12.75" customHeight="1" x14ac:dyDescent="0.2">
      <c r="B752" s="928"/>
      <c r="C752" s="925"/>
      <c r="D752" s="925"/>
      <c r="E752" s="925"/>
      <c r="F752" s="925"/>
      <c r="G752" s="925"/>
      <c r="H752" s="925"/>
      <c r="I752" s="925"/>
      <c r="J752" s="925"/>
      <c r="K752" s="925"/>
      <c r="L752" s="925"/>
      <c r="M752" s="925"/>
      <c r="N752" s="926"/>
      <c r="O752" s="926"/>
      <c r="P752" s="926"/>
      <c r="Q752" s="926"/>
      <c r="R752" s="926"/>
      <c r="S752" s="926"/>
      <c r="T752" s="926"/>
      <c r="U752" s="926"/>
      <c r="V752" s="926"/>
      <c r="W752" s="927"/>
    </row>
    <row r="753" spans="2:24" x14ac:dyDescent="0.2">
      <c r="B753" s="928"/>
      <c r="C753" s="925"/>
      <c r="D753" s="925"/>
      <c r="E753" s="925"/>
      <c r="F753" s="925"/>
      <c r="G753" s="925"/>
      <c r="H753" s="925"/>
      <c r="I753" s="925"/>
      <c r="J753" s="925"/>
      <c r="K753" s="925"/>
      <c r="L753" s="925"/>
      <c r="M753" s="925"/>
      <c r="N753" s="926"/>
      <c r="O753" s="926"/>
      <c r="P753" s="926"/>
      <c r="Q753" s="926"/>
      <c r="R753" s="926"/>
      <c r="S753" s="926"/>
      <c r="T753" s="926"/>
      <c r="U753" s="926"/>
      <c r="V753" s="926"/>
      <c r="W753" s="927"/>
    </row>
    <row r="754" spans="2:24" x14ac:dyDescent="0.2">
      <c r="B754" s="929"/>
      <c r="C754" s="930"/>
      <c r="D754" s="930"/>
      <c r="E754" s="930"/>
      <c r="F754" s="930"/>
      <c r="G754" s="930"/>
      <c r="H754" s="930"/>
      <c r="I754" s="930"/>
      <c r="J754" s="930"/>
      <c r="K754" s="930"/>
      <c r="L754" s="930"/>
      <c r="M754" s="930"/>
      <c r="N754" s="931"/>
      <c r="O754" s="931"/>
      <c r="P754" s="931"/>
      <c r="Q754" s="931"/>
      <c r="R754" s="931"/>
      <c r="S754" s="931"/>
      <c r="T754" s="931"/>
      <c r="U754" s="931"/>
      <c r="V754" s="931"/>
      <c r="W754" s="932"/>
    </row>
    <row r="755" spans="2:24" ht="12.6" customHeight="1" x14ac:dyDescent="0.2">
      <c r="B755" s="206"/>
      <c r="C755" s="206"/>
      <c r="D755" s="206"/>
      <c r="E755" s="206"/>
      <c r="F755" s="206"/>
      <c r="G755" s="206"/>
      <c r="H755" s="206"/>
      <c r="I755" s="206"/>
      <c r="J755" s="206"/>
      <c r="K755" s="206"/>
      <c r="L755" s="206"/>
      <c r="M755" s="207"/>
      <c r="N755" s="61"/>
      <c r="O755" s="61"/>
      <c r="P755" s="61"/>
      <c r="Q755" s="61"/>
      <c r="R755" s="61"/>
      <c r="S755" s="61"/>
      <c r="T755" s="61"/>
      <c r="U755" s="61"/>
      <c r="V755" s="61"/>
      <c r="W755" s="61"/>
    </row>
    <row r="756" spans="2:24" x14ac:dyDescent="0.2">
      <c r="B756" s="933" t="s">
        <v>314</v>
      </c>
      <c r="C756" s="934"/>
      <c r="D756" s="934"/>
      <c r="E756" s="934"/>
      <c r="F756" s="934"/>
      <c r="G756" s="934"/>
      <c r="H756" s="934"/>
      <c r="I756" s="934"/>
      <c r="J756" s="934"/>
      <c r="K756" s="934"/>
      <c r="L756" s="934"/>
      <c r="M756" s="934"/>
      <c r="N756" s="934"/>
      <c r="O756" s="934"/>
      <c r="P756" s="934"/>
      <c r="Q756" s="934"/>
      <c r="R756" s="934"/>
      <c r="S756" s="934"/>
      <c r="T756" s="934"/>
      <c r="U756" s="934"/>
      <c r="V756" s="934"/>
      <c r="W756" s="934"/>
    </row>
    <row r="757" spans="2:24" x14ac:dyDescent="0.2">
      <c r="B757" s="934"/>
      <c r="C757" s="934"/>
      <c r="D757" s="934"/>
      <c r="E757" s="934"/>
      <c r="F757" s="934"/>
      <c r="G757" s="934"/>
      <c r="H757" s="934"/>
      <c r="I757" s="934"/>
      <c r="J757" s="934"/>
      <c r="K757" s="934"/>
      <c r="L757" s="934"/>
      <c r="M757" s="934"/>
      <c r="N757" s="934"/>
      <c r="O757" s="934"/>
      <c r="P757" s="934"/>
      <c r="Q757" s="934"/>
      <c r="R757" s="934"/>
      <c r="S757" s="934"/>
      <c r="T757" s="934"/>
      <c r="U757" s="934"/>
      <c r="V757" s="934"/>
      <c r="W757" s="934"/>
    </row>
    <row r="758" spans="2:24" x14ac:dyDescent="0.2">
      <c r="B758" s="923" t="s">
        <v>315</v>
      </c>
      <c r="C758" s="902"/>
      <c r="D758" s="902"/>
      <c r="E758" s="902"/>
      <c r="F758" s="902"/>
      <c r="G758" s="902"/>
      <c r="H758" s="902"/>
      <c r="I758" s="902"/>
      <c r="J758" s="902"/>
      <c r="K758" s="902"/>
      <c r="L758" s="902"/>
      <c r="M758" s="902"/>
      <c r="N758" s="902"/>
      <c r="O758" s="902"/>
      <c r="P758" s="902"/>
      <c r="Q758" s="902"/>
      <c r="R758" s="902"/>
      <c r="S758" s="902"/>
      <c r="T758" s="902"/>
      <c r="U758" s="902"/>
      <c r="V758" s="902"/>
      <c r="W758" s="902"/>
    </row>
    <row r="759" spans="2:24" ht="14.25" customHeight="1" x14ac:dyDescent="0.2">
      <c r="B759" s="525"/>
      <c r="C759" s="524"/>
      <c r="D759" s="524"/>
      <c r="E759" s="524"/>
      <c r="F759" s="524"/>
      <c r="G759" s="524"/>
      <c r="H759" s="524"/>
      <c r="I759" s="524"/>
      <c r="J759" s="524"/>
      <c r="K759" s="524"/>
      <c r="L759" s="524"/>
      <c r="M759" s="524"/>
      <c r="N759" s="524"/>
      <c r="O759" s="524"/>
      <c r="P759" s="524"/>
      <c r="Q759" s="524"/>
      <c r="R759" s="524"/>
      <c r="S759" s="524"/>
      <c r="T759" s="524"/>
      <c r="U759" s="524"/>
      <c r="V759" s="524"/>
      <c r="W759" s="524"/>
    </row>
    <row r="760" spans="2:24" ht="16.5" customHeight="1" x14ac:dyDescent="0.2">
      <c r="B760" s="922" t="s">
        <v>983</v>
      </c>
      <c r="C760" s="693"/>
      <c r="D760" s="693"/>
      <c r="E760" s="693"/>
      <c r="F760" s="693"/>
      <c r="G760" s="693"/>
      <c r="H760" s="693"/>
      <c r="I760" s="693"/>
      <c r="J760" s="693"/>
      <c r="K760" s="693"/>
      <c r="L760" s="693"/>
      <c r="M760" s="693"/>
      <c r="N760" s="693"/>
      <c r="O760" s="693"/>
      <c r="P760" s="693"/>
      <c r="Q760" s="693"/>
      <c r="R760" s="693"/>
      <c r="S760" s="693"/>
      <c r="T760" s="693"/>
      <c r="U760" s="693"/>
      <c r="V760" s="693"/>
      <c r="W760" s="693"/>
    </row>
    <row r="761" spans="2:24" ht="11.25" customHeight="1" x14ac:dyDescent="0.2">
      <c r="B761" s="230"/>
      <c r="C761" s="230"/>
      <c r="D761" s="230"/>
      <c r="E761" s="230"/>
      <c r="F761" s="230"/>
      <c r="G761" s="230"/>
      <c r="H761" s="230"/>
      <c r="I761" s="230"/>
      <c r="J761" s="230"/>
      <c r="K761" s="230"/>
      <c r="L761" s="230"/>
      <c r="M761" s="230"/>
      <c r="N761" s="230"/>
      <c r="O761" s="230"/>
      <c r="P761" s="230"/>
      <c r="Q761" s="230"/>
      <c r="R761" s="230"/>
      <c r="S761" s="230"/>
      <c r="T761" s="230"/>
      <c r="U761" s="230"/>
      <c r="V761" s="230"/>
      <c r="W761" s="230"/>
      <c r="X761" s="64"/>
    </row>
    <row r="762" spans="2:24" ht="8.25" customHeight="1" x14ac:dyDescent="0.2">
      <c r="B762" s="906" t="s">
        <v>976</v>
      </c>
      <c r="C762" s="907"/>
      <c r="D762" s="907"/>
      <c r="E762" s="907"/>
      <c r="F762" s="907"/>
      <c r="G762" s="907"/>
      <c r="H762" s="907"/>
      <c r="I762" s="907"/>
      <c r="J762" s="907"/>
      <c r="K762" s="908"/>
      <c r="L762" s="908"/>
      <c r="M762" s="908"/>
      <c r="N762" s="908"/>
      <c r="O762" s="908"/>
      <c r="P762" s="908"/>
      <c r="Q762" s="908"/>
      <c r="R762" s="908"/>
      <c r="S762" s="908"/>
      <c r="T762" s="908"/>
      <c r="U762" s="908"/>
      <c r="V762" s="908"/>
      <c r="W762" s="909"/>
    </row>
    <row r="763" spans="2:24" ht="12.75" customHeight="1" x14ac:dyDescent="0.2">
      <c r="B763" s="910"/>
      <c r="C763" s="911"/>
      <c r="D763" s="911"/>
      <c r="E763" s="911"/>
      <c r="F763" s="911"/>
      <c r="G763" s="911"/>
      <c r="H763" s="911"/>
      <c r="I763" s="911"/>
      <c r="J763" s="911"/>
      <c r="K763" s="912"/>
      <c r="L763" s="912"/>
      <c r="M763" s="912"/>
      <c r="N763" s="912"/>
      <c r="O763" s="912"/>
      <c r="P763" s="912"/>
      <c r="Q763" s="912"/>
      <c r="R763" s="912"/>
      <c r="S763" s="912"/>
      <c r="T763" s="912"/>
      <c r="U763" s="912"/>
      <c r="V763" s="912"/>
      <c r="W763" s="913"/>
    </row>
    <row r="764" spans="2:24" x14ac:dyDescent="0.2">
      <c r="B764" s="914"/>
      <c r="C764" s="915"/>
      <c r="D764" s="915"/>
      <c r="E764" s="915"/>
      <c r="F764" s="915"/>
      <c r="G764" s="915"/>
      <c r="H764" s="915"/>
      <c r="I764" s="915"/>
      <c r="J764" s="915"/>
      <c r="K764" s="912"/>
      <c r="L764" s="912"/>
      <c r="M764" s="912"/>
      <c r="N764" s="912"/>
      <c r="O764" s="912"/>
      <c r="P764" s="912"/>
      <c r="Q764" s="912"/>
      <c r="R764" s="912"/>
      <c r="S764" s="912"/>
      <c r="T764" s="912"/>
      <c r="U764" s="912"/>
      <c r="V764" s="912"/>
      <c r="W764" s="913"/>
    </row>
    <row r="765" spans="2:24" x14ac:dyDescent="0.2">
      <c r="B765" s="914"/>
      <c r="C765" s="915"/>
      <c r="D765" s="915"/>
      <c r="E765" s="915"/>
      <c r="F765" s="915"/>
      <c r="G765" s="915"/>
      <c r="H765" s="915"/>
      <c r="I765" s="915"/>
      <c r="J765" s="915"/>
      <c r="K765" s="912"/>
      <c r="L765" s="912"/>
      <c r="M765" s="912"/>
      <c r="N765" s="912"/>
      <c r="O765" s="912"/>
      <c r="P765" s="912"/>
      <c r="Q765" s="912"/>
      <c r="R765" s="912"/>
      <c r="S765" s="912"/>
      <c r="T765" s="912"/>
      <c r="U765" s="912"/>
      <c r="V765" s="912"/>
      <c r="W765" s="913"/>
    </row>
    <row r="766" spans="2:24" x14ac:dyDescent="0.2">
      <c r="B766" s="914"/>
      <c r="C766" s="915"/>
      <c r="D766" s="915"/>
      <c r="E766" s="915"/>
      <c r="F766" s="915"/>
      <c r="G766" s="915"/>
      <c r="H766" s="915"/>
      <c r="I766" s="915"/>
      <c r="J766" s="915"/>
      <c r="K766" s="912"/>
      <c r="L766" s="912"/>
      <c r="M766" s="912"/>
      <c r="N766" s="912"/>
      <c r="O766" s="912"/>
      <c r="P766" s="912"/>
      <c r="Q766" s="912"/>
      <c r="R766" s="912"/>
      <c r="S766" s="912"/>
      <c r="T766" s="912"/>
      <c r="U766" s="912"/>
      <c r="V766" s="912"/>
      <c r="W766" s="913"/>
    </row>
    <row r="767" spans="2:24" x14ac:dyDescent="0.2">
      <c r="B767" s="914"/>
      <c r="C767" s="915"/>
      <c r="D767" s="915"/>
      <c r="E767" s="915"/>
      <c r="F767" s="915"/>
      <c r="G767" s="915"/>
      <c r="H767" s="915"/>
      <c r="I767" s="915"/>
      <c r="J767" s="915"/>
      <c r="K767" s="912"/>
      <c r="L767" s="912"/>
      <c r="M767" s="912"/>
      <c r="N767" s="912"/>
      <c r="O767" s="912"/>
      <c r="P767" s="912"/>
      <c r="Q767" s="912"/>
      <c r="R767" s="912"/>
      <c r="S767" s="912"/>
      <c r="T767" s="912"/>
      <c r="U767" s="912"/>
      <c r="V767" s="912"/>
      <c r="W767" s="913"/>
    </row>
    <row r="768" spans="2:24" x14ac:dyDescent="0.2">
      <c r="B768" s="916"/>
      <c r="C768" s="917"/>
      <c r="D768" s="917"/>
      <c r="E768" s="917"/>
      <c r="F768" s="917"/>
      <c r="G768" s="917"/>
      <c r="H768" s="917"/>
      <c r="I768" s="917"/>
      <c r="J768" s="917"/>
      <c r="K768" s="917"/>
      <c r="L768" s="917"/>
      <c r="M768" s="917"/>
      <c r="N768" s="917"/>
      <c r="O768" s="917"/>
      <c r="P768" s="917"/>
      <c r="Q768" s="917"/>
      <c r="R768" s="917"/>
      <c r="S768" s="917"/>
      <c r="T768" s="917"/>
      <c r="U768" s="917"/>
      <c r="V768" s="917"/>
      <c r="W768" s="918"/>
    </row>
    <row r="769" spans="2:23" ht="15" customHeight="1" x14ac:dyDescent="0.2">
      <c r="B769" s="919"/>
      <c r="C769" s="920"/>
      <c r="D769" s="920"/>
      <c r="E769" s="920"/>
      <c r="F769" s="920"/>
      <c r="G769" s="920"/>
      <c r="H769" s="920"/>
      <c r="I769" s="920"/>
      <c r="J769" s="920"/>
      <c r="K769" s="920"/>
      <c r="L769" s="920"/>
      <c r="M769" s="920"/>
      <c r="N769" s="920"/>
      <c r="O769" s="920"/>
      <c r="P769" s="920"/>
      <c r="Q769" s="920"/>
      <c r="R769" s="920"/>
      <c r="S769" s="920"/>
      <c r="T769" s="920"/>
      <c r="U769" s="920"/>
      <c r="V769" s="920"/>
      <c r="W769" s="921"/>
    </row>
    <row r="770" spans="2:23" ht="12.6" customHeight="1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7"/>
      <c r="W770" s="7"/>
    </row>
    <row r="771" spans="2:23" ht="18.75" customHeight="1" x14ac:dyDescent="0.2">
      <c r="B771" s="898" t="s">
        <v>316</v>
      </c>
      <c r="C771" s="899"/>
      <c r="D771" s="899"/>
      <c r="E771" s="899"/>
      <c r="F771" s="899"/>
      <c r="G771" s="899"/>
      <c r="H771" s="899"/>
      <c r="I771" s="899"/>
      <c r="J771" s="899"/>
      <c r="K771" s="899"/>
      <c r="L771" s="899"/>
      <c r="M771" s="899"/>
      <c r="N771" s="899"/>
      <c r="O771" s="899"/>
      <c r="P771" s="899"/>
      <c r="Q771" s="899"/>
      <c r="R771" s="899"/>
      <c r="S771" s="899"/>
      <c r="T771" s="899"/>
      <c r="U771" s="899"/>
      <c r="V771" s="899"/>
      <c r="W771" s="900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23" ht="12.75" customHeight="1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"/>
      <c r="W800" s="7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B1178" s="3"/>
      <c r="C1178" s="3"/>
      <c r="D1178" s="3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7"/>
      <c r="W1178" s="7"/>
    </row>
    <row r="1179" spans="2:23" x14ac:dyDescent="0.2">
      <c r="B1179" s="3"/>
      <c r="C1179" s="3"/>
      <c r="D1179" s="3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7"/>
      <c r="W1179" s="7"/>
    </row>
    <row r="1180" spans="2:23" x14ac:dyDescent="0.2">
      <c r="B1180" s="3"/>
      <c r="C1180" s="3"/>
      <c r="D1180" s="3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7"/>
      <c r="W1180" s="7"/>
    </row>
    <row r="1181" spans="2:23" x14ac:dyDescent="0.2">
      <c r="B1181" s="3"/>
      <c r="C1181" s="3"/>
      <c r="D1181" s="3"/>
      <c r="E1181" s="4"/>
      <c r="F1181" s="4"/>
      <c r="G1181" s="4"/>
      <c r="H1181" s="4"/>
      <c r="I1181" s="4"/>
      <c r="J1181" s="4"/>
      <c r="K1181" s="4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7"/>
      <c r="W1181" s="7"/>
    </row>
    <row r="1182" spans="2:23" x14ac:dyDescent="0.2">
      <c r="E1182" s="1"/>
      <c r="F1182" s="1"/>
      <c r="H1182" s="1"/>
      <c r="I1182" s="1"/>
      <c r="J1182" s="1"/>
      <c r="K1182" s="1"/>
    </row>
    <row r="1183" spans="2:23" x14ac:dyDescent="0.2">
      <c r="E1183" s="1"/>
      <c r="F1183" s="1"/>
      <c r="H1183" s="1"/>
      <c r="I1183" s="1"/>
      <c r="J1183" s="1"/>
      <c r="K1183" s="1"/>
    </row>
    <row r="1184" spans="2:23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  <row r="1593" spans="5:11" x14ac:dyDescent="0.2">
      <c r="E1593" s="1"/>
      <c r="F1593" s="1"/>
      <c r="H1593" s="1"/>
      <c r="I1593" s="1"/>
      <c r="J1593" s="1"/>
      <c r="K1593" s="1"/>
    </row>
    <row r="1594" spans="5:11" x14ac:dyDescent="0.2">
      <c r="E1594" s="1"/>
      <c r="F1594" s="1"/>
      <c r="H1594" s="1"/>
      <c r="I1594" s="1"/>
      <c r="J1594" s="1"/>
      <c r="K1594" s="1"/>
    </row>
    <row r="1595" spans="5:11" x14ac:dyDescent="0.2">
      <c r="E1595" s="1"/>
      <c r="F1595" s="1"/>
      <c r="H1595" s="1"/>
      <c r="I1595" s="1"/>
      <c r="J1595" s="1"/>
      <c r="K1595" s="1"/>
    </row>
    <row r="1596" spans="5:11" x14ac:dyDescent="0.2">
      <c r="E1596" s="1"/>
      <c r="F1596" s="1"/>
      <c r="H1596" s="1"/>
      <c r="I1596" s="1"/>
      <c r="J1596" s="1"/>
      <c r="K1596" s="1"/>
    </row>
  </sheetData>
  <mergeCells count="1148">
    <mergeCell ref="G113:M113"/>
    <mergeCell ref="X113:AA113"/>
    <mergeCell ref="AF30:AJ30"/>
    <mergeCell ref="X352:AA352"/>
    <mergeCell ref="B319:B320"/>
    <mergeCell ref="X351:AA351"/>
    <mergeCell ref="B248:E248"/>
    <mergeCell ref="H319:W319"/>
    <mergeCell ref="B185:E185"/>
    <mergeCell ref="I185:M188"/>
    <mergeCell ref="X167:AA167"/>
    <mergeCell ref="X251:AA251"/>
    <mergeCell ref="B256:E256"/>
    <mergeCell ref="B205:E205"/>
    <mergeCell ref="AF399:AH399"/>
    <mergeCell ref="AB399:AB400"/>
    <mergeCell ref="AF319:AH319"/>
    <mergeCell ref="AF239:AH239"/>
    <mergeCell ref="AB319:AB320"/>
    <mergeCell ref="X319:AA320"/>
    <mergeCell ref="X308:AA308"/>
    <mergeCell ref="B364:E364"/>
    <mergeCell ref="B271:E271"/>
    <mergeCell ref="B263:E263"/>
    <mergeCell ref="X263:AA263"/>
    <mergeCell ref="B187:E187"/>
    <mergeCell ref="B193:E193"/>
    <mergeCell ref="B183:E183"/>
    <mergeCell ref="B247:E247"/>
    <mergeCell ref="B216:E216"/>
    <mergeCell ref="X243:AA243"/>
    <mergeCell ref="X182:AA182"/>
    <mergeCell ref="AF479:AH479"/>
    <mergeCell ref="AF559:AH559"/>
    <mergeCell ref="B560:B561"/>
    <mergeCell ref="C560:E561"/>
    <mergeCell ref="F560:F561"/>
    <mergeCell ref="G560:G561"/>
    <mergeCell ref="H560:W560"/>
    <mergeCell ref="X560:AA561"/>
    <mergeCell ref="AB560:AB561"/>
    <mergeCell ref="AF560:AH560"/>
    <mergeCell ref="X479:AA480"/>
    <mergeCell ref="B601:E601"/>
    <mergeCell ref="B619:E619"/>
    <mergeCell ref="B545:E545"/>
    <mergeCell ref="H479:W479"/>
    <mergeCell ref="AB479:AB480"/>
    <mergeCell ref="G203:S208"/>
    <mergeCell ref="B227:E227"/>
    <mergeCell ref="B402:E402"/>
    <mergeCell ref="B501:E501"/>
    <mergeCell ref="B543:E543"/>
    <mergeCell ref="B628:E628"/>
    <mergeCell ref="C643:E644"/>
    <mergeCell ref="B565:E565"/>
    <mergeCell ref="B508:E508"/>
    <mergeCell ref="B511:E511"/>
    <mergeCell ref="B598:E598"/>
    <mergeCell ref="B613:E613"/>
    <mergeCell ref="B549:E549"/>
    <mergeCell ref="B541:E541"/>
    <mergeCell ref="B542:E542"/>
    <mergeCell ref="X245:AA245"/>
    <mergeCell ref="B244:E244"/>
    <mergeCell ref="X244:AA244"/>
    <mergeCell ref="B198:E198"/>
    <mergeCell ref="B221:E221"/>
    <mergeCell ref="B243:E243"/>
    <mergeCell ref="B592:E592"/>
    <mergeCell ref="B614:E614"/>
    <mergeCell ref="X190:AA190"/>
    <mergeCell ref="B223:E223"/>
    <mergeCell ref="B220:E220"/>
    <mergeCell ref="B174:E174"/>
    <mergeCell ref="X174:AA174"/>
    <mergeCell ref="B264:E264"/>
    <mergeCell ref="X264:AA264"/>
    <mergeCell ref="B232:E232"/>
    <mergeCell ref="B273:E273"/>
    <mergeCell ref="B251:E251"/>
    <mergeCell ref="X270:AA270"/>
    <mergeCell ref="Q228:W228"/>
    <mergeCell ref="B267:E267"/>
    <mergeCell ref="B201:E201"/>
    <mergeCell ref="B226:E226"/>
    <mergeCell ref="G239:G240"/>
    <mergeCell ref="B255:E255"/>
    <mergeCell ref="B206:E206"/>
    <mergeCell ref="B260:E260"/>
    <mergeCell ref="Q229:W229"/>
    <mergeCell ref="X257:AA257"/>
    <mergeCell ref="B268:E268"/>
    <mergeCell ref="B229:E229"/>
    <mergeCell ref="B231:E231"/>
    <mergeCell ref="B261:E261"/>
    <mergeCell ref="B249:E249"/>
    <mergeCell ref="B189:E189"/>
    <mergeCell ref="B188:E188"/>
    <mergeCell ref="X192:AA192"/>
    <mergeCell ref="X272:AA272"/>
    <mergeCell ref="B200:E200"/>
    <mergeCell ref="X183:AA183"/>
    <mergeCell ref="X276:AA276"/>
    <mergeCell ref="B207:E207"/>
    <mergeCell ref="B209:E209"/>
    <mergeCell ref="B257:E257"/>
    <mergeCell ref="B214:E214"/>
    <mergeCell ref="B204:E204"/>
    <mergeCell ref="B274:E274"/>
    <mergeCell ref="B254:E254"/>
    <mergeCell ref="B270:E270"/>
    <mergeCell ref="B265:E265"/>
    <mergeCell ref="Q220:W220"/>
    <mergeCell ref="X258:AA258"/>
    <mergeCell ref="B253:E253"/>
    <mergeCell ref="B224:E224"/>
    <mergeCell ref="B228:E228"/>
    <mergeCell ref="B202:E202"/>
    <mergeCell ref="B213:E213"/>
    <mergeCell ref="B219:E219"/>
    <mergeCell ref="H215:M215"/>
    <mergeCell ref="B230:E230"/>
    <mergeCell ref="B215:E215"/>
    <mergeCell ref="B212:E212"/>
    <mergeCell ref="B234:E234"/>
    <mergeCell ref="B218:E218"/>
    <mergeCell ref="B250:E250"/>
    <mergeCell ref="X250:AA250"/>
    <mergeCell ref="B211:E211"/>
    <mergeCell ref="B210:E210"/>
    <mergeCell ref="B235:E235"/>
    <mergeCell ref="X248:AA248"/>
    <mergeCell ref="B233:E233"/>
    <mergeCell ref="B284:E284"/>
    <mergeCell ref="B276:E276"/>
    <mergeCell ref="X260:AA260"/>
    <mergeCell ref="B245:E245"/>
    <mergeCell ref="X254:AA254"/>
    <mergeCell ref="B258:E258"/>
    <mergeCell ref="X246:AA246"/>
    <mergeCell ref="X259:AA259"/>
    <mergeCell ref="X252:AA252"/>
    <mergeCell ref="X256:AA256"/>
    <mergeCell ref="X255:AA255"/>
    <mergeCell ref="X249:AA249"/>
    <mergeCell ref="B259:E259"/>
    <mergeCell ref="X253:AA253"/>
    <mergeCell ref="X273:AA273"/>
    <mergeCell ref="B269:E269"/>
    <mergeCell ref="B266:E266"/>
    <mergeCell ref="X278:AA278"/>
    <mergeCell ref="X247:AA247"/>
    <mergeCell ref="B252:E252"/>
    <mergeCell ref="B241:E241"/>
    <mergeCell ref="B239:B240"/>
    <mergeCell ref="F238:J238"/>
    <mergeCell ref="B242:E242"/>
    <mergeCell ref="B246:E246"/>
    <mergeCell ref="F239:F240"/>
    <mergeCell ref="C239:E240"/>
    <mergeCell ref="H239:W239"/>
    <mergeCell ref="X242:AA242"/>
    <mergeCell ref="B272:E272"/>
    <mergeCell ref="B134:E134"/>
    <mergeCell ref="B151:E151"/>
    <mergeCell ref="X125:AA125"/>
    <mergeCell ref="X134:AA134"/>
    <mergeCell ref="B153:E153"/>
    <mergeCell ref="B131:E131"/>
    <mergeCell ref="X131:AA131"/>
    <mergeCell ref="X121:AA121"/>
    <mergeCell ref="AF159:AH159"/>
    <mergeCell ref="B203:E203"/>
    <mergeCell ref="G125:K125"/>
    <mergeCell ref="X191:AA191"/>
    <mergeCell ref="X147:AA147"/>
    <mergeCell ref="B148:E148"/>
    <mergeCell ref="B163:E163"/>
    <mergeCell ref="B195:E195"/>
    <mergeCell ref="B171:E171"/>
    <mergeCell ref="X171:AA171"/>
    <mergeCell ref="B178:E178"/>
    <mergeCell ref="X178:AA178"/>
    <mergeCell ref="B176:E176"/>
    <mergeCell ref="X146:AA146"/>
    <mergeCell ref="B191:E191"/>
    <mergeCell ref="B169:E169"/>
    <mergeCell ref="X169:AA169"/>
    <mergeCell ref="B166:E166"/>
    <mergeCell ref="B167:E167"/>
    <mergeCell ref="B162:E162"/>
    <mergeCell ref="B164:E164"/>
    <mergeCell ref="B136:E136"/>
    <mergeCell ref="B139:E139"/>
    <mergeCell ref="B184:E184"/>
    <mergeCell ref="AB239:AB240"/>
    <mergeCell ref="B677:E677"/>
    <mergeCell ref="AB159:AB160"/>
    <mergeCell ref="B155:E155"/>
    <mergeCell ref="B141:E141"/>
    <mergeCell ref="B161:E161"/>
    <mergeCell ref="B225:E225"/>
    <mergeCell ref="B132:E132"/>
    <mergeCell ref="B49:E49"/>
    <mergeCell ref="X49:AA49"/>
    <mergeCell ref="B92:E92"/>
    <mergeCell ref="H49:K49"/>
    <mergeCell ref="X48:AA48"/>
    <mergeCell ref="B73:E73"/>
    <mergeCell ref="X70:AA70"/>
    <mergeCell ref="B120:E120"/>
    <mergeCell ref="B89:E89"/>
    <mergeCell ref="X73:AA73"/>
    <mergeCell ref="X124:AA124"/>
    <mergeCell ref="B133:E133"/>
    <mergeCell ref="G126:K126"/>
    <mergeCell ref="X148:AA148"/>
    <mergeCell ref="H48:K48"/>
    <mergeCell ref="B59:E59"/>
    <mergeCell ref="B63:E63"/>
    <mergeCell ref="B146:E146"/>
    <mergeCell ref="B152:E152"/>
    <mergeCell ref="B65:E65"/>
    <mergeCell ref="F81:I91"/>
    <mergeCell ref="B114:E114"/>
    <mergeCell ref="B85:E85"/>
    <mergeCell ref="G116:K116"/>
    <mergeCell ref="AF79:AH79"/>
    <mergeCell ref="B32:E32"/>
    <mergeCell ref="H31:K31"/>
    <mergeCell ref="H79:W79"/>
    <mergeCell ref="G120:K120"/>
    <mergeCell ref="B103:E103"/>
    <mergeCell ref="B149:E149"/>
    <mergeCell ref="B130:E130"/>
    <mergeCell ref="B140:E140"/>
    <mergeCell ref="I71:K71"/>
    <mergeCell ref="B54:E54"/>
    <mergeCell ref="X69:AA69"/>
    <mergeCell ref="X117:AA117"/>
    <mergeCell ref="B116:E116"/>
    <mergeCell ref="B55:E55"/>
    <mergeCell ref="I70:M70"/>
    <mergeCell ref="B87:E87"/>
    <mergeCell ref="X84:Z84"/>
    <mergeCell ref="B50:E50"/>
    <mergeCell ref="B52:E52"/>
    <mergeCell ref="B70:E70"/>
    <mergeCell ref="B105:E105"/>
    <mergeCell ref="AC141:AF141"/>
    <mergeCell ref="G123:K123"/>
    <mergeCell ref="X136:AA136"/>
    <mergeCell ref="X138:AA138"/>
    <mergeCell ref="B137:E137"/>
    <mergeCell ref="X132:AA132"/>
    <mergeCell ref="B42:E42"/>
    <mergeCell ref="H39:K39"/>
    <mergeCell ref="X43:AA43"/>
    <mergeCell ref="X38:AA38"/>
    <mergeCell ref="B45:E45"/>
    <mergeCell ref="B48:E48"/>
    <mergeCell ref="B128:E128"/>
    <mergeCell ref="B127:E127"/>
    <mergeCell ref="X109:AA109"/>
    <mergeCell ref="X122:AA122"/>
    <mergeCell ref="B123:E123"/>
    <mergeCell ref="B107:E107"/>
    <mergeCell ref="G121:K121"/>
    <mergeCell ref="G117:K117"/>
    <mergeCell ref="G124:K124"/>
    <mergeCell ref="G119:K119"/>
    <mergeCell ref="X31:AA31"/>
    <mergeCell ref="X45:AA45"/>
    <mergeCell ref="B36:E36"/>
    <mergeCell ref="H38:K38"/>
    <mergeCell ref="H36:K36"/>
    <mergeCell ref="B37:E37"/>
    <mergeCell ref="H33:K33"/>
    <mergeCell ref="H35:K35"/>
    <mergeCell ref="B31:E31"/>
    <mergeCell ref="B47:E47"/>
    <mergeCell ref="H47:K47"/>
    <mergeCell ref="X47:AA47"/>
    <mergeCell ref="B64:E64"/>
    <mergeCell ref="B118:E118"/>
    <mergeCell ref="B69:E69"/>
    <mergeCell ref="X87:Z87"/>
    <mergeCell ref="B102:E102"/>
    <mergeCell ref="B62:E62"/>
    <mergeCell ref="B79:B80"/>
    <mergeCell ref="B88:E88"/>
    <mergeCell ref="B23:E23"/>
    <mergeCell ref="AF29:AJ29"/>
    <mergeCell ref="AF27:AJ27"/>
    <mergeCell ref="AF26:AI26"/>
    <mergeCell ref="AF23:AI23"/>
    <mergeCell ref="B39:E39"/>
    <mergeCell ref="B95:E95"/>
    <mergeCell ref="B28:E28"/>
    <mergeCell ref="B38:E38"/>
    <mergeCell ref="B41:E41"/>
    <mergeCell ref="B46:E46"/>
    <mergeCell ref="H30:K30"/>
    <mergeCell ref="B43:E43"/>
    <mergeCell ref="X42:AA42"/>
    <mergeCell ref="H40:K40"/>
    <mergeCell ref="B44:E44"/>
    <mergeCell ref="H44:K44"/>
    <mergeCell ref="X40:AA40"/>
    <mergeCell ref="H32:K32"/>
    <mergeCell ref="AF24:AI24"/>
    <mergeCell ref="H43:K43"/>
    <mergeCell ref="AB79:AB80"/>
    <mergeCell ref="B60:E60"/>
    <mergeCell ref="B51:E51"/>
    <mergeCell ref="B57:E57"/>
    <mergeCell ref="AF28:AJ28"/>
    <mergeCell ref="H45:K45"/>
    <mergeCell ref="H41:K41"/>
    <mergeCell ref="X25:AA25"/>
    <mergeCell ref="B66:E66"/>
    <mergeCell ref="B61:E61"/>
    <mergeCell ref="B67:E67"/>
    <mergeCell ref="B12:E12"/>
    <mergeCell ref="B20:E20"/>
    <mergeCell ref="AF15:AI15"/>
    <mergeCell ref="AF19:AI19"/>
    <mergeCell ref="AF20:AJ20"/>
    <mergeCell ref="B14:E14"/>
    <mergeCell ref="B25:E25"/>
    <mergeCell ref="G8:G9"/>
    <mergeCell ref="X35:AA35"/>
    <mergeCell ref="X18:AA18"/>
    <mergeCell ref="B21:E21"/>
    <mergeCell ref="AF22:AI22"/>
    <mergeCell ref="AF21:AI21"/>
    <mergeCell ref="AF25:AJ25"/>
    <mergeCell ref="B27:E27"/>
    <mergeCell ref="B26:E26"/>
    <mergeCell ref="AF17:AJ17"/>
    <mergeCell ref="B18:E18"/>
    <mergeCell ref="AF16:AI16"/>
    <mergeCell ref="AF18:AJ18"/>
    <mergeCell ref="AF13:AH13"/>
    <mergeCell ref="B19:E19"/>
    <mergeCell ref="B16:E16"/>
    <mergeCell ref="B17:E17"/>
    <mergeCell ref="X19:AA19"/>
    <mergeCell ref="X20:AA20"/>
    <mergeCell ref="B35:E35"/>
    <mergeCell ref="B29:E29"/>
    <mergeCell ref="B33:E33"/>
    <mergeCell ref="H34:K34"/>
    <mergeCell ref="X16:AA16"/>
    <mergeCell ref="Q16:W16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X14:AA14"/>
    <mergeCell ref="B7:W7"/>
    <mergeCell ref="AE5:AI7"/>
    <mergeCell ref="AF10:AH10"/>
    <mergeCell ref="B10:E10"/>
    <mergeCell ref="B11:E11"/>
    <mergeCell ref="AB8:AB9"/>
    <mergeCell ref="C8:E9"/>
    <mergeCell ref="B22:E22"/>
    <mergeCell ref="B34:E34"/>
    <mergeCell ref="Q17:W17"/>
    <mergeCell ref="X33:AA33"/>
    <mergeCell ref="B24:E24"/>
    <mergeCell ref="X30:AA30"/>
    <mergeCell ref="B30:E30"/>
    <mergeCell ref="H37:K37"/>
    <mergeCell ref="X34:AA34"/>
    <mergeCell ref="G79:G80"/>
    <mergeCell ref="B53:E53"/>
    <mergeCell ref="X68:AA68"/>
    <mergeCell ref="B15:E15"/>
    <mergeCell ref="X36:AA36"/>
    <mergeCell ref="X32:AA32"/>
    <mergeCell ref="B56:E56"/>
    <mergeCell ref="X27:AA27"/>
    <mergeCell ref="H42:K42"/>
    <mergeCell ref="F79:F80"/>
    <mergeCell ref="X46:AA46"/>
    <mergeCell ref="X41:AA41"/>
    <mergeCell ref="H46:K46"/>
    <mergeCell ref="B40:E40"/>
    <mergeCell ref="X44:AA44"/>
    <mergeCell ref="X37:AA37"/>
    <mergeCell ref="X39:AA39"/>
    <mergeCell ref="C79:E80"/>
    <mergeCell ref="B72:E72"/>
    <mergeCell ref="B58:E58"/>
    <mergeCell ref="I68:M68"/>
    <mergeCell ref="I69:M69"/>
    <mergeCell ref="B68:E68"/>
    <mergeCell ref="B109:E109"/>
    <mergeCell ref="B145:E145"/>
    <mergeCell ref="X123:AA123"/>
    <mergeCell ref="B135:E135"/>
    <mergeCell ref="X135:AA135"/>
    <mergeCell ref="X133:AA133"/>
    <mergeCell ref="B91:E91"/>
    <mergeCell ref="B97:E97"/>
    <mergeCell ref="G109:M109"/>
    <mergeCell ref="B142:E142"/>
    <mergeCell ref="B83:E83"/>
    <mergeCell ref="B126:E126"/>
    <mergeCell ref="B129:E129"/>
    <mergeCell ref="B82:E82"/>
    <mergeCell ref="X83:Z83"/>
    <mergeCell ref="B108:E108"/>
    <mergeCell ref="B94:E94"/>
    <mergeCell ref="X108:AA108"/>
    <mergeCell ref="G118:K118"/>
    <mergeCell ref="X114:AA114"/>
    <mergeCell ref="B122:E122"/>
    <mergeCell ref="I114:W115"/>
    <mergeCell ref="B125:E125"/>
    <mergeCell ref="X88:Z88"/>
    <mergeCell ref="X129:AA129"/>
    <mergeCell ref="B119:E119"/>
    <mergeCell ref="X119:AA119"/>
    <mergeCell ref="B101:E101"/>
    <mergeCell ref="X115:AA115"/>
    <mergeCell ref="B90:E90"/>
    <mergeCell ref="X139:AA139"/>
    <mergeCell ref="X142:AA142"/>
    <mergeCell ref="X79:AA80"/>
    <mergeCell ref="X128:AA128"/>
    <mergeCell ref="B93:E93"/>
    <mergeCell ref="B106:E106"/>
    <mergeCell ref="B96:E96"/>
    <mergeCell ref="X106:AA106"/>
    <mergeCell ref="B98:E98"/>
    <mergeCell ref="O95:W95"/>
    <mergeCell ref="B100:E100"/>
    <mergeCell ref="X118:AA118"/>
    <mergeCell ref="B81:E81"/>
    <mergeCell ref="B86:E86"/>
    <mergeCell ref="X116:AA116"/>
    <mergeCell ref="B104:E104"/>
    <mergeCell ref="X127:AA127"/>
    <mergeCell ref="B117:E117"/>
    <mergeCell ref="B121:E121"/>
    <mergeCell ref="G122:K122"/>
    <mergeCell ref="G106:M106"/>
    <mergeCell ref="G107:M107"/>
    <mergeCell ref="B110:E110"/>
    <mergeCell ref="G110:M110"/>
    <mergeCell ref="X110:AA110"/>
    <mergeCell ref="B111:E111"/>
    <mergeCell ref="G111:M111"/>
    <mergeCell ref="X111:AA111"/>
    <mergeCell ref="B112:E112"/>
    <mergeCell ref="G112:M112"/>
    <mergeCell ref="X112:AA112"/>
    <mergeCell ref="B113:E113"/>
    <mergeCell ref="B115:E115"/>
    <mergeCell ref="B99:E99"/>
    <mergeCell ref="X140:AA140"/>
    <mergeCell ref="X71:AA71"/>
    <mergeCell ref="X130:AA130"/>
    <mergeCell ref="X126:AA126"/>
    <mergeCell ref="X141:AA141"/>
    <mergeCell ref="X137:AA137"/>
    <mergeCell ref="X143:AA143"/>
    <mergeCell ref="X194:AA194"/>
    <mergeCell ref="B180:E180"/>
    <mergeCell ref="B144:E144"/>
    <mergeCell ref="B147:E147"/>
    <mergeCell ref="B179:E179"/>
    <mergeCell ref="X161:AA161"/>
    <mergeCell ref="B181:E181"/>
    <mergeCell ref="B192:E192"/>
    <mergeCell ref="B175:E175"/>
    <mergeCell ref="X175:AA175"/>
    <mergeCell ref="B143:E143"/>
    <mergeCell ref="B138:E138"/>
    <mergeCell ref="B84:E84"/>
    <mergeCell ref="X120:AA120"/>
    <mergeCell ref="X107:AA107"/>
    <mergeCell ref="G108:M108"/>
    <mergeCell ref="B124:E124"/>
    <mergeCell ref="X189:AA189"/>
    <mergeCell ref="X176:AA176"/>
    <mergeCell ref="H190:K195"/>
    <mergeCell ref="B172:E172"/>
    <mergeCell ref="X172:AA172"/>
    <mergeCell ref="B177:E177"/>
    <mergeCell ref="B194:E194"/>
    <mergeCell ref="B71:E71"/>
    <mergeCell ref="X676:AA676"/>
    <mergeCell ref="X678:AA678"/>
    <mergeCell ref="X677:AA677"/>
    <mergeCell ref="G319:G320"/>
    <mergeCell ref="F319:F320"/>
    <mergeCell ref="B283:E283"/>
    <mergeCell ref="B291:E291"/>
    <mergeCell ref="B290:E290"/>
    <mergeCell ref="X284:AA284"/>
    <mergeCell ref="X321:AA321"/>
    <mergeCell ref="A705:A715"/>
    <mergeCell ref="B713:G713"/>
    <mergeCell ref="B694:E694"/>
    <mergeCell ref="B714:G714"/>
    <mergeCell ref="B695:E695"/>
    <mergeCell ref="B698:E698"/>
    <mergeCell ref="B715:G715"/>
    <mergeCell ref="B704:G704"/>
    <mergeCell ref="B707:G707"/>
    <mergeCell ref="X424:AA424"/>
    <mergeCell ref="B456:E456"/>
    <mergeCell ref="B453:E453"/>
    <mergeCell ref="F520:F521"/>
    <mergeCell ref="B696:E696"/>
    <mergeCell ref="F643:F644"/>
    <mergeCell ref="B635:E635"/>
    <mergeCell ref="X325:AA325"/>
    <mergeCell ref="B657:E657"/>
    <mergeCell ref="B362:E362"/>
    <mergeCell ref="B411:E411"/>
    <mergeCell ref="B410:E410"/>
    <mergeCell ref="B289:E289"/>
    <mergeCell ref="X449:AA449"/>
    <mergeCell ref="B416:E416"/>
    <mergeCell ref="X383:AA383"/>
    <mergeCell ref="B435:E435"/>
    <mergeCell ref="X384:AA384"/>
    <mergeCell ref="X422:AA422"/>
    <mergeCell ref="X441:AA441"/>
    <mergeCell ref="B303:E303"/>
    <mergeCell ref="X303:AA303"/>
    <mergeCell ref="X307:AA307"/>
    <mergeCell ref="X302:AA302"/>
    <mergeCell ref="B297:E297"/>
    <mergeCell ref="B680:E680"/>
    <mergeCell ref="B281:E281"/>
    <mergeCell ref="B282:E282"/>
    <mergeCell ref="X261:AA261"/>
    <mergeCell ref="X298:AA298"/>
    <mergeCell ref="B302:E302"/>
    <mergeCell ref="X267:AA267"/>
    <mergeCell ref="X269:AA269"/>
    <mergeCell ref="X271:AA271"/>
    <mergeCell ref="F399:F400"/>
    <mergeCell ref="B309:E309"/>
    <mergeCell ref="B315:E315"/>
    <mergeCell ref="X274:AA274"/>
    <mergeCell ref="X265:AA265"/>
    <mergeCell ref="X266:AA266"/>
    <mergeCell ref="B293:E293"/>
    <mergeCell ref="B307:E307"/>
    <mergeCell ref="B288:E288"/>
    <mergeCell ref="X324:AA324"/>
    <mergeCell ref="X418:AA418"/>
    <mergeCell ref="B275:E275"/>
    <mergeCell ref="X322:AA322"/>
    <mergeCell ref="X299:AA299"/>
    <mergeCell ref="X280:AA280"/>
    <mergeCell ref="X281:AA281"/>
    <mergeCell ref="B422:E422"/>
    <mergeCell ref="B443:E443"/>
    <mergeCell ref="B287:E287"/>
    <mergeCell ref="B365:E365"/>
    <mergeCell ref="B372:E372"/>
    <mergeCell ref="B442:E442"/>
    <mergeCell ref="B301:E301"/>
    <mergeCell ref="B306:E306"/>
    <mergeCell ref="B299:E299"/>
    <mergeCell ref="B415:E415"/>
    <mergeCell ref="B361:E361"/>
    <mergeCell ref="B353:E353"/>
    <mergeCell ref="B392:E392"/>
    <mergeCell ref="B367:E367"/>
    <mergeCell ref="B350:E350"/>
    <mergeCell ref="X415:AA415"/>
    <mergeCell ref="X275:AA275"/>
    <mergeCell ref="B380:E380"/>
    <mergeCell ref="B385:E385"/>
    <mergeCell ref="B389:E389"/>
    <mergeCell ref="B395:E395"/>
    <mergeCell ref="X300:AA300"/>
    <mergeCell ref="B437:E437"/>
    <mergeCell ref="B331:E331"/>
    <mergeCell ref="B406:E406"/>
    <mergeCell ref="B414:E414"/>
    <mergeCell ref="B403:E403"/>
    <mergeCell ref="B533:E533"/>
    <mergeCell ref="B492:E492"/>
    <mergeCell ref="B488:E488"/>
    <mergeCell ref="B534:E534"/>
    <mergeCell ref="B500:E500"/>
    <mergeCell ref="B520:B521"/>
    <mergeCell ref="B514:E514"/>
    <mergeCell ref="B510:E510"/>
    <mergeCell ref="B572:E572"/>
    <mergeCell ref="B553:E553"/>
    <mergeCell ref="B487:E487"/>
    <mergeCell ref="B559:W559"/>
    <mergeCell ref="B584:E584"/>
    <mergeCell ref="B486:E486"/>
    <mergeCell ref="B472:E472"/>
    <mergeCell ref="B441:E441"/>
    <mergeCell ref="I481:M486"/>
    <mergeCell ref="B547:E547"/>
    <mergeCell ref="B436:E436"/>
    <mergeCell ref="B407:E407"/>
    <mergeCell ref="B423:E423"/>
    <mergeCell ref="B428:E428"/>
    <mergeCell ref="B450:E450"/>
    <mergeCell ref="B417:E417"/>
    <mergeCell ref="B481:E481"/>
    <mergeCell ref="B537:E537"/>
    <mergeCell ref="B563:E563"/>
    <mergeCell ref="B570:E570"/>
    <mergeCell ref="B581:E581"/>
    <mergeCell ref="B562:E562"/>
    <mergeCell ref="B499:E499"/>
    <mergeCell ref="B697:E697"/>
    <mergeCell ref="B687:E687"/>
    <mergeCell ref="B670:E670"/>
    <mergeCell ref="B683:E683"/>
    <mergeCell ref="B688:E688"/>
    <mergeCell ref="B451:E451"/>
    <mergeCell ref="B540:E540"/>
    <mergeCell ref="B525:E525"/>
    <mergeCell ref="B523:E523"/>
    <mergeCell ref="B420:E420"/>
    <mergeCell ref="B421:E421"/>
    <mergeCell ref="B413:E413"/>
    <mergeCell ref="B479:B480"/>
    <mergeCell ref="C479:E480"/>
    <mergeCell ref="F479:F480"/>
    <mergeCell ref="G479:G480"/>
    <mergeCell ref="B550:E550"/>
    <mergeCell ref="B429:E429"/>
    <mergeCell ref="B631:E631"/>
    <mergeCell ref="B636:E636"/>
    <mergeCell ref="B662:E662"/>
    <mergeCell ref="B473:E473"/>
    <mergeCell ref="B458:E458"/>
    <mergeCell ref="G520:G521"/>
    <mergeCell ref="B535:E535"/>
    <mergeCell ref="B522:E522"/>
    <mergeCell ref="B590:E590"/>
    <mergeCell ref="B583:E583"/>
    <mergeCell ref="B587:E587"/>
    <mergeCell ref="B434:E434"/>
    <mergeCell ref="B424:E424"/>
    <mergeCell ref="B432:E432"/>
    <mergeCell ref="B506:E506"/>
    <mergeCell ref="B507:E507"/>
    <mergeCell ref="B505:E505"/>
    <mergeCell ref="B771:W771"/>
    <mergeCell ref="B746:W746"/>
    <mergeCell ref="B744:W744"/>
    <mergeCell ref="B762:W769"/>
    <mergeCell ref="B747:W747"/>
    <mergeCell ref="B760:W760"/>
    <mergeCell ref="B758:W758"/>
    <mergeCell ref="B751:W754"/>
    <mergeCell ref="B756:W757"/>
    <mergeCell ref="B750:W750"/>
    <mergeCell ref="B748:W748"/>
    <mergeCell ref="S710:S711"/>
    <mergeCell ref="C723:G723"/>
    <mergeCell ref="B693:E693"/>
    <mergeCell ref="N710:N711"/>
    <mergeCell ref="H710:H711"/>
    <mergeCell ref="B700:E700"/>
    <mergeCell ref="U710:U711"/>
    <mergeCell ref="C722:I722"/>
    <mergeCell ref="B717:J717"/>
    <mergeCell ref="W710:W711"/>
    <mergeCell ref="B706:G706"/>
    <mergeCell ref="B703:W703"/>
    <mergeCell ref="R710:R711"/>
    <mergeCell ref="C725:G725"/>
    <mergeCell ref="I710:I711"/>
    <mergeCell ref="K710:K711"/>
    <mergeCell ref="B690:E690"/>
    <mergeCell ref="B705:G705"/>
    <mergeCell ref="B708:G708"/>
    <mergeCell ref="X164:AA164"/>
    <mergeCell ref="X165:AA165"/>
    <mergeCell ref="X144:AA144"/>
    <mergeCell ref="X145:AA145"/>
    <mergeCell ref="B182:E182"/>
    <mergeCell ref="X195:AA195"/>
    <mergeCell ref="B208:E208"/>
    <mergeCell ref="B190:E190"/>
    <mergeCell ref="X184:AA184"/>
    <mergeCell ref="X181:AA181"/>
    <mergeCell ref="B197:E197"/>
    <mergeCell ref="F159:F160"/>
    <mergeCell ref="B159:B160"/>
    <mergeCell ref="B165:E165"/>
    <mergeCell ref="B170:E170"/>
    <mergeCell ref="X170:AA170"/>
    <mergeCell ref="B150:E150"/>
    <mergeCell ref="X163:AA163"/>
    <mergeCell ref="X162:AA162"/>
    <mergeCell ref="X173:AA173"/>
    <mergeCell ref="X179:AA179"/>
    <mergeCell ref="X168:AA168"/>
    <mergeCell ref="X193:AA193"/>
    <mergeCell ref="H159:W159"/>
    <mergeCell ref="C159:E160"/>
    <mergeCell ref="B154:E154"/>
    <mergeCell ref="X149:AA149"/>
    <mergeCell ref="B448:E448"/>
    <mergeCell ref="B430:E430"/>
    <mergeCell ref="X448:AA448"/>
    <mergeCell ref="X446:AA446"/>
    <mergeCell ref="X504:AA504"/>
    <mergeCell ref="B455:E455"/>
    <mergeCell ref="X455:AA455"/>
    <mergeCell ref="X159:AA160"/>
    <mergeCell ref="B196:E196"/>
    <mergeCell ref="B186:E186"/>
    <mergeCell ref="X420:AA420"/>
    <mergeCell ref="B173:E173"/>
    <mergeCell ref="B168:E168"/>
    <mergeCell ref="B199:E199"/>
    <mergeCell ref="B431:E431"/>
    <mergeCell ref="B449:E449"/>
    <mergeCell ref="B439:E439"/>
    <mergeCell ref="B444:E444"/>
    <mergeCell ref="B446:E446"/>
    <mergeCell ref="X440:AA440"/>
    <mergeCell ref="X468:AA468"/>
    <mergeCell ref="X442:AA442"/>
    <mergeCell ref="B452:E452"/>
    <mergeCell ref="X447:AA447"/>
    <mergeCell ref="B433:E433"/>
    <mergeCell ref="X457:AA457"/>
    <mergeCell ref="G159:G160"/>
    <mergeCell ref="B482:E482"/>
    <mergeCell ref="B383:E383"/>
    <mergeCell ref="B408:E408"/>
    <mergeCell ref="B438:E438"/>
    <mergeCell ref="B460:E460"/>
    <mergeCell ref="X452:AA452"/>
    <mergeCell ref="X438:AA438"/>
    <mergeCell ref="X491:AA491"/>
    <mergeCell ref="X439:AA439"/>
    <mergeCell ref="X516:AA516"/>
    <mergeCell ref="H623:W623"/>
    <mergeCell ref="B503:E503"/>
    <mergeCell ref="B530:E530"/>
    <mergeCell ref="B491:E491"/>
    <mergeCell ref="B532:E532"/>
    <mergeCell ref="B459:E459"/>
    <mergeCell ref="B296:E296"/>
    <mergeCell ref="B300:E300"/>
    <mergeCell ref="B617:E617"/>
    <mergeCell ref="B591:E591"/>
    <mergeCell ref="B585:E585"/>
    <mergeCell ref="B586:E586"/>
    <mergeCell ref="B588:E588"/>
    <mergeCell ref="B526:E526"/>
    <mergeCell ref="B582:E582"/>
    <mergeCell ref="B531:E531"/>
    <mergeCell ref="B536:E536"/>
    <mergeCell ref="B564:E564"/>
    <mergeCell ref="X459:AA459"/>
    <mergeCell ref="X499:AA499"/>
    <mergeCell ref="X515:AA515"/>
    <mergeCell ref="X514:AA514"/>
    <mergeCell ref="B527:E527"/>
    <mergeCell ref="B529:E529"/>
    <mergeCell ref="B447:E447"/>
    <mergeCell ref="X487:AA487"/>
    <mergeCell ref="X488:AA488"/>
    <mergeCell ref="B513:E513"/>
    <mergeCell ref="X513:AA513"/>
    <mergeCell ref="B544:E544"/>
    <mergeCell ref="X450:AA450"/>
    <mergeCell ref="X669:AA669"/>
    <mergeCell ref="B569:E569"/>
    <mergeCell ref="B571:E571"/>
    <mergeCell ref="B648:E648"/>
    <mergeCell ref="B633:E633"/>
    <mergeCell ref="B596:E596"/>
    <mergeCell ref="B567:E567"/>
    <mergeCell ref="B605:E605"/>
    <mergeCell ref="B600:E600"/>
    <mergeCell ref="B606:E606"/>
    <mergeCell ref="B620:E620"/>
    <mergeCell ref="B615:E615"/>
    <mergeCell ref="B630:E630"/>
    <mergeCell ref="B627:E627"/>
    <mergeCell ref="B629:E629"/>
    <mergeCell ref="B577:E577"/>
    <mergeCell ref="B603:E603"/>
    <mergeCell ref="B602:E602"/>
    <mergeCell ref="X656:AA656"/>
    <mergeCell ref="B589:E589"/>
    <mergeCell ref="B626:E626"/>
    <mergeCell ref="B655:E655"/>
    <mergeCell ref="B650:E650"/>
    <mergeCell ref="B656:E656"/>
    <mergeCell ref="G623:G624"/>
    <mergeCell ref="B616:E616"/>
    <mergeCell ref="B597:E597"/>
    <mergeCell ref="B651:E651"/>
    <mergeCell ref="B649:E649"/>
    <mergeCell ref="AF747:AH747"/>
    <mergeCell ref="O710:O711"/>
    <mergeCell ref="L710:L711"/>
    <mergeCell ref="P710:P711"/>
    <mergeCell ref="C733:I733"/>
    <mergeCell ref="C741:G741"/>
    <mergeCell ref="C742:G742"/>
    <mergeCell ref="M710:M711"/>
    <mergeCell ref="B701:E701"/>
    <mergeCell ref="B699:E699"/>
    <mergeCell ref="B709:W709"/>
    <mergeCell ref="B634:E634"/>
    <mergeCell ref="B686:E686"/>
    <mergeCell ref="B645:E645"/>
    <mergeCell ref="B642:W642"/>
    <mergeCell ref="B643:B644"/>
    <mergeCell ref="B653:E653"/>
    <mergeCell ref="B647:E647"/>
    <mergeCell ref="B685:E685"/>
    <mergeCell ref="J710:J711"/>
    <mergeCell ref="B712:G712"/>
    <mergeCell ref="C726:I727"/>
    <mergeCell ref="C734:I740"/>
    <mergeCell ref="X661:AA661"/>
    <mergeCell ref="B660:E660"/>
    <mergeCell ref="B659:E659"/>
    <mergeCell ref="B691:E691"/>
    <mergeCell ref="B692:E692"/>
    <mergeCell ref="B638:E638"/>
    <mergeCell ref="B665:E665"/>
    <mergeCell ref="B672:E672"/>
    <mergeCell ref="X659:AA659"/>
    <mergeCell ref="AF733:AH733"/>
    <mergeCell ref="B710:G711"/>
    <mergeCell ref="B729:W731"/>
    <mergeCell ref="T710:T711"/>
    <mergeCell ref="AB643:AB644"/>
    <mergeCell ref="B671:E671"/>
    <mergeCell ref="B674:E674"/>
    <mergeCell ref="H643:W643"/>
    <mergeCell ref="B654:E654"/>
    <mergeCell ref="Q710:Q711"/>
    <mergeCell ref="G643:G644"/>
    <mergeCell ref="X666:AA666"/>
    <mergeCell ref="X664:AA664"/>
    <mergeCell ref="X662:AA662"/>
    <mergeCell ref="X665:AA665"/>
    <mergeCell ref="AF643:AH643"/>
    <mergeCell ref="X643:AA644"/>
    <mergeCell ref="B681:E681"/>
    <mergeCell ref="B667:E667"/>
    <mergeCell ref="B669:E669"/>
    <mergeCell ref="B663:E663"/>
    <mergeCell ref="B664:E664"/>
    <mergeCell ref="B658:E658"/>
    <mergeCell ref="X668:AA668"/>
    <mergeCell ref="X667:AA667"/>
    <mergeCell ref="B661:E661"/>
    <mergeCell ref="B673:E673"/>
    <mergeCell ref="B668:E668"/>
    <mergeCell ref="X675:AA675"/>
    <mergeCell ref="X680:AA680"/>
    <mergeCell ref="B676:E676"/>
    <mergeCell ref="X658:AA658"/>
    <mergeCell ref="AB623:AB624"/>
    <mergeCell ref="X691:AA691"/>
    <mergeCell ref="V710:V711"/>
    <mergeCell ref="B632:E632"/>
    <mergeCell ref="X692:AA692"/>
    <mergeCell ref="B682:E682"/>
    <mergeCell ref="B609:E609"/>
    <mergeCell ref="B579:E579"/>
    <mergeCell ref="B684:E684"/>
    <mergeCell ref="B580:E580"/>
    <mergeCell ref="C724:G724"/>
    <mergeCell ref="AF703:AH703"/>
    <mergeCell ref="B578:E578"/>
    <mergeCell ref="B576:E576"/>
    <mergeCell ref="B646:E646"/>
    <mergeCell ref="B689:E689"/>
    <mergeCell ref="B666:E666"/>
    <mergeCell ref="B594:E594"/>
    <mergeCell ref="B604:E604"/>
    <mergeCell ref="B612:E612"/>
    <mergeCell ref="B610:E610"/>
    <mergeCell ref="B599:E599"/>
    <mergeCell ref="B652:E652"/>
    <mergeCell ref="B637:E637"/>
    <mergeCell ref="B625:E625"/>
    <mergeCell ref="X682:AA682"/>
    <mergeCell ref="X687:AA687"/>
    <mergeCell ref="X670:AA670"/>
    <mergeCell ref="X683:AA683"/>
    <mergeCell ref="X688:AA688"/>
    <mergeCell ref="X672:AA672"/>
    <mergeCell ref="X681:AA681"/>
    <mergeCell ref="AF623:AH623"/>
    <mergeCell ref="X466:AA466"/>
    <mergeCell ref="B551:E551"/>
    <mergeCell ref="B552:E552"/>
    <mergeCell ref="B546:E546"/>
    <mergeCell ref="B611:E611"/>
    <mergeCell ref="C623:E624"/>
    <mergeCell ref="B575:E575"/>
    <mergeCell ref="B607:E607"/>
    <mergeCell ref="B528:E528"/>
    <mergeCell ref="X623:AA624"/>
    <mergeCell ref="B623:B624"/>
    <mergeCell ref="F623:F624"/>
    <mergeCell ref="B622:W622"/>
    <mergeCell ref="B608:E608"/>
    <mergeCell ref="B538:E538"/>
    <mergeCell ref="B548:E548"/>
    <mergeCell ref="B574:E574"/>
    <mergeCell ref="B595:E595"/>
    <mergeCell ref="B593:E593"/>
    <mergeCell ref="B618:E618"/>
    <mergeCell ref="B539:E539"/>
    <mergeCell ref="B484:E484"/>
    <mergeCell ref="AF622:AH622"/>
    <mergeCell ref="B524:E524"/>
    <mergeCell ref="B568:E568"/>
    <mergeCell ref="X520:AA521"/>
    <mergeCell ref="C520:E521"/>
    <mergeCell ref="B573:E573"/>
    <mergeCell ref="B566:E566"/>
    <mergeCell ref="AF519:AH519"/>
    <mergeCell ref="AB520:AB521"/>
    <mergeCell ref="AF520:AH520"/>
    <mergeCell ref="H520:W520"/>
    <mergeCell ref="B519:W519"/>
    <mergeCell ref="B457:E457"/>
    <mergeCell ref="B489:E489"/>
    <mergeCell ref="B496:E496"/>
    <mergeCell ref="B495:E495"/>
    <mergeCell ref="B515:E515"/>
    <mergeCell ref="B498:E498"/>
    <mergeCell ref="B517:E517"/>
    <mergeCell ref="B502:E502"/>
    <mergeCell ref="B494:E494"/>
    <mergeCell ref="B516:E516"/>
    <mergeCell ref="X503:AA503"/>
    <mergeCell ref="X502:AA502"/>
    <mergeCell ref="B504:E504"/>
    <mergeCell ref="X500:AA500"/>
    <mergeCell ref="B509:E509"/>
    <mergeCell ref="B497:E497"/>
    <mergeCell ref="B485:E485"/>
    <mergeCell ref="B471:E471"/>
    <mergeCell ref="B483:E483"/>
    <mergeCell ref="B466:E466"/>
    <mergeCell ref="B470:E470"/>
    <mergeCell ref="X472:AA472"/>
    <mergeCell ref="B512:E512"/>
    <mergeCell ref="X512:AA512"/>
    <mergeCell ref="X517:AA517"/>
    <mergeCell ref="X461:AA461"/>
    <mergeCell ref="I469:M471"/>
    <mergeCell ref="X458:AA458"/>
    <mergeCell ref="B469:E469"/>
    <mergeCell ref="X490:AA490"/>
    <mergeCell ref="B490:E490"/>
    <mergeCell ref="X456:AA456"/>
    <mergeCell ref="X262:AA262"/>
    <mergeCell ref="B358:E358"/>
    <mergeCell ref="B323:E323"/>
    <mergeCell ref="B346:E346"/>
    <mergeCell ref="B351:E351"/>
    <mergeCell ref="X451:AA451"/>
    <mergeCell ref="B493:E493"/>
    <mergeCell ref="X421:AA421"/>
    <mergeCell ref="B412:E412"/>
    <mergeCell ref="X385:AA385"/>
    <mergeCell ref="B382:E382"/>
    <mergeCell ref="X358:AA358"/>
    <mergeCell ref="B375:E375"/>
    <mergeCell ref="B427:E427"/>
    <mergeCell ref="B454:E454"/>
    <mergeCell ref="B461:E461"/>
    <mergeCell ref="B426:E426"/>
    <mergeCell ref="B440:E440"/>
    <mergeCell ref="X417:AA417"/>
    <mergeCell ref="B409:E409"/>
    <mergeCell ref="X423:AA423"/>
    <mergeCell ref="B445:E445"/>
    <mergeCell ref="B279:E279"/>
    <mergeCell ref="B333:E333"/>
    <mergeCell ref="X310:AA310"/>
    <mergeCell ref="X268:AA268"/>
    <mergeCell ref="X277:AA277"/>
    <mergeCell ref="X460:AA460"/>
    <mergeCell ref="X473:AA473"/>
    <mergeCell ref="B262:E262"/>
    <mergeCell ref="B679:E679"/>
    <mergeCell ref="B295:E295"/>
    <mergeCell ref="X285:AA285"/>
    <mergeCell ref="B349:E349"/>
    <mergeCell ref="B335:E335"/>
    <mergeCell ref="B345:E345"/>
    <mergeCell ref="B327:E327"/>
    <mergeCell ref="B354:E354"/>
    <mergeCell ref="B356:E356"/>
    <mergeCell ref="B339:E339"/>
    <mergeCell ref="B292:E292"/>
    <mergeCell ref="B294:E294"/>
    <mergeCell ref="B314:E314"/>
    <mergeCell ref="B324:E324"/>
    <mergeCell ref="B325:E325"/>
    <mergeCell ref="X301:AA301"/>
    <mergeCell ref="X297:AA297"/>
    <mergeCell ref="X309:AA309"/>
    <mergeCell ref="X304:AA304"/>
    <mergeCell ref="X326:AA326"/>
    <mergeCell ref="B338:E338"/>
    <mergeCell ref="B425:E425"/>
    <mergeCell ref="B467:E467"/>
    <mergeCell ref="X467:AA467"/>
    <mergeCell ref="B376:E376"/>
    <mergeCell ref="X315:AA315"/>
    <mergeCell ref="B399:B400"/>
    <mergeCell ref="B280:E280"/>
    <mergeCell ref="B341:E341"/>
    <mergeCell ref="B340:E340"/>
    <mergeCell ref="B298:E298"/>
    <mergeCell ref="X679:AA679"/>
    <mergeCell ref="B311:E311"/>
    <mergeCell ref="B675:E675"/>
    <mergeCell ref="B286:E286"/>
    <mergeCell ref="B321:E321"/>
    <mergeCell ref="B348:E348"/>
    <mergeCell ref="B357:E357"/>
    <mergeCell ref="B312:E312"/>
    <mergeCell ref="B374:E374"/>
    <mergeCell ref="B336:E336"/>
    <mergeCell ref="B359:E359"/>
    <mergeCell ref="B366:E366"/>
    <mergeCell ref="B355:E355"/>
    <mergeCell ref="B352:E352"/>
    <mergeCell ref="B326:E326"/>
    <mergeCell ref="B360:E360"/>
    <mergeCell ref="B363:E363"/>
    <mergeCell ref="B347:E347"/>
    <mergeCell ref="B305:E305"/>
    <mergeCell ref="X414:AA414"/>
    <mergeCell ref="B370:E370"/>
    <mergeCell ref="B377:E377"/>
    <mergeCell ref="B468:E468"/>
    <mergeCell ref="X399:AA400"/>
    <mergeCell ref="B678:E678"/>
    <mergeCell ref="X387:AA387"/>
    <mergeCell ref="B554:G554"/>
    <mergeCell ref="B555:G555"/>
    <mergeCell ref="X416:AA416"/>
    <mergeCell ref="B378:E378"/>
    <mergeCell ref="X489:AA489"/>
    <mergeCell ref="X501:AA501"/>
    <mergeCell ref="X306:AA306"/>
    <mergeCell ref="X323:AA323"/>
    <mergeCell ref="B328:E328"/>
    <mergeCell ref="C319:E320"/>
    <mergeCell ref="B304:E304"/>
    <mergeCell ref="X305:AA305"/>
    <mergeCell ref="H399:W399"/>
    <mergeCell ref="C399:E400"/>
    <mergeCell ref="B401:E401"/>
    <mergeCell ref="X312:AA312"/>
    <mergeCell ref="B373:E373"/>
    <mergeCell ref="B342:E342"/>
    <mergeCell ref="B343:E343"/>
    <mergeCell ref="X386:AA386"/>
    <mergeCell ref="B344:E344"/>
    <mergeCell ref="B369:E369"/>
    <mergeCell ref="B337:E337"/>
    <mergeCell ref="B384:E384"/>
    <mergeCell ref="B310:E310"/>
    <mergeCell ref="B313:E313"/>
    <mergeCell ref="Q358:W358"/>
    <mergeCell ref="B391:E391"/>
    <mergeCell ref="B390:E390"/>
    <mergeCell ref="B393:E393"/>
    <mergeCell ref="X311:AA311"/>
    <mergeCell ref="B332:E332"/>
    <mergeCell ref="B322:E322"/>
    <mergeCell ref="B329:E329"/>
    <mergeCell ref="B404:E404"/>
    <mergeCell ref="B462:E462"/>
    <mergeCell ref="X462:AA462"/>
    <mergeCell ref="B463:E463"/>
    <mergeCell ref="X463:AA463"/>
    <mergeCell ref="B464:E464"/>
    <mergeCell ref="X464:AA464"/>
    <mergeCell ref="B465:E465"/>
    <mergeCell ref="X465:AA465"/>
    <mergeCell ref="B217:E217"/>
    <mergeCell ref="B278:E278"/>
    <mergeCell ref="B330:E330"/>
    <mergeCell ref="X239:AA240"/>
    <mergeCell ref="B334:E334"/>
    <mergeCell ref="X357:AA357"/>
    <mergeCell ref="B285:E285"/>
    <mergeCell ref="B308:E308"/>
    <mergeCell ref="B379:E379"/>
    <mergeCell ref="B394:E394"/>
    <mergeCell ref="B381:E381"/>
    <mergeCell ref="B388:E388"/>
    <mergeCell ref="B418:E418"/>
    <mergeCell ref="B405:E405"/>
    <mergeCell ref="B419:E419"/>
    <mergeCell ref="X419:AA419"/>
    <mergeCell ref="B277:E277"/>
    <mergeCell ref="B368:E368"/>
    <mergeCell ref="B371:E371"/>
    <mergeCell ref="B222:E222"/>
    <mergeCell ref="B386:E386"/>
    <mergeCell ref="B387:E387"/>
    <mergeCell ref="G399:G400"/>
  </mergeCells>
  <phoneticPr fontId="0" type="noConversion"/>
  <hyperlinks>
    <hyperlink ref="AB12" r:id="rId1" display="https://www.jivi.com.ar/ficha.php?id=27"/>
    <hyperlink ref="AB27" r:id="rId2" display="https://www.jivi.com.ar/ficha.php?id=660"/>
    <hyperlink ref="AB34" r:id="rId3"/>
    <hyperlink ref="AB33" r:id="rId4"/>
    <hyperlink ref="AB32" r:id="rId5"/>
    <hyperlink ref="AB31" r:id="rId6"/>
    <hyperlink ref="AB30" r:id="rId7"/>
    <hyperlink ref="AB52" r:id="rId8" display="https://www.jivi.com.ar/ficha.php?id=41"/>
    <hyperlink ref="AB53" r:id="rId9" display="https://www.jivi.com.ar/ficha.php?id=42"/>
    <hyperlink ref="AB54" r:id="rId10" display="https://www.jivi.com.ar/ficha.php?id=649"/>
    <hyperlink ref="AB55" r:id="rId11" display="https://www.jivi.com.ar/ficha.php?id=650"/>
    <hyperlink ref="AB63" r:id="rId12" display="https://www.jivi.com.ar/ficha.php?id=164"/>
    <hyperlink ref="AB67" r:id="rId13" display="https://www.jivi.com.ar/ficha.php?id=77"/>
    <hyperlink ref="AB69" r:id="rId14"/>
    <hyperlink ref="AB71" r:id="rId15"/>
    <hyperlink ref="AB72" r:id="rId16"/>
    <hyperlink ref="AC81" r:id="rId17"/>
    <hyperlink ref="AD81" r:id="rId18"/>
    <hyperlink ref="AE81" r:id="rId19"/>
    <hyperlink ref="AF81" r:id="rId20"/>
    <hyperlink ref="AG81" r:id="rId21"/>
    <hyperlink ref="AC82" r:id="rId22"/>
    <hyperlink ref="AD82" r:id="rId23"/>
    <hyperlink ref="AE82" r:id="rId24"/>
    <hyperlink ref="AF82" r:id="rId25"/>
    <hyperlink ref="AG82" r:id="rId26"/>
    <hyperlink ref="AH82" r:id="rId27"/>
    <hyperlink ref="AC83" r:id="rId28"/>
    <hyperlink ref="AD83" r:id="rId29"/>
    <hyperlink ref="AE83" r:id="rId30"/>
    <hyperlink ref="AF83" r:id="rId31"/>
    <hyperlink ref="AH83" r:id="rId32"/>
    <hyperlink ref="AG83" r:id="rId33"/>
    <hyperlink ref="AC84" r:id="rId34"/>
    <hyperlink ref="AD84" r:id="rId35"/>
    <hyperlink ref="AE84" r:id="rId36"/>
    <hyperlink ref="AF84" r:id="rId37"/>
    <hyperlink ref="AC85" r:id="rId38"/>
    <hyperlink ref="AD85" r:id="rId39"/>
    <hyperlink ref="AE85" r:id="rId40"/>
    <hyperlink ref="AF85" r:id="rId41"/>
    <hyperlink ref="AG85" r:id="rId42"/>
    <hyperlink ref="AC86" r:id="rId43"/>
    <hyperlink ref="AD86" r:id="rId44"/>
    <hyperlink ref="AE86" r:id="rId45"/>
    <hyperlink ref="AC87" r:id="rId46"/>
    <hyperlink ref="AD87" r:id="rId47"/>
    <hyperlink ref="AE87" r:id="rId48"/>
    <hyperlink ref="AF87" r:id="rId49"/>
    <hyperlink ref="AG87" r:id="rId50"/>
    <hyperlink ref="AH87" r:id="rId51"/>
    <hyperlink ref="AB88" r:id="rId52"/>
    <hyperlink ref="AB89" r:id="rId53"/>
    <hyperlink ref="AB90" r:id="rId54"/>
    <hyperlink ref="AC91" r:id="rId55"/>
    <hyperlink ref="AD91" r:id="rId56"/>
    <hyperlink ref="AE91" r:id="rId57"/>
    <hyperlink ref="AF91" r:id="rId58"/>
    <hyperlink ref="AG91" r:id="rId59"/>
    <hyperlink ref="AB331" r:id="rId60" display="https://www.jivi.com.ar/ficha.php?id=187"/>
    <hyperlink ref="AB333" r:id="rId61" display="https://www.jivi.com.ar/ficha.php?id=4"/>
    <hyperlink ref="AB344" r:id="rId62" display="https://www.jivi.com.ar/ficha.php?id=55"/>
    <hyperlink ref="AB347" r:id="rId63" display="https://www.jivi.com.ar/ficha.php?id=209"/>
    <hyperlink ref="AB348" r:id="rId64"/>
    <hyperlink ref="AB356" r:id="rId65" display="https://www.jivi.com.ar/ficha.php?id=60"/>
    <hyperlink ref="AB358" r:id="rId66" display="https://www.jivi.com.ar/ficha.php?id=380"/>
    <hyperlink ref="AB362" r:id="rId67" display="https://www.jivi.com.ar/ficha.php?id=548"/>
    <hyperlink ref="AB363" r:id="rId68"/>
    <hyperlink ref="AB366" r:id="rId69" display="https://www.jivi.com.ar/ficha.php?id=719"/>
    <hyperlink ref="AB101" r:id="rId70" display="https://www.jivi.com.ar/ficha.php?id=326"/>
    <hyperlink ref="AB105" r:id="rId71" display="https://www.jivi.com.ar/ficha.php?id=134"/>
    <hyperlink ref="AB139" r:id="rId72" display="https://www.jivi.com.ar/ficha.php?id=394"/>
    <hyperlink ref="AB140" r:id="rId73" display="https://www.jivi.com.ar/ficha.php?id=145"/>
    <hyperlink ref="AB143" r:id="rId74" display="https://www.jivi.com.ar/ficha.php?id=18"/>
    <hyperlink ref="AB147" r:id="rId75" display="https://www.jivi.com.ar/ficha.php?id=19"/>
    <hyperlink ref="AB150" r:id="rId76" display="https://www.jivi.com.ar/ficha.php?id=142"/>
    <hyperlink ref="AB151" r:id="rId77" display="https://www.jivi.com.ar/ficha.php?id=392"/>
    <hyperlink ref="AB152" r:id="rId78" display="https://www.jivi.com.ar/ficha.php?id=393"/>
    <hyperlink ref="AB185" r:id="rId79" display="https://www.jivi.com.ar/ficha.php?id=135"/>
    <hyperlink ref="AB186" r:id="rId80" display="https://www.jivi.com.ar/ficha.php?id=136"/>
    <hyperlink ref="AB187" r:id="rId81" display="https://www.jivi.com.ar/ficha.php?id=137"/>
    <hyperlink ref="AB188" r:id="rId82" display="https://www.jivi.com.ar/ficha.php?id=138"/>
    <hyperlink ref="AB196" r:id="rId83" display="https://www.jivi.com.ar/ficha.php?id=245"/>
    <hyperlink ref="AB215" r:id="rId84" display="https://www.jivi.com.ar/ficha.php?id=166"/>
    <hyperlink ref="AB216" r:id="rId85" display="https://www.jivi.com.ar/ficha.php?id=171"/>
    <hyperlink ref="AB220" r:id="rId86" display="https://www.jivi.com.ar/ficha.php?id=168"/>
    <hyperlink ref="AB226" r:id="rId87" display="https://www.jivi.com.ar/ficha.php?id=169"/>
    <hyperlink ref="AB228" r:id="rId88" display="https://www.jivi.com.ar/ficha.php?id=148"/>
    <hyperlink ref="AB229" r:id="rId89" display="https://www.jivi.com.ar/ficha.php?id=158"/>
    <hyperlink ref="AB664" r:id="rId90" display="https://www.jivi.com.ar/ficha.php?id=621"/>
    <hyperlink ref="AB665" r:id="rId91" display="https://www.jivi.com.ar/ficha.php?id=622"/>
    <hyperlink ref="AB95" r:id="rId92" display="https://www.jivi.com.ar/ficha.php?id=456"/>
    <hyperlink ref="AB288" r:id="rId93" display="https://www.jivi.com.ar/ficha.php?id=246"/>
    <hyperlink ref="AB450" r:id="rId94" display="https://www.jivi.com.ar/ficha.php?id=431"/>
    <hyperlink ref="AB454" r:id="rId95" display="https://www.jivi.com.ar/ficha.php?id=728"/>
    <hyperlink ref="AB481" r:id="rId96"/>
    <hyperlink ref="AB483" r:id="rId97"/>
    <hyperlink ref="AB492" r:id="rId98"/>
    <hyperlink ref="AB494" r:id="rId99"/>
    <hyperlink ref="AB497" r:id="rId100"/>
    <hyperlink ref="AB498" r:id="rId101"/>
    <hyperlink ref="AB499" r:id="rId102"/>
    <hyperlink ref="AB501" r:id="rId103"/>
    <hyperlink ref="AB502" r:id="rId104"/>
    <hyperlink ref="AB504" r:id="rId105"/>
    <hyperlink ref="AB509" r:id="rId106"/>
    <hyperlink ref="AB510" r:id="rId107"/>
    <hyperlink ref="AB646" r:id="rId108"/>
    <hyperlink ref="AB652" r:id="rId109"/>
    <hyperlink ref="AB653" r:id="rId110"/>
    <hyperlink ref="AB97" r:id="rId111" display="https://www.jivi.com.ar/ficha.php?id=234"/>
    <hyperlink ref="AB338" r:id="rId112" display="https://www.jivi.com.ar/ficha.php?id=51"/>
    <hyperlink ref="AB349" r:id="rId113"/>
    <hyperlink ref="B7:V7" location="'Artículos Publicitarios'!A686" display="PARA IR A LOS RECARGOS POR IMPRESIONES ADICIONALES CLICK AQUÍ"/>
    <hyperlink ref="AB485" r:id="rId114"/>
    <hyperlink ref="AC50" r:id="rId115"/>
    <hyperlink ref="AD50" r:id="rId116"/>
    <hyperlink ref="AE50" r:id="rId117"/>
    <hyperlink ref="B7:W7" location="'Artículos Publicitarios'!A719" display="PARA IR A LOS RECARGOS POR IMPRESIONES ADICIONALES CLICK AQUÍ"/>
    <hyperlink ref="AB242" r:id="rId118" display="https://www.jivi.com.ar/ficha.php?id=840"/>
    <hyperlink ref="AE2:AF2" location="'Artículos Publicitarios'!A839" display="CLICK AQUÍ"/>
    <hyperlink ref="AE2" location="'Artículos Publicitarios'!A833" display="CLICK AQUÍ"/>
    <hyperlink ref="AB547" r:id="rId119" display="https://www.jivi.com.ar/ficha.php?id=846"/>
    <hyperlink ref="AB25" r:id="rId120" display="https://www.jivi.com.ar/ficha.php?id=848"/>
    <hyperlink ref="AB73" r:id="rId121"/>
    <hyperlink ref="AE2:AG2" location="'Artículos Publicitarios'!A780" display="CLICK AQUÍ"/>
    <hyperlink ref="B771:W771" location="'Artículos Publicitarios'!A3" display="PARA SUBIR AL PRINCIPIO DE LA LISTA CLICK AQUÍ"/>
    <hyperlink ref="AB282" r:id="rId122" display="https://www.jivi.com.ar/ficha.php?id=862"/>
    <hyperlink ref="AB43" r:id="rId123"/>
    <hyperlink ref="AB153" r:id="rId124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668" r:id="rId125" display="https://www.jivi.com.ar/ficha.php?id=903"/>
    <hyperlink ref="AB20" r:id="rId126"/>
    <hyperlink ref="AB343" r:id="rId127" display="https://www.jivi.com.ar/ficha.php?id=916"/>
    <hyperlink ref="AB661" r:id="rId128" display="https://www.jivi.com.ar/ficha.php?id=918"/>
    <hyperlink ref="AB334" r:id="rId129" display="https://www.jivi.com.ar/ficha.php?id=926"/>
    <hyperlink ref="AB64" r:id="rId130"/>
    <hyperlink ref="AB472" r:id="rId131"/>
    <hyperlink ref="AB189" r:id="rId132" display="https://www.jivi.com.ar/ficha.php?id=948"/>
    <hyperlink ref="AB345" r:id="rId133" display="https://www.jivi.com.ar/ficha.php?id=954"/>
    <hyperlink ref="AB134" r:id="rId134"/>
    <hyperlink ref="AB136" r:id="rId135"/>
    <hyperlink ref="AB135" r:id="rId136"/>
    <hyperlink ref="AB486" r:id="rId137"/>
    <hyperlink ref="AB26" r:id="rId138"/>
    <hyperlink ref="AB339" r:id="rId139" display="https://www.jivi.com.ar/ficha.php?id=850"/>
    <hyperlink ref="AB137" r:id="rId140"/>
    <hyperlink ref="AB505" r:id="rId141"/>
    <hyperlink ref="AB506" r:id="rId142"/>
    <hyperlink ref="AB367" r:id="rId143" display="https://www.jivi.com.ar/ficha.php?id=1023"/>
    <hyperlink ref="AB335" r:id="rId144" display="https://www.jivi.com.ar/ficha.php?id=1025"/>
    <hyperlink ref="AF24" location="'Artículos Publicitarios'!A122" display="IR A PINES"/>
    <hyperlink ref="AB341" r:id="rId145" display="https://www.jivi.com.ar/ficha.php?id=647"/>
    <hyperlink ref="AB329" r:id="rId146" display="https://www.jivi.com.ar/ficha.php?id=1049"/>
    <hyperlink ref="AB203" r:id="rId147" display="https://www.jivi.com.ar/ficha.php?id=1059"/>
    <hyperlink ref="AB205" r:id="rId148" display="https://www.jivi.com.ar/ficha.php?id=1061"/>
    <hyperlink ref="AB206" r:id="rId149" display="https://www.jivi.com.ar/ficha.php?id=1062"/>
    <hyperlink ref="AB22" r:id="rId150" display="https://www.jivi.com.ar/ficha.php?id=364"/>
    <hyperlink ref="AF26:AI26" location="'Artículos Publicitarios'!A523" display="IR A GORROS"/>
    <hyperlink ref="AB24" r:id="rId151"/>
    <hyperlink ref="AB23" r:id="rId152"/>
    <hyperlink ref="AF22:AI22" location="'Artículos Publicitarios'!A644" display="IR A PROD. SUBLIMADOS"/>
    <hyperlink ref="AB354" r:id="rId153" display="https://www.jivi.com.ar/ficha.php?id=1095"/>
    <hyperlink ref="AB336" r:id="rId154" display="https://www.jivi.com.ar/ficha.php?id=1094"/>
    <hyperlink ref="AB332" r:id="rId155" display="https://www.jivi.com.ar/ficha.php?id=297"/>
    <hyperlink ref="AB373" r:id="rId156" display="https://www.jivi.com.ar/ficha.php?id=1097"/>
    <hyperlink ref="AB99" r:id="rId157" display="https://www.jivi.com.ar/ficha.php?id=1098"/>
    <hyperlink ref="AB19" r:id="rId158"/>
    <hyperlink ref="AB231" r:id="rId159"/>
    <hyperlink ref="AB327" r:id="rId160" display="https://www.jivi.com.ar/ficha.php?id=1108"/>
    <hyperlink ref="AB357" r:id="rId161" display="https://www.jivi.com.ar/ficha.php?id=1116"/>
    <hyperlink ref="AF643:AH643" location="'Artículos Publicitarios'!A3" display="IR A PAGINA 1"/>
    <hyperlink ref="AF24:AI24" location="'Artículos Publicitarios'!A91" display="IR A PINES"/>
    <hyperlink ref="AF23:AI23" location="'Artículos Publicitarios'!A165" display="IR A CARPITAS"/>
    <hyperlink ref="AF19:AI19" location="'Artículos Publicitarios'!A129" display="IR A CINTAS COLGANTES"/>
    <hyperlink ref="AF27:AI27" location="'Artículos Publicitarios'!A264" display="IR A PORTADOCUMENTOS"/>
    <hyperlink ref="AB182" r:id="rId162" display="https://www.jivi.com.ar/ficha.php?id=1119"/>
    <hyperlink ref="AB183" r:id="rId163"/>
    <hyperlink ref="AB656" r:id="rId164" display="https://www.jivi.com.ar/ficha.php?id=1154"/>
    <hyperlink ref="AB666" r:id="rId165" display="https://www.jivi.com.ar/ficha.php?id=1157"/>
    <hyperlink ref="AB667" r:id="rId166" display="https://www.jivi.com.ar/ficha.php?id=1158"/>
    <hyperlink ref="AB636" r:id="rId167" display="hhttps://www.jivi.com.ar/ficha.php?id=1155"/>
    <hyperlink ref="AB637" r:id="rId168" display="https://www.jivi.com.ar/ficha.php?id=1156"/>
    <hyperlink ref="AB337" r:id="rId169"/>
    <hyperlink ref="AB51" r:id="rId170" display="https://www.jivi.com.ar/ficha.php?id=1172"/>
    <hyperlink ref="AB340" r:id="rId171"/>
    <hyperlink ref="AB98" r:id="rId172"/>
    <hyperlink ref="AB122" r:id="rId173"/>
    <hyperlink ref="AB342" r:id="rId174" display="https://www.jivi.com.ar/ficha.php?id=915"/>
    <hyperlink ref="AB108" r:id="rId175" display="https://www.jivi.com.ar/ficha.php?id=1182"/>
    <hyperlink ref="AB121" r:id="rId176" display="https://www.jivi.com.ar/ficha.php?id=1183"/>
    <hyperlink ref="AB123" r:id="rId177"/>
    <hyperlink ref="AB346" r:id="rId178" display="https://www.jivi.com.ar/ficha.php?id=349"/>
    <hyperlink ref="AB415" r:id="rId179" display="https://www.jivi.com.ar/ficha.php?id=1190"/>
    <hyperlink ref="AB106" r:id="rId180" display="https://www.jivi.com.ar/ficha.php?id=1181"/>
    <hyperlink ref="AB352" r:id="rId181"/>
    <hyperlink ref="AB487" r:id="rId182"/>
    <hyperlink ref="AB418" r:id="rId183" display="https://www.jivi.com.ar/ficha.php?id=1219"/>
    <hyperlink ref="AB48" r:id="rId184"/>
    <hyperlink ref="AB47" r:id="rId185"/>
    <hyperlink ref="AB49" r:id="rId186"/>
    <hyperlink ref="AB669" r:id="rId187" display="https://www.jivi.com.ar/ficha.php?id=904"/>
    <hyperlink ref="AB58" r:id="rId188"/>
    <hyperlink ref="AB446" r:id="rId189" display="https://www.jivi.com.ar/ficha.php?id=1225"/>
    <hyperlink ref="AB42" r:id="rId190"/>
    <hyperlink ref="AB662" r:id="rId191" display="https://www.jivi.com.ar/ficha.php?id=919"/>
    <hyperlink ref="AB204" r:id="rId192" display="https://www.jivi.com.ar/ficha.php?id=1060"/>
    <hyperlink ref="AB41" r:id="rId193"/>
    <hyperlink ref="AB154" r:id="rId194" display="https://www.jivi.com.ar/ficha.php?id=883"/>
    <hyperlink ref="AB514" r:id="rId195"/>
    <hyperlink ref="AB127" r:id="rId196" display="https://jivi.com.ar/ficha.php?id=89"/>
    <hyperlink ref="AB549" r:id="rId197" display="https://www.jivi.com.ar/ficha.php?id=1248"/>
    <hyperlink ref="AB355" r:id="rId198" display="https://www.jivi.com.ar/ficha.php?id=1253"/>
    <hyperlink ref="AB283" r:id="rId199" display="https://www.jivi.com.ar/ficha.php?id=1124"/>
    <hyperlink ref="AB155" r:id="rId200" display="https://www.jivi.com.ar/ficha.php?id=1261"/>
    <hyperlink ref="AB387" r:id="rId201" display="https://www.jivi.com.ar/ficha.php?id=1267"/>
    <hyperlink ref="AB447" r:id="rId202" display="https://www.jivi.com.ar/ficha.php?id=1268"/>
    <hyperlink ref="AB388" r:id="rId203" display="https://www.jivi.com.ar/ficha.php?id=1277"/>
    <hyperlink ref="AB689" r:id="rId204"/>
    <hyperlink ref="AB96" r:id="rId205" display="https://www.jivi.com.ar/ficha.php?id=378"/>
    <hyperlink ref="AB180" r:id="rId206"/>
    <hyperlink ref="AB107" r:id="rId207"/>
    <hyperlink ref="AB109" r:id="rId208"/>
    <hyperlink ref="AB116" r:id="rId209" display="https://www.jivi.com.ar/ficha.php?id=1305"/>
    <hyperlink ref="AB117" r:id="rId210"/>
    <hyperlink ref="AB230" r:id="rId211" display="https://www.jivi.com.ar/ficha.php?id=1287"/>
    <hyperlink ref="AB638" r:id="rId212" display="https://www.jivi.com.ar/ficha.php?id=1290"/>
    <hyperlink ref="AB165" r:id="rId213" display="https://www.jivi.com.ar/ficha.php?id=1316"/>
    <hyperlink ref="AB102" r:id="rId214" display="https://www.jivi.com.ar/ficha.php?id=1314"/>
    <hyperlink ref="AJ1:AJ2" location="'Artículos Publicitarios'!A3" display="IR A PAGINA 1"/>
    <hyperlink ref="AB179" r:id="rId215"/>
    <hyperlink ref="AB377" r:id="rId216" display="https://www.jivi.com.ar/ficha.php?id=1344"/>
    <hyperlink ref="AB118" r:id="rId217"/>
    <hyperlink ref="AF733:AH733" location="'Artículos Publicitarios'!A3" display="IR A PAGINA 1"/>
    <hyperlink ref="AB163" r:id="rId218" display="https://www.jivi.com.ar/ficha.php?id=1346"/>
    <hyperlink ref="AB164" r:id="rId219" display="https://www.jivi.com.ar/ficha.php?id=1347"/>
    <hyperlink ref="AB202" r:id="rId220" display="https://www.jivi.com.ar/ficha.php?id=1348"/>
    <hyperlink ref="AB378" r:id="rId221" display="https://www.jivi.com.ar/ficha.php?id=1359"/>
    <hyperlink ref="AB391" r:id="rId222" display="https://www.jivi.com.ar/ficha.php?id=1360"/>
    <hyperlink ref="AB181" r:id="rId223"/>
    <hyperlink ref="AB104" r:id="rId224" display="https://www.jivi.com.ar/ficha.php?id=1366"/>
    <hyperlink ref="AC8:AI9" r:id="rId225" display="REGISTRATE EN NUESTRA WEB PARA BAJAR LISTA DE PRECIOS DESDE CUALQUIER PC"/>
    <hyperlink ref="AB284" r:id="rId226" display="https://www.jivi.com.ar/ficha.php?id=864"/>
    <hyperlink ref="AB402" r:id="rId227" display="https://www.jivi.com.ar/ficha.php?id=1372"/>
    <hyperlink ref="AB394" r:id="rId228" display="https://www.jivi.com.ar/ficha.php?id=1378"/>
    <hyperlink ref="AB403" r:id="rId229" display="https://www.jivi.com.ar/ficha.php?id=1382"/>
    <hyperlink ref="AB393" r:id="rId230" display="https://www.jivi.com.ar/ficha.php?id=1383"/>
    <hyperlink ref="AB423" r:id="rId231" display="https://www.jivi.com.ar/ficha.php?id=1384"/>
    <hyperlink ref="AB129" r:id="rId232" display="https://www.jivi.com.ar/ficha.php?id=1428"/>
    <hyperlink ref="AB424" r:id="rId233" display="https://www.jivi.com.ar/ficha.php?id=1385"/>
    <hyperlink ref="AB422" r:id="rId234" display="https://www.jivi.com.ar/ficha.php?id=1387"/>
    <hyperlink ref="AB425" r:id="rId235" display="https://www.jivi.com.ar/ficha.php?id=1389"/>
    <hyperlink ref="AB21" r:id="rId236" display="https://www.jivi.com.ar/ficha.php?id=363"/>
    <hyperlink ref="AF21" location="'Artículos Publicitarios'!A582" display="IR A REMERAS"/>
    <hyperlink ref="AF21:AI21" location="'Artículos Publicitarios'!A516" display="IR A REMERAS"/>
    <hyperlink ref="AF27:AJ27" location="'Artículos Publicitarios'!A236" display="IR A PORTADOCUMENTOS"/>
    <hyperlink ref="AF25:AH25" location="'Artículos Publicitarios'!A427" display="IR A BOLIGRAFOS"/>
    <hyperlink ref="AF25:AI25" location="'Artículos Publicitarios'!A128" display="IR A LLAVEROS DE CUERO"/>
    <hyperlink ref="AF25:AJ25" location="'Artículos Publicitarios'!A665" display="IR A ART. DE CUERO - CUCHILLERIA"/>
    <hyperlink ref="AB57" r:id="rId237" display="https://www.jivi.com.ar/ficha.php?id=236"/>
    <hyperlink ref="AB168" r:id="rId238" display="https://www.jivi.com.ar/ficha.php?id=1343"/>
    <hyperlink ref="AF13:AH13" location="'Artículos Publicitarios'!A342" display="IR A PAGINA 5"/>
    <hyperlink ref="AF14:AH14" location="'Artículos Publicitarios'!A421" display="IR A PAGINA 6"/>
    <hyperlink ref="AB404" r:id="rId239" display="https://www.jivi.com.ar/ficha.php?id=1394"/>
    <hyperlink ref="AB232" r:id="rId240" display="https://www.jivi.com.ar/ficha.php?id=872"/>
    <hyperlink ref="AB149" r:id="rId241" display="https://www.jivi.com.ar/ficha.php?id=1399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348" display="IR A BOLIGRAFOS"/>
    <hyperlink ref="AB421" r:id="rId242" display="https://www.jivi.com.ar/ficha.php?id=1262"/>
    <hyperlink ref="AB392" r:id="rId243" display="https://www.jivi.com.ar/ficha.php?id=1400"/>
    <hyperlink ref="AB405" r:id="rId244" display="https://www.jivi.com.ar/ficha.php?id=1401"/>
    <hyperlink ref="AB161" r:id="rId245" display="https://www.jivi.com.ar/ficha.php?id=1392"/>
    <hyperlink ref="AB277" r:id="rId246" display="https://www.jivi.com.ar/ficha.php?id=1230"/>
    <hyperlink ref="AB379" r:id="rId247" display="https://www.jivi.com.ar/ficha.php?id=1110"/>
    <hyperlink ref="AB381" r:id="rId248" display="https://www.jivi.com.ar/ficha.php?id=1111"/>
    <hyperlink ref="AF20:AI20" location="'Artículos Publicitarios'!A325" display="IR A SET DE NOTAS"/>
    <hyperlink ref="AF20:AJ20" location="'Artículos Publicitarios'!A543" display="IR A PARAGUAS"/>
    <hyperlink ref="AB92" r:id="rId249" display="https://www.jivi.com.ar/ficha.php?id=477"/>
    <hyperlink ref="AB94" r:id="rId250" display="https://www.jivi.com.ar/ficha.php?id=376"/>
    <hyperlink ref="AB13" r:id="rId251" display="https://www.jivi.com.ar/ficha.php?id=1402"/>
    <hyperlink ref="AB542" r:id="rId252" display="https://www.jivi.com.ar/ficha.php?id=1393"/>
    <hyperlink ref="AB16" r:id="rId253" display="https://www.jivi.com.ar/ficha.php?id=1405"/>
    <hyperlink ref="AB126" r:id="rId254" display="https://www.jivi.com.ar/ficha.php?id=1413"/>
    <hyperlink ref="AB176" r:id="rId255" display="https://www.jivi.com.ar/ficha.php?id=1415"/>
    <hyperlink ref="AF12:AH12" location="'Artículos Publicitarios'!A260" display="IR A PAGINA 4"/>
    <hyperlink ref="AB324" r:id="rId256" display="https://www.jivi.com.ar/ficha.php?id=1356"/>
    <hyperlink ref="AB219" r:id="rId257" display="https://www.jivi.com.ar/ficha.php?id=1084"/>
    <hyperlink ref="AB322" r:id="rId258" display="https://www.jivi.com.ar/ficha.php?id=1353"/>
    <hyperlink ref="AF28:AH28" location="'Artículos Publicitarios'!A427" display="IR A BOLIGRAFOS"/>
    <hyperlink ref="AF28:AI28" location="'Artículos Publicitarios'!A128" display="IR A LLAVEROS DE CUERO"/>
    <hyperlink ref="AF28:AJ28" location="'Artículos Publicitarios'!A707" display="IR A DELANTALES"/>
    <hyperlink ref="AB694" r:id="rId259"/>
    <hyperlink ref="AB697" r:id="rId260"/>
    <hyperlink ref="AB663" r:id="rId261" display="https://www.jivi.com.ar/ficha.php?id=1281"/>
    <hyperlink ref="AB686" r:id="rId262"/>
    <hyperlink ref="AB297" r:id="rId263" display="https://www.jivi.com.ar/ficha.php?id=1421"/>
    <hyperlink ref="AB300" r:id="rId264" display="https://www.jivi.com.ar/ficha.php?id=1422"/>
    <hyperlink ref="AB301" r:id="rId265" display="https://www.jivi.com.ar/ficha.php?id=1423"/>
    <hyperlink ref="AB315" r:id="rId266" display="https://www.jivi.com.ar/ficha.php?id=1425"/>
    <hyperlink ref="AB321" r:id="rId267" display="https://www.jivi.com.ar/ficha.php?id=1426"/>
    <hyperlink ref="AB444" r:id="rId268" display="https://www.jivi.com.ar/ficha.php?id=1429"/>
    <hyperlink ref="AB488" r:id="rId269"/>
    <hyperlink ref="AB490" r:id="rId270"/>
    <hyperlink ref="AB536" r:id="rId271" display="https://www.jivi.com.ar/ficha.php?id=1436"/>
    <hyperlink ref="AB537" r:id="rId272" display="https://www.jivi.com.ar/ficha.php?id=1437"/>
    <hyperlink ref="AB538" r:id="rId273"/>
    <hyperlink ref="AB540" r:id="rId274" display="https://www.jivi.com.ar/ficha.php?id=1439"/>
    <hyperlink ref="AB299" r:id="rId275" display="https://www.jivi.com.ar/ficha.php?id=1442"/>
    <hyperlink ref="AB314" r:id="rId276" display="https://www.jivi.com.ar/ficha.php?id=1427"/>
    <hyperlink ref="AB654" r:id="rId277"/>
    <hyperlink ref="AB372" r:id="rId278" display="https://www.jivi.com.ar/ficha.php?id=1056"/>
    <hyperlink ref="AB276" r:id="rId279" display="https://www.jivi.com.ar/ficha.php?id=1334"/>
    <hyperlink ref="AB269" r:id="rId280" display="https://www.jivi.com.ar/ficha.php?id=1335"/>
    <hyperlink ref="AB308" r:id="rId281" display="https://www.jivi.com.ar/ficha.php?id=1446"/>
    <hyperlink ref="AB323" r:id="rId282" display="https://www.jivi.com.ar/ficha.php?id=1354"/>
    <hyperlink ref="AB312" r:id="rId283" display="https://www.jivi.com.ar/ficha.php?id=1448"/>
    <hyperlink ref="AB326" r:id="rId284" display="https://www.jivi.com.ar/ficha.php?id=1450"/>
    <hyperlink ref="AB198" r:id="rId285"/>
    <hyperlink ref="AB208" r:id="rId286" display="https://www.jivi.com.ar/ficha.php?id=1064"/>
    <hyperlink ref="AB207" r:id="rId287" display="https://www.jivi.com.ar/ficha.php?id=1063"/>
    <hyperlink ref="AB473" r:id="rId288"/>
    <hyperlink ref="AB690" r:id="rId289"/>
    <hyperlink ref="AB411" r:id="rId290" display="https://www.jivi.com.ar/ficha.php?id=1463"/>
    <hyperlink ref="AB412" r:id="rId291" display="https://www.jivi.com.ar/ficha.php?id=1464"/>
    <hyperlink ref="AB430" r:id="rId292" display="https://www.jivi.com.ar/ficha.php?id=1466"/>
    <hyperlink ref="AB543" r:id="rId293" display="https://www.jivi.com.ar/ficha.php?id=1467"/>
    <hyperlink ref="AB541" r:id="rId294" display="https://www.jivi.com.ar/ficha.php?id=1468"/>
    <hyperlink ref="AB548" r:id="rId295" display="https://www.jivi.com.ar/ficha.php?id=1470"/>
    <hyperlink ref="AB552" r:id="rId296"/>
    <hyperlink ref="AB553" r:id="rId297" display="https://www.jivi.com.ar/ficha.php?id=1472"/>
    <hyperlink ref="AB500" r:id="rId298"/>
    <hyperlink ref="AB634" r:id="rId299"/>
    <hyperlink ref="AB635" r:id="rId300"/>
    <hyperlink ref="AB633" r:id="rId301"/>
    <hyperlink ref="AB223" r:id="rId302" display="https://www.jivi.com.ar/ficha.php?id=1478"/>
    <hyperlink ref="AB224" r:id="rId303"/>
    <hyperlink ref="AB225" r:id="rId304"/>
    <hyperlink ref="AB218" r:id="rId305" display="https://www.jivi.com.ar/ficha.php?id=1481"/>
    <hyperlink ref="AB233" r:id="rId306" display="https://www.jivi.com.ar/ficha.php?id=1483"/>
    <hyperlink ref="AB267" r:id="rId307" display="https://www.jivi.com.ar/ficha.php?id=1486"/>
    <hyperlink ref="AB268" r:id="rId308" display="https://www.jivi.com.ar/ficha.php?id=1488"/>
    <hyperlink ref="AB657" r:id="rId309" display="https://www.jivi.com.ar/ficha.php?id=1492"/>
    <hyperlink ref="AB658" r:id="rId310" display="https://www.jivi.com.ar/ficha.php?id=1493"/>
    <hyperlink ref="AB659" r:id="rId311" display="https://www.jivi.com.ar/ficha.php?id=1494"/>
    <hyperlink ref="AB660" r:id="rId312"/>
    <hyperlink ref="AB675" r:id="rId313" display="https://www.jivi.com.ar/ficha.php?id=1496"/>
    <hyperlink ref="AB676" r:id="rId314" display="https://www.jivi.com.ar/ficha.php?id=1497"/>
    <hyperlink ref="AB678" r:id="rId315" display="httphttps://www.jivi.com.ar/ficha.php?id=1498"/>
    <hyperlink ref="AB679" r:id="rId316" display="https://www.jivi.com.ar/ficha.php?id=1499"/>
    <hyperlink ref="AB680" r:id="rId317" display="https://www.jivi.com.ar/ficha.php?id=1500"/>
    <hyperlink ref="AB36" r:id="rId318"/>
    <hyperlink ref="AB38" r:id="rId319"/>
    <hyperlink ref="AB35" r:id="rId320"/>
    <hyperlink ref="AB37" r:id="rId321"/>
    <hyperlink ref="AB39" r:id="rId322"/>
    <hyperlink ref="AB40" r:id="rId323"/>
    <hyperlink ref="AB535" r:id="rId324" display="https://www.jivi.com.ar/ficha.php?id=1509"/>
    <hyperlink ref="AB516" r:id="rId325"/>
    <hyperlink ref="AB296" r:id="rId326" display="https://www.jivi.com.ar/ficha.php?id=1515"/>
    <hyperlink ref="AB68" r:id="rId327"/>
    <hyperlink ref="AB70" r:id="rId328"/>
    <hyperlink ref="AB407" r:id="rId329" display="https://www.jivi.com.ar/ficha.php?id=1523"/>
    <hyperlink ref="AB295" r:id="rId330" display="https://www.jivi.com.ar/ficha.php?id=1559"/>
    <hyperlink ref="AB298" r:id="rId331" display="https://www.jivi.com.ar/ficha.php?id=1527"/>
    <hyperlink ref="AB255" r:id="rId332" display="https://www.jivi.com.ar/ficha.php?id=1532"/>
    <hyperlink ref="AB265" r:id="rId333" display="https://www.jivi.com.ar/ficha.php?id=1534"/>
    <hyperlink ref="AB681" r:id="rId334" display="https://www.jivi.com.ar/ficha.php?id=1535"/>
    <hyperlink ref="AB682" r:id="rId335" display="https://www.jivi.com.ar/ficha.php?id=1536"/>
    <hyperlink ref="AB241" r:id="rId336" display="https://www.jivi.com.ar/ficha.php?id=1539"/>
    <hyperlink ref="AB133" r:id="rId337" display="https://www.jivi.com.ar/ficha.php?id=1540"/>
    <hyperlink ref="AB550" r:id="rId338" display="https://www.jivi.com.ar/ficha.php?id=1541"/>
    <hyperlink ref="AB551" r:id="rId339" display="https://www.jivi.com.ar/ficha.php?id=1542"/>
    <hyperlink ref="AB249" r:id="rId340" display="https://www.jivi.com.ar/ficha.php?id=1545"/>
    <hyperlink ref="AB380" r:id="rId341"/>
    <hyperlink ref="AB353" r:id="rId342" display="https://www.jivi.com.ar/ficha.php?id=981"/>
    <hyperlink ref="AB408" r:id="rId343" display="https://www.jivi.com.ar/ficha.php?id=1548"/>
    <hyperlink ref="AB409" r:id="rId344" display="https://www.jivi.com.ar/ficha.php?id=1549"/>
    <hyperlink ref="AB456" r:id="rId345"/>
    <hyperlink ref="AB443" r:id="rId346" display="https://www.jivi.com.ar/ficha.php?id=1552"/>
    <hyperlink ref="AB375" r:id="rId347" display="https://www.jivi.com.ar/ficha.php?id=1311"/>
    <hyperlink ref="AB148" r:id="rId348" display="https://www.jivi.com.ar/ficha.php?id=1553"/>
    <hyperlink ref="AB144" r:id="rId349" display="https://www.jivi.com.ar/ficha.php?id=1554"/>
    <hyperlink ref="AB596" r:id="rId350" display="https://www.jivi.com.ar/ficha.php?id=1555"/>
    <hyperlink ref="AB56" r:id="rId351" display="https://www.jivi.com.ar/ficha.php?id=1557"/>
    <hyperlink ref="AB695" r:id="rId352"/>
    <hyperlink ref="AB234" r:id="rId353" display="https://www.jivi.com.ar/ficha.php?id=518"/>
    <hyperlink ref="AB199" r:id="rId354" display="https://www.jivi.com.ar/ficha.php?id=1561"/>
    <hyperlink ref="AB10" r:id="rId355" display="https://www.jivi.com.ar/ficha.php?id=26"/>
    <hyperlink ref="AB243" r:id="rId356" display="https://www.jivi.com.ar/ficha.php?id=1066"/>
    <hyperlink ref="AB246" r:id="rId357" display="https://www.jivi.com.ar/ficha.php?id=1562"/>
    <hyperlink ref="AB451" r:id="rId358" display="https://www.jivi.com.ar/ficha.php?id=1563"/>
    <hyperlink ref="AB162" r:id="rId359" display="https://www.jivi.com.ar/ficha.php?id=1414"/>
    <hyperlink ref="AB17" r:id="rId360" display="https://www.jivi.com.ar/ficha.php?id=790"/>
    <hyperlink ref="AB305" r:id="rId361" display="https://www.jivi.com.ar/ficha.php?id=1407"/>
    <hyperlink ref="AB304" r:id="rId362" display="https://www.jivi.com.ar/ficha.php?id=1409"/>
    <hyperlink ref="AB306" r:id="rId363" display="https://www.jivi.com.ar/ficha.php?id=1408"/>
    <hyperlink ref="AB293" r:id="rId364" display="https://www.jivi.com.ar/ficha.php?id=1564"/>
    <hyperlink ref="AB28" r:id="rId365" display="https://www.jivi.com.ar/ficha.php?id=1434"/>
    <hyperlink ref="AB413" r:id="rId366" display="https://www.jivi.com.ar/ficha.php?id=1567"/>
    <hyperlink ref="AB44" r:id="rId367"/>
    <hyperlink ref="AB45" r:id="rId368"/>
    <hyperlink ref="AB46" r:id="rId369"/>
    <hyperlink ref="AB130" r:id="rId370" display="https://www.jivi.com.ar/ficha.php?id=1571"/>
    <hyperlink ref="AB217" r:id="rId371"/>
    <hyperlink ref="AB410" r:id="rId372" display="https://www.jivi.com.ar/ficha.php?id=1572"/>
    <hyperlink ref="AB294" r:id="rId373" display="https://www.jivi.com.ar/ficha.php?id=1573"/>
    <hyperlink ref="AB567" r:id="rId374" display="https://www.jivi.com.ar/ficha.php?id=1294"/>
    <hyperlink ref="AF29:AJ29" location="'Artículos Publicitarios'!A583" display="IR A MOCHILAS - BOLSOS - ETC"/>
    <hyperlink ref="AB574" r:id="rId375" display="https://www.jivi.com.ar/ficha.php?id=1271"/>
    <hyperlink ref="AB573" r:id="rId376" display="https://www.jivi.com.ar/ficha.php?id=1296"/>
    <hyperlink ref="AB578" r:id="rId377" display="https://www.jivi.com.ar/ficha.php?id=1139"/>
    <hyperlink ref="AB571" r:id="rId378" display="https://www.jivi.com.ar/ficha.php?id=1249"/>
    <hyperlink ref="AB611" r:id="rId379" display="https://www.jivi.com.ar/ficha.php?id=1574"/>
    <hyperlink ref="AB572" r:id="rId380" display="https://www.jivi.com.ar/ficha.php?id=1576"/>
    <hyperlink ref="AB582" r:id="rId381" display="https://www.jivi.com.ar/ficha.php?id=1580"/>
    <hyperlink ref="AB583" r:id="rId382" display="https://www.jivi.com.ar/ficha.php?id=1581"/>
    <hyperlink ref="AB587" r:id="rId383" display="https://www.jivi.com.ar/ficha.php?id=1583"/>
    <hyperlink ref="AB588" r:id="rId384" display="https://www.jivi.com.ar/ficha.php?id=1584"/>
    <hyperlink ref="AB590" r:id="rId385" display="https://www.jivi.com.ar/ficha.php?id=1586"/>
    <hyperlink ref="AB591" r:id="rId386" display="https://www.jivi.com.ar/ficha.php?id=1587"/>
    <hyperlink ref="AF17:AJ17" location="'Artículos Publicitarios'!A267" display="IR A CUADERNOS"/>
    <hyperlink ref="AB279" r:id="rId387" display="https://www.jivi.com.ar/ficha.php?id=1221"/>
    <hyperlink ref="AB285" r:id="rId388" display="https://www.jivi.com.ar/ficha.php?id=1588"/>
    <hyperlink ref="AB530" r:id="rId389"/>
    <hyperlink ref="AB531" r:id="rId390" display="https://www.jivi.com.ar/ficha.php?id=1590"/>
    <hyperlink ref="AB532" r:id="rId391"/>
    <hyperlink ref="AB533" r:id="rId392" display="https://www.jivi.com.ar/ficha.php?id=1592"/>
    <hyperlink ref="AB597" r:id="rId393" display="https://www.jivi.com.ar/ficha.php?id=1593"/>
    <hyperlink ref="AB291" r:id="rId394" display="https://www.jivi.com.ar/ficha.php?id=1595"/>
    <hyperlink ref="AB433" r:id="rId395" display="https://www.jivi.com.ar/ficha.php?id=1596"/>
    <hyperlink ref="AB598" r:id="rId396" display="https://www.jivi.com.ar/ficha.php?id=1598"/>
    <hyperlink ref="AB589" r:id="rId397" display="https://www.jivi.com.ar/ficha.php?id=1599"/>
    <hyperlink ref="AB600" r:id="rId398" display="https://www.jivi.com.ar/ficha.php?id=1602"/>
    <hyperlink ref="AB604" r:id="rId399" display="https://www.jivi.com.ar/ficha.php?id=1603"/>
    <hyperlink ref="AB59" r:id="rId400"/>
    <hyperlink ref="AB605" r:id="rId401" display="https://www.jivi.com.ar/ficha.php?id=1604"/>
    <hyperlink ref="AB606" r:id="rId402" display="https://www.jivi.com.ar/ficha.php?id=1606"/>
    <hyperlink ref="AB311" r:id="rId403" display="https://www.jivi.com.ar/ficha.php?id=1424"/>
    <hyperlink ref="AB184" r:id="rId404"/>
    <hyperlink ref="AB260" r:id="rId405" display="https://www.jivi.com.ar/ficha.php?id=1459"/>
    <hyperlink ref="AB259" r:id="rId406" display="https://www.jivi.com.ar/ficha.php?id=1608"/>
    <hyperlink ref="AB258" r:id="rId407" display="https://www.jivi.com.ar/ficha.php?id=1609"/>
    <hyperlink ref="AB280" r:id="rId408" display="https://www.jivi.com.ar/ficha.php?id=1274"/>
    <hyperlink ref="AB440" r:id="rId409" display="https://www.jivi.com.ar/ficha.php?id=1610"/>
    <hyperlink ref="AB586" r:id="rId410" display="https://www.jivi.com.ar/ficha.php?id=1611"/>
    <hyperlink ref="AB585" r:id="rId411" display="https://www.jivi.com.ar/ficha.php?id=1612"/>
    <hyperlink ref="AB211" r:id="rId412" display="https://www.jivi.com.ar/ficha.php?id=1614"/>
    <hyperlink ref="AB209" r:id="rId413" display="https://www.jivi.com.ar/ficha.php?id=1452"/>
    <hyperlink ref="AB227" r:id="rId414" display="https://www.jivi.com.ar/ficha.php?id=608"/>
    <hyperlink ref="AB614" r:id="rId415" display="https://www.jivi.com.ar/ficha.php?id=1617"/>
    <hyperlink ref="AB615" r:id="rId416" display="https://www.jivi.com.ar/ficha.php?id=1618"/>
    <hyperlink ref="AB528" r:id="rId417"/>
    <hyperlink ref="AB529" r:id="rId418" display="https://www.jivi.com.ar/ficha.php?id=1620"/>
    <hyperlink ref="AB545" r:id="rId419" display="https://www.jivi.com.ar/ficha.php?id=1204"/>
    <hyperlink ref="AB546" r:id="rId420"/>
    <hyperlink ref="AB351" r:id="rId421"/>
    <hyperlink ref="AB515" r:id="rId422"/>
    <hyperlink ref="AB647" r:id="rId423"/>
    <hyperlink ref="AB699" r:id="rId424"/>
    <hyperlink ref="AB700" r:id="rId425"/>
    <hyperlink ref="AB701" r:id="rId426"/>
    <hyperlink ref="AB384" r:id="rId427" display="https://www.jivi.com.ar/ficha.php?id=1641"/>
    <hyperlink ref="AB459" r:id="rId428"/>
    <hyperlink ref="AB460" r:id="rId429"/>
    <hyperlink ref="AB461" r:id="rId430"/>
    <hyperlink ref="AB684" r:id="rId431"/>
    <hyperlink ref="AB458" r:id="rId432"/>
    <hyperlink ref="AB173" r:id="rId433" display="https://www.jivi.com.ar/ficha.php?id=1660"/>
    <hyperlink ref="AB100" r:id="rId434" display="https://www.jivi.com.ar/ficha.php?id=440"/>
    <hyperlink ref="AB685" r:id="rId435"/>
    <hyperlink ref="AB693" r:id="rId436"/>
    <hyperlink ref="AB698" r:id="rId437"/>
    <hyperlink ref="AB534" r:id="rId438" display="https://www.jivi.com.ar/ficha.php?id=1684"/>
    <hyperlink ref="AB386" r:id="rId439" display="https://www.jivi.com.ar/ficha.php?id=1272"/>
    <hyperlink ref="AB385" r:id="rId440" display="https://www.jivi.com.ar/ficha.php?id=1687"/>
    <hyperlink ref="AB383" r:id="rId441" display="https://www.jivi.com.ar/ficha.php?id=1672"/>
    <hyperlink ref="AB592" r:id="rId442" display="https://www.jivi.com.ar/ficha.php?id=1690"/>
    <hyperlink ref="AB527" r:id="rId443" display="https://www.jivi.com.ar/ficha.php?id=1691"/>
    <hyperlink ref="AB539" r:id="rId444" display="https://www.jivi.com.ar/ficha.php?id=1438"/>
    <hyperlink ref="AF520:AH520" location="'Artículos Publicitarios'!A3" display="IR A PAGINA 1"/>
    <hyperlink ref="AB29" r:id="rId445" display="https://www.jivi.com.ar/ficha.php?id=36"/>
    <hyperlink ref="AB525" r:id="rId446"/>
    <hyperlink ref="AB526" r:id="rId447" display="https://www.jivi.com.ar/ficha.php?id=1698"/>
    <hyperlink ref="AB434" r:id="rId448" display="https://www.jivi.com.ar/ficha.php?id=1699"/>
    <hyperlink ref="AB517" r:id="rId449"/>
    <hyperlink ref="AB406" r:id="rId450" display="https://www.jivi.com.ar/ficha.php?id=1462"/>
    <hyperlink ref="AB254" r:id="rId451" display="https://www.jivi.com.ar/ficha.php?id=1531"/>
    <hyperlink ref="AB252" r:id="rId452" display="https://www.jivi.com.ar/ficha.php?id=1528"/>
    <hyperlink ref="AB445" r:id="rId453"/>
    <hyperlink ref="AB359" r:id="rId454" display="https://www.jivi.com.ar/ficha.php?id=977"/>
    <hyperlink ref="AB428" r:id="rId455" display="https://www.jivi.com.ar/ficha.php?id=1457"/>
    <hyperlink ref="AB427" r:id="rId456" display="https://www.jivi.com.ar/ficha.php?id=1456"/>
    <hyperlink ref="AB360" r:id="rId457" display="https://www.jivi.com.ar/ficha.php?id=1707"/>
    <hyperlink ref="AB361" r:id="rId458" display="https://www.jivi.com.ar/ficha.php?id=1708"/>
    <hyperlink ref="AB431" r:id="rId459"/>
    <hyperlink ref="AB524" r:id="rId460" display="https://www.jivi.com.ar/ficha.php?id=1722"/>
    <hyperlink ref="AB14" r:id="rId461" display="https://www.jivi.com.ar/ficha.php?id=1723"/>
    <hyperlink ref="AB195" r:id="rId462"/>
    <hyperlink ref="AB191" r:id="rId463"/>
    <hyperlink ref="AB193" r:id="rId464"/>
    <hyperlink ref="AB192" r:id="rId465"/>
    <hyperlink ref="AB194" r:id="rId466"/>
    <hyperlink ref="AB190" r:id="rId467"/>
    <hyperlink ref="AB648" r:id="rId468"/>
    <hyperlink ref="AB650" r:id="rId469"/>
    <hyperlink ref="AB671" r:id="rId470"/>
    <hyperlink ref="AB674" r:id="rId471"/>
    <hyperlink ref="AB655" r:id="rId472"/>
    <hyperlink ref="AB612" r:id="rId473" display="https://www.jivi.com.ar/ficha.php?id=1575"/>
    <hyperlink ref="AB607" r:id="rId474" display="https://www.jivi.com.ar/ficha.php?id=1743"/>
    <hyperlink ref="AB608" r:id="rId475" display="https://www.jivi.com.ar/ficha.php?id=1744"/>
    <hyperlink ref="AB609" r:id="rId476" display="https://www.jivi.com.ar/ficha.php?id=1745"/>
    <hyperlink ref="AB579" r:id="rId477" display="https://www.jivi.com.ar/ficha.php?id=1746"/>
    <hyperlink ref="AB645" r:id="rId478"/>
    <hyperlink ref="AB522" r:id="rId479"/>
    <hyperlink ref="AB523" r:id="rId480" display="https://www.jivi.com.ar/ficha.php?id=1749"/>
    <hyperlink ref="AB569" r:id="rId481"/>
    <hyperlink ref="AB696" r:id="rId482"/>
    <hyperlink ref="AB432" r:id="rId483"/>
    <hyperlink ref="AB302" r:id="rId484" display="https://www.jivi.com.ar/ficha.php?id=1461"/>
    <hyperlink ref="AB593" r:id="rId485" display="https://www.jivi.com.ar/ficha.php?id=1776"/>
    <hyperlink ref="AB128" r:id="rId486" display="https://www.jivi.com.ar/ficha.php?id=1310"/>
    <hyperlink ref="AB489" r:id="rId487"/>
    <hyperlink ref="AB62" r:id="rId488" display="https://www.jivi.com.ar/ficha.php?id=76"/>
    <hyperlink ref="AB61" r:id="rId489"/>
    <hyperlink ref="AB60" r:id="rId490"/>
    <hyperlink ref="AB247" r:id="rId491" display="https://www.jivi.com.ar/ficha.php?id=1709"/>
    <hyperlink ref="AB616" r:id="rId492" display="https://www.jivi.com.ar/ficha.php?id=1710"/>
    <hyperlink ref="AB625" r:id="rId493"/>
    <hyperlink ref="AB627" r:id="rId494"/>
    <hyperlink ref="AB628" r:id="rId495"/>
    <hyperlink ref="AB630" r:id="rId496"/>
    <hyperlink ref="AB575" r:id="rId497" display="https://www.jivi.com.ar/ficha.php?id=1293"/>
    <hyperlink ref="AB274" r:id="rId498" display="https://www.jivi.com.ar/ficha.php?id=1340"/>
    <hyperlink ref="AB278" r:id="rId499" display="https://www.jivi.com.ar/ficha.php?id=1265"/>
    <hyperlink ref="AB266" r:id="rId500" display="https://www.jivi.com.ar/ficha.php?id=1487"/>
    <hyperlink ref="AB119" r:id="rId501"/>
    <hyperlink ref="AB124" r:id="rId502"/>
    <hyperlink ref="AB120" r:id="rId503"/>
    <hyperlink ref="AB213" r:id="rId504" display="https://www.jivi.com.ar/ficha.php?id=1319"/>
    <hyperlink ref="AB125" r:id="rId505"/>
    <hyperlink ref="AB307" r:id="rId506" display="https://www.jivi.com.ar/ficha.php?id=1447"/>
    <hyperlink ref="AB370" r:id="rId507" display="https://www.jivi.com.ar/ficha.php?id=1087"/>
    <hyperlink ref="AB491" r:id="rId508"/>
    <hyperlink ref="AB132" r:id="rId509" display="https://www.jivi.com.ar/ficha.php?id=1451"/>
    <hyperlink ref="AB270" r:id="rId510"/>
    <hyperlink ref="AB364" r:id="rId511" display="https://www.jivi.com.ar/ficha.php?id=1805"/>
    <hyperlink ref="AB325" r:id="rId512" display="https://www.jivi.com.ar/ficha.php?id=1342"/>
    <hyperlink ref="AB371" r:id="rId513" display="https://www.jivi.com.ar/ficha.php?id=1070"/>
    <hyperlink ref="AB374" r:id="rId514"/>
    <hyperlink ref="AB455" r:id="rId515"/>
    <hyperlink ref="AB439" r:id="rId516" display="https://www.jivi.com.ar/ficha.php?id=1597"/>
    <hyperlink ref="AB376" r:id="rId517" display="https://www.jivi.com.ar/ficha.php?id=1131"/>
    <hyperlink ref="AB290" r:id="rId518" display="https://www.jivi.com.ar/ficha.php?id=1774"/>
    <hyperlink ref="AB417" r:id="rId519" display="https://www.jivi.com.ar/ficha.php?id=1820"/>
    <hyperlink ref="AB251" r:id="rId520" display="https://www.jivi.com.ar/ficha.php?id=1544"/>
    <hyperlink ref="AB256" r:id="rId521" display="https://www.jivi.com.ar/ficha.php?id=1533"/>
    <hyperlink ref="AF10:AH10" location="'Artículos Publicitarios'!A101" display="IR A PAGINA 2"/>
    <hyperlink ref="AB594" r:id="rId522" display="https://www.jivi.com.ar/ficha.php?id=1556"/>
    <hyperlink ref="AB610" r:id="rId523" display="https://www.jivi.com.ar/ficha.php?id=1825"/>
    <hyperlink ref="AB286" r:id="rId524" display="https://www.jivi.com.ar/ficha.php?id=1491"/>
    <hyperlink ref="AB197" r:id="rId525" display="https://www.jivi.com.ar/ficha.php?id=149"/>
    <hyperlink ref="AB292" r:id="rId526" display="https://www.jivi.com.ar/ficha.php?id=1594"/>
    <hyperlink ref="AB429" r:id="rId527"/>
    <hyperlink ref="AB210" r:id="rId528" display="https://www.jivi.com.ar/ficha.php?id=1799"/>
    <hyperlink ref="AB691" r:id="rId529"/>
    <hyperlink ref="AB692" r:id="rId530"/>
    <hyperlink ref="AB281" r:id="rId531" display="https://www.jivi.com.ar/ficha.php?id=1077"/>
    <hyperlink ref="AB350" r:id="rId532"/>
    <hyperlink ref="AB613" r:id="rId533" display="https://www.jivi.com.ar/ficha.php?id=1616"/>
    <hyperlink ref="AB261" r:id="rId534" display="https://www.jivi.com.ar/ficha.php?id=1520"/>
    <hyperlink ref="AB271" r:id="rId535"/>
    <hyperlink ref="AB309" r:id="rId536" display="https://www.jivi.com.ar/ficha.php?id=1443"/>
    <hyperlink ref="AB131" r:id="rId537" display="https://www.jivi.com.ar/ficha.php?id=1055"/>
    <hyperlink ref="AB649" r:id="rId538"/>
    <hyperlink ref="AB673" r:id="rId539"/>
    <hyperlink ref="AB253" r:id="rId540" display="https://www.jivi.com.ar/ficha.php?id=1530"/>
    <hyperlink ref="AB401" r:id="rId541" display="https://www.jivi.com.ar/ficha.php?id=1379"/>
    <hyperlink ref="AB395" r:id="rId542" display="https://www.jivi.com.ar/ficha.php?id=1380"/>
    <hyperlink ref="AB365" r:id="rId543" display="https://www.jivi.com.ar/ficha.php?id=1840"/>
    <hyperlink ref="AB562" r:id="rId544" display="https://www.jivi.com.ar/ficha.php?id=1371"/>
    <hyperlink ref="AB629" r:id="rId545"/>
    <hyperlink ref="AB581" r:id="rId546" display="https://www.jivi.com.ar/ficha.php?id=1579"/>
    <hyperlink ref="AB576" r:id="rId547" display="https://www.jivi.com.ar/ficha.php?id=1138"/>
    <hyperlink ref="AB564" r:id="rId548" display="https://www.jivi.com.ar/ficha.php?id=1911"/>
    <hyperlink ref="AB566" r:id="rId549" display="https://www.jivi.com.ar/ficha.php?id=1916"/>
    <hyperlink ref="AB565" r:id="rId550" display="https://www.jivi.com.ar/ficha.php?id=1912"/>
    <hyperlink ref="AF560:AH560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14" r:id="rId551" display="https://www.jivi.com.ar/ficha.php?id=1386"/>
    <hyperlink ref="AB651" r:id="rId552"/>
    <hyperlink ref="AB382" r:id="rId553" display="https://www.jivi.com.ar/ficha.php?id=1566"/>
    <hyperlink ref="AB248" r:id="rId554" display="https://www.jivi.com.ar/ficha.php?id=1998"/>
    <hyperlink ref="AB287" r:id="rId555" display="https://www.jivi.com.ar/ficha.php?id=1411"/>
    <hyperlink ref="AB595" r:id="rId556" display="https://www.jivi.com.ar/ficha.php?id=2000"/>
    <hyperlink ref="AB584" r:id="rId557" display="https://www.jivi.com.ar/ficha.php?id=2002"/>
    <hyperlink ref="AB599" r:id="rId558" display="https://www.jivi.com.ar/ficha.php?id=1601"/>
    <hyperlink ref="AB580" r:id="rId559" display="https://www.jivi.com.ar/ficha.php?id=1577"/>
    <hyperlink ref="AB577" r:id="rId560" display="https://www.jivi.com.ar/ficha.php?id=1245"/>
    <hyperlink ref="AB603" r:id="rId561" display="https://www.jivi.com.ar/ficha.php?id=2003"/>
    <hyperlink ref="AB257" r:id="rId562" display="https://www.jivi.com.ar/ficha.php?id=2007"/>
    <hyperlink ref="AB170" r:id="rId563" display="https://www.jivi.com.ar/ficha.php?id=1258"/>
    <hyperlink ref="AB466" r:id="rId564"/>
    <hyperlink ref="AB457" r:id="rId565"/>
    <hyperlink ref="AB420" r:id="rId566" display="https://www.jivi.com.ar/ficha.php?id=1720"/>
    <hyperlink ref="AB496" r:id="rId567"/>
    <hyperlink ref="AB250" r:id="rId568" display="https://www.jivi.com.ar/ficha.php?id=2011"/>
    <hyperlink ref="AB369" r:id="rId569"/>
    <hyperlink ref="AB570" r:id="rId570" display="https://www.jivi.com.ar/ficha.php?id=2014"/>
    <hyperlink ref="AB419" r:id="rId571" display="https://www.jivi.com.ar/ficha.php?id=2017"/>
    <hyperlink ref="AB435" r:id="rId572" display="https://www.jivi.com.ar/ficha.php?id=2018"/>
    <hyperlink ref="AB273" r:id="rId573" display="https://www.jivi.com.ar/ficha.php?id=1339"/>
    <hyperlink ref="AB289" r:id="rId574" display="https://www.jivi.com.ar/ficha.php?id=2026"/>
    <hyperlink ref="AB235" r:id="rId575" display="https://www.jivi.com.ar/ficha.php?id=335"/>
    <hyperlink ref="AB330" r:id="rId576" display="https://www.jivi.com.ar/ficha.php?id=444"/>
    <hyperlink ref="AB467" r:id="rId577"/>
    <hyperlink ref="AB468" r:id="rId578"/>
    <hyperlink ref="AB617" r:id="rId579" display="https://www.jivi.com.ar/ficha.php?id=2040"/>
    <hyperlink ref="AB688" r:id="rId580" display="https://www.jivi.com.ar/ficha.php?id=1662"/>
    <hyperlink ref="AB672" r:id="rId581" display="https://www.jivi.com.ar/ficha.php?id=2042"/>
    <hyperlink ref="AB507" r:id="rId582"/>
    <hyperlink ref="AB508" r:id="rId583"/>
    <hyperlink ref="AB511" r:id="rId584"/>
    <hyperlink ref="AF479:AH479" location="'Artículos Publicitarios'!A3" display="IR A PAGINA 1"/>
    <hyperlink ref="AB426" r:id="rId585" display="https://www.jivi.com.ar/ficha.php?id=1390"/>
    <hyperlink ref="AB390" r:id="rId586" display="https://www.jivi.com.ar/ficha.php?id=1280"/>
    <hyperlink ref="AB389" r:id="rId587" display="https://www.jivi.com.ar/ficha.php?id=1278"/>
    <hyperlink ref="AB275" r:id="rId588" display="https://www.jivi.com.ar/ficha.php?id=1256"/>
    <hyperlink ref="AB310" r:id="rId589" display="https://www.jivi.com.ar/ficha.php?id=1410"/>
    <hyperlink ref="AB313" r:id="rId590" display="https://www.jivi.com.ar/articulos.php?search=1066"/>
    <hyperlink ref="AB15" r:id="rId591" display="https://www.jivi.com.ar/ficha.php?id=1433"/>
    <hyperlink ref="AB175" r:id="rId592" display="https://www.jivi.com.ar/ficha.php?id=1416"/>
    <hyperlink ref="AB602" r:id="rId593" display="https://www.jivi.com.ar/ficha.php?id=2051"/>
    <hyperlink ref="AB167" r:id="rId594" display="https://www.jivi.com.ar/ficha.php?id=2052"/>
    <hyperlink ref="AB416" r:id="rId595"/>
    <hyperlink ref="AB166" r:id="rId596" display="https://www.jivi.com.ar/ficha.php?id=2055"/>
    <hyperlink ref="AB262" r:id="rId597" display="https://www.jivi.com.ar/ficha.php?id=2058"/>
    <hyperlink ref="AB245" r:id="rId598" display="https://www.jivi.com.ar/ficha.php?id=971"/>
    <hyperlink ref="AB244" r:id="rId599" display="https://www.jivi.com.ar/ficha.php?id=2059"/>
    <hyperlink ref="AB687" r:id="rId600" display="https://www.jivi.com.ar/ficha.php?id=2060"/>
    <hyperlink ref="AB670" r:id="rId601" display="https://www.jivi.com.ar/ficha.php?id=2061"/>
    <hyperlink ref="AB683" r:id="rId602" display="https://www.jivi.com.ar/ficha.php?id=2062"/>
    <hyperlink ref="AB169" r:id="rId603" display="https://www.jivi.com.ar/ficha.php?id=1369"/>
    <hyperlink ref="AB272" r:id="rId604" display="https://www.jivi.com.ar/ficha.php?id=1364"/>
    <hyperlink ref="AB200" r:id="rId605" display="https://www.jivi.com.ar/ficha.php?id=1391"/>
    <hyperlink ref="AB201" r:id="rId606" display="https://www.jivi.com.ar/ficha.php?id=2066"/>
    <hyperlink ref="AB436" r:id="rId607" display="https://www.jivi.com.ar/ficha.php?id=2067"/>
    <hyperlink ref="AB437" r:id="rId608" display="https://www.jivi.com.ar/ficha.php?id=2068"/>
    <hyperlink ref="AB568" r:id="rId609" display="https://www.jivi.com.ar/ficha.php?id=1295"/>
    <hyperlink ref="AB619" r:id="rId610" display="https://www.jivi.com.ar/ficha.php?id=2069"/>
    <hyperlink ref="AB601" r:id="rId611" display="https://www.jivi.com.ar/ficha.php?id=2070"/>
    <hyperlink ref="AB303" r:id="rId612" display="https://www.jivi.com.ar/ficha.php?id=1775"/>
    <hyperlink ref="AB563" r:id="rId613" display="https://www.jivi.com.ar/ficha.php?id=2083"/>
    <hyperlink ref="AB172" r:id="rId614" display="https://www.jivi.com.ar/ficha.php?id=1266"/>
    <hyperlink ref="AB177" r:id="rId615" display="https://www.jivi.com.ar/ficha.php?id=2084"/>
    <hyperlink ref="AB171" r:id="rId616" display="https://www.jivi.com.ar/ficha.php?id=2085"/>
    <hyperlink ref="AB178" r:id="rId617" display="https://www.jivi.com.ar/ficha.php?id=1001"/>
    <hyperlink ref="AB103" r:id="rId618" display="https://www.jivi.com.ar/ficha.php?id=333"/>
    <hyperlink ref="AB438" r:id="rId619" display="https://www.jivi.com.ar/ficha.php?id=1512"/>
    <hyperlink ref="AB441" r:id="rId620" display="https://www.jivi.com.ar/ficha.php?id=1786"/>
    <hyperlink ref="AB368" r:id="rId621" display="https://www.jivi.com.ar/ficha.php?id=1299"/>
    <hyperlink ref="AB618" r:id="rId622" display="https://www.jivi.com.ar/ficha.php?id=2097"/>
    <hyperlink ref="AB442" r:id="rId623" display="https://www.jivi.com.ar/ficha.php?id=2101"/>
    <hyperlink ref="AB512" r:id="rId624"/>
    <hyperlink ref="AB513" r:id="rId625"/>
    <hyperlink ref="AB174" r:id="rId626" display="https://www.jivi.com.ar/ficha.php?id=2142"/>
    <hyperlink ref="AB263" r:id="rId627" display="https://www.jivi.com.ar/ficha.php?id=2147"/>
    <hyperlink ref="AB264" r:id="rId628" display="https://www.jivi.com.ar/ficha.php?id=2146"/>
    <hyperlink ref="AB328" r:id="rId629" display="https://www.jivi.com.ar/ficha.php?id=1403"/>
    <hyperlink ref="AF30:AJ30" location="'Artículos Publicitarios'!A313" display="IR A BOTELLAS Y JARROS"/>
    <hyperlink ref="AB462" r:id="rId630"/>
    <hyperlink ref="AB463" r:id="rId631"/>
    <hyperlink ref="AB464" r:id="rId632"/>
  </hyperlinks>
  <pageMargins left="0.27559055118110237" right="0.11811023622047245" top="0.19685039370078741" bottom="0.15748031496062992" header="0.11811023622047245" footer="0.15748031496062992"/>
  <pageSetup paperSize="5" orientation="portrait" copies="5" r:id="rId633"/>
  <headerFooter alignWithMargins="0"/>
  <cellWatches>
    <cellWatch r="X8"/>
  </cellWatches>
  <ignoredErrors>
    <ignoredError sqref="AB645 AB655 AB689:AB690 AB684:AB686 AB671:AB674" numberStoredAsText="1"/>
    <ignoredError sqref="X638 B26:E26 C25:E25 A202:E202 A104:E105 H396:Q396 C27:E27 H652:L654 G282 G284 B149:E149 G316:W316 U30 S38:S39 S35 U35 U38:U39 S41 U41 S47 U47 F518:T518 W514 G353:G355 V92:W93 F82:I89 F91:I91 F90:I90 Q106 I56:I58 U106 S106 J81:J91 B277:E277 W554:W555 G95:G99 H352:J356 G81:I81 H372:J372 H94:W94 J10:K10 X218:X220 J12:K12 X11 F516 G524:G535 G538 G655 G545:G553 H133 O108:O109 S108:S109 Q108:Q109 U108:U109 X444 G276:G277 V27:V28 S30 H30:M30 H28:I28 U21:V23 G362:J363 G377:J380 H375:J375 G304:G306 O30 Q30 H29 I187:M187 I186:M186 I185:M185 I188:M188 H185:H188 P229:W229 P228 I13 F459 W454 W522:W523 H554:I555 K554:K555 U554:U555 S554:S555 Q554:Q555 O554:O555 M554:M555 G267:G270 G296:G301 H365:K365 G308:G309 G343:H343 K345:K347 G348:K349 K351:K356 K361 K363:K364 P358 Q358 R358:W358 K362 G391:K393 G388:K388 K371:K380 H386:K386 G444:G448 W190 W195 P220:W220 G228:K229 G293:G294 H469:H471 H473:I473 I470:V471 I469:N469 O469:V469 G469:G473 G381:K381 J382:K382 N95:W95 G258:G259 G366:K367 G170 G449:K449 G387 F606:G606 G454:G456 G605 G540:G543 G420:G423 G650 F592:G597 F671:G671 G426 K390 W313 G288 H18:T18 G67 K150 G168 G220:I220 F219:W219 K220 G358 F439:G439 F604:G604 G603 G291 G440 G466 G514 G591 F599:G600 G598 F612:G613 G607:G611 G614:G616 G337:H337 H690:V690 H689:I689 F251:G252 I330:V331 F410:G412 F409:G409 B578:E578 G577 H454:V454 F415:G415 G413 F327:G327 G101:G102 F618:G618 B587:G587 B585:E585 B586:E586 G585:G586 K369 G246:G250 G442 W62 G511 H143:W146 H147:V148 H60:I67 W56 J56:V61 N29:W29 L10:V12 U14:V14 H14:T15 H21:T24 H20:I20 H25:J27 K26:T28 W166 G487 H95:I102 J96:W102 K95:M95 G103:V105 I127:V133 G149:W149 W182 H166:V183 G231:G234 H231:V235 G562:H562 G221:V226 H227:K227 M227:W227 G209:V212 G216:V217 H215:M215 G213:G215 H213:V214 N215:V215 L190:V195 H191:K195 H190:K190 G190:G195 G196:V199 G202:V202 N185:V188 G200:W201 H184:W184 O229 G230:V230 M228:N229 L227:L229 G189:V189 H165:N165 G458:G461 G290 W321:W323 W324 H245:V255 H256:V271 U288 S288 Q288 O288 M288 K288 H288:I288 H272:V287 J288 L288 N288 P288 R288 T288 V288 H289:V313 I334:K334 I332:K332 I333:K333 I339:K339 I335:K335 I336:K336 I337:K337 I338:K338 I344:K344 I340:K340 I341:K341 I342:K342 I343:K343 I329 L329:W329 K329 K359 K360 K368 H383:K383 H384:K384 H385:K385 K389 H321:V322 U332 S332 Q332 O332 M332 L333:V356 L332 N332 P332 R332 T332 V332 L359:V361 L367:V385 L386:V386 L388:V393 L362:V363 L365:V366 L364:V364 G357 H460:W461 H466:I466 W466 F414:G414 H357:W357 H358:O358 U419 S419 Q419 O419 M419 K419 I419 L401:V413 K401 J402:K408 H413:K413 H409:K409 H410:K412 H414:W418 W410:W412 W409 W413 H402:I408 W402:W408 H401:J401 W401 H420:W422 H419 J419 L419 N419 P419 R419 T419 V419:W419 H426:V426 H423:W425 H427:W437 W426 I325 U324 S324 Q324 O324 M324 K324 I324 H323:V323 H324 J324 L324 N324 P324 R324 T324 V324 H327:K327 L327:V327 H326:V326 H325 J325:V325 H448:K448 V444 T444 R444 P444 N444 K444:M444 O444 Q444 S444 U444 T445 U445:V445 S445 Q445 O445 M445 K445 I445 H445 J445 L445 N445 P445 R445 H444:J444 H438:V443 G517 G515 G516 G506 G507 G508 G509 G510 U514 S514 Q514 O514 M514 K514 I514 I508 I507 I506 U499 S499 Q499 O499 K499 M499 I499 I505 H511:I511 H500:V504 H512:V513 J511:V511 H509:V510 H505 J505:V505 H499 J499 N499 L499 P499 R499 T499 V499 H506 J506:V506 H507 J507:V507 H508 J508:V508 H515:V517 H514 J514 L514 N514 P514 R514 T514 V514 J493:K493 J494:K494 J495:K495 K496 M498 O498 Q498 S498 U498 H498:K498 P488:V488 H488:M488 H489:V491 H487:V487 N488:O488 J492:K492 H497:K497 L498 L497:V497 H493:I493 H492:I492 L492:V492 V498 T498 R498 P498 N498 H496:J496 L496:V496 H495:I495 L495:V495 H494:I494 L494:V494 L493:V493 G566 G563:H563 G564:H564 G565:H565 B583:G584 B579:E579 B580:G580 B581:G581 B582:G582 I569:M569 I570:M570 I571 I567 I565:K565 I564:K564 I563:K563 I566:K566 I568:Q568 I562:V562 I576 H578:I578 L565:V565 I579:V619 L578:V578 I577:V577 J576:V576 N569:V569 R568:V568 J567:V567 L566:V566 L563:V563 L564:V564 I572:V575 L571:V571 N570:V570 U522 S522 Q522 O522 M522 K522 U523 S523 Q523 O523 M523 K523 I523 I522 H524:V545 H522 J522 H523 J523 L523 N523 P523 R523 T523 V523 L522 N522 P522 R522 T522 V522 H546:V553 W648 W645 W649 U649 S649 Q649 O649 M649 K649 U648 S648 Q648 O648 M648 K648 U645 S645 Q645 O645 M645 K645 I649 I648 I645 H647:V647 H646:V646 H650:V650 H645 J645 H648 J648 H649 J649 L645 N645 P645 R645 T645 V645 L648 N648 P648 R648 T648 V648 L649 N649 P649 R649 T649 V649 H655:W655 G452:I452 G450:I450 W670 F673:G673 F672:G672 F674:G674 O656:V664 U673 S673 Q673 O673 M673 K673 I673 U671 S671 Q671 O671 M671 K671 I671 S670 U670 Q670 O670 M670 K670 H670:I670 H672:V672 J670 L670 N670 P670 R670 V670 T670 H671 J671 L671 N671 P671 R671 T671 V671 H674:V680 H673 J673 L673 N673 P673 R673 T673 V673 U686:V686 U683 H684:I684 H681:V682 H683 I683 H685:I685 H686:I686 G681:G682 G687:I688 G686 G685 G684 G683 U684:V684 U685:V685 V683 H700:I700 H699:I699 H698:I698 H697:I697 H701:I701 F700:G700 F701:G701 J701:T701 F696:G696 F697:G697 J697:T697 F698:G698 J698:T698 F699:G699 J699:T699 J700:T700 L696:T696 J696 H696 I696 K696 K695 I695 H694:K694 V693 H693:I693 J692:K692 H691:H692 I691:V691 I692 L692:V692 J693:U693 L694:V694 H695 J695 L695:V695 U696:V696 U689:V689 U687:V688 S689 Q689 O689 M689 P686 N686 T683 R683 P683 L683 N683 L685:T685 L684:T684 J683 L686 J685 J686 J687:T688 K686 J684:K684 K685 M683 K683 O683 Q683 S683 M686 Q686 O686 R686:S686 T686 K689 J689 L689 N689 P689 R689 T689 G453:I453 G451:I451 K451 M451 O451 Q451 S451 U451 J450:V450 J452:V452 J451 J453:V453 V451 T451 R451 P451 N451 L451 H455:V456 H457:V459 H465:I465 H462:I462 H463:I463 H464:I464 J464:K464 J463:K463 J462:K462 J465:K465 J466:V466 L464:V464 L465:V465 L462:V462 L463:V463 H472:I472 J472:V473 I627 H634:I634 H633:I633 I632 I631 G627 U625 S625 Q625 O625 M625 K625 G625:I625 H635:I635 G626:K626 J625 G628:V630 L626:V626 G635 J635:V635 L625 N625 P625 R625 T625 V625 H627 G634 G631:H631 J631:V631 G632:H632 J632:V632 G633 J633:V633 J634:V634 J627:V627 M150 O150 Q150 S150 U150 L150 V150:W150 T150 R150 P150 N150 H16:H17 U13:V13 L13:T13 H19:I19 J19:W20 K25 L25:T25 W52 P52 J52 K52 U52 S52 Q52 O52 M52 G52:I52 G54:I55 H53:I53 G51:V51 J54:V55 G53 J53:V53 N52 R52 T52 V52 L52 J63:V67 U62 S62 Q62 O62 M62 K62 J62 L62 N62 P62 R62 T62 V62 G218 I218:V218 M220 O220 H161:V164 H241:V244 H314:V315 K394:V395 H446:K446 M446 O446 Q446 S446 U446:V446 H447:K447 V447 V448 V449 G579 G578 H603:H619 H587:H602 H577 H579:H586 H569 H570 H571 H567 H566 H568 H572:H575" formula="1"/>
    <ignoredError sqref="G373" evalError="1"/>
    <ignoredError sqref="H373:J373" evalError="1" formula="1"/>
  </ignoredErrors>
  <drawing r:id="rId634"/>
  <legacyDrawing r:id="rId6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2025-03-06T14:48:08Z</cp:lastPrinted>
  <dcterms:created xsi:type="dcterms:W3CDTF">2003-01-03T20:20:32Z</dcterms:created>
  <dcterms:modified xsi:type="dcterms:W3CDTF">2025-03-06T14:53:19Z</dcterms:modified>
</cp:coreProperties>
</file>