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7" i="1" l="1"/>
  <c r="P527" i="1" s="1"/>
  <c r="Q527" i="1" s="1"/>
  <c r="F528" i="1"/>
  <c r="F529" i="1"/>
  <c r="T527" i="1" l="1"/>
  <c r="U527" i="1" s="1"/>
  <c r="R527" i="1"/>
  <c r="S527" i="1" s="1"/>
  <c r="J527" i="1"/>
  <c r="K527" i="1" s="1"/>
  <c r="V527" i="1"/>
  <c r="W527" i="1" s="1"/>
  <c r="L527" i="1"/>
  <c r="M527" i="1" s="1"/>
  <c r="N527" i="1"/>
  <c r="O527" i="1" s="1"/>
  <c r="G527" i="1"/>
  <c r="H527" i="1"/>
  <c r="I527" i="1" s="1"/>
  <c r="F591" i="1"/>
  <c r="V591" i="1" l="1"/>
  <c r="W591" i="1" s="1"/>
  <c r="L591" i="1" l="1"/>
  <c r="M591" i="1" s="1"/>
  <c r="N591" i="1"/>
  <c r="O591" i="1" s="1"/>
  <c r="G591" i="1"/>
  <c r="P591" i="1"/>
  <c r="Q591" i="1" s="1"/>
  <c r="R591" i="1"/>
  <c r="S591" i="1" s="1"/>
  <c r="H591" i="1"/>
  <c r="I591" i="1" s="1"/>
  <c r="T591" i="1"/>
  <c r="U591" i="1" s="1"/>
  <c r="J591" i="1"/>
  <c r="K591" i="1" s="1"/>
  <c r="F284" i="1"/>
  <c r="T284" i="1" l="1"/>
  <c r="U284" i="1" s="1"/>
  <c r="J284" i="1" l="1"/>
  <c r="K284" i="1" s="1"/>
  <c r="V284" i="1"/>
  <c r="W284" i="1" s="1"/>
  <c r="L284" i="1"/>
  <c r="M284" i="1" s="1"/>
  <c r="N284" i="1"/>
  <c r="O284" i="1" s="1"/>
  <c r="P284" i="1"/>
  <c r="Q284" i="1" s="1"/>
  <c r="R284" i="1"/>
  <c r="S284" i="1" s="1"/>
  <c r="G284" i="1"/>
  <c r="H284" i="1"/>
  <c r="I284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5" i="1" l="1"/>
  <c r="G525" i="1" s="1"/>
  <c r="L525" i="1" l="1"/>
  <c r="M525" i="1" s="1"/>
  <c r="H525" i="1"/>
  <c r="I525" i="1" s="1"/>
  <c r="J525" i="1"/>
  <c r="K525" i="1" s="1"/>
  <c r="V525" i="1"/>
  <c r="W525" i="1" s="1"/>
  <c r="R525" i="1"/>
  <c r="S525" i="1" s="1"/>
  <c r="T525" i="1"/>
  <c r="U525" i="1" s="1"/>
  <c r="N525" i="1"/>
  <c r="O525" i="1" s="1"/>
  <c r="P525" i="1"/>
  <c r="Q525" i="1" s="1"/>
  <c r="F549" i="1" l="1"/>
  <c r="V549" i="1" s="1"/>
  <c r="W549" i="1" s="1"/>
  <c r="F548" i="1"/>
  <c r="V548" i="1" s="1"/>
  <c r="W548" i="1" s="1"/>
  <c r="F348" i="1"/>
  <c r="F222" i="1"/>
  <c r="F430" i="1"/>
  <c r="F439" i="1"/>
  <c r="N549" i="1" l="1"/>
  <c r="O549" i="1" s="1"/>
  <c r="P549" i="1"/>
  <c r="Q549" i="1" s="1"/>
  <c r="R549" i="1"/>
  <c r="S549" i="1" s="1"/>
  <c r="G549" i="1"/>
  <c r="L549" i="1"/>
  <c r="M549" i="1" s="1"/>
  <c r="H549" i="1"/>
  <c r="I549" i="1" s="1"/>
  <c r="T549" i="1"/>
  <c r="U549" i="1" s="1"/>
  <c r="J549" i="1"/>
  <c r="K549" i="1" s="1"/>
  <c r="L548" i="1"/>
  <c r="M548" i="1" s="1"/>
  <c r="H548" i="1"/>
  <c r="I548" i="1" s="1"/>
  <c r="J548" i="1"/>
  <c r="K548" i="1" s="1"/>
  <c r="N548" i="1"/>
  <c r="O548" i="1" s="1"/>
  <c r="P548" i="1"/>
  <c r="Q548" i="1" s="1"/>
  <c r="R548" i="1"/>
  <c r="S548" i="1" s="1"/>
  <c r="G548" i="1"/>
  <c r="T548" i="1"/>
  <c r="U548" i="1" s="1"/>
  <c r="F533" i="1" l="1"/>
  <c r="V617" i="1" l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H617" i="1"/>
  <c r="I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H616" i="1"/>
  <c r="I616" i="1" s="1"/>
  <c r="F547" i="1" l="1"/>
  <c r="P547" i="1" s="1"/>
  <c r="Q547" i="1" s="1"/>
  <c r="F551" i="1"/>
  <c r="G551" i="1" s="1"/>
  <c r="G547" i="1" l="1"/>
  <c r="H547" i="1"/>
  <c r="I547" i="1" s="1"/>
  <c r="T547" i="1"/>
  <c r="U547" i="1" s="1"/>
  <c r="L547" i="1"/>
  <c r="M547" i="1" s="1"/>
  <c r="V547" i="1"/>
  <c r="W547" i="1" s="1"/>
  <c r="J547" i="1"/>
  <c r="K547" i="1" s="1"/>
  <c r="N547" i="1"/>
  <c r="O547" i="1" s="1"/>
  <c r="R547" i="1"/>
  <c r="S547" i="1" s="1"/>
  <c r="J551" i="1"/>
  <c r="K551" i="1" s="1"/>
  <c r="N551" i="1"/>
  <c r="O551" i="1" s="1"/>
  <c r="R551" i="1"/>
  <c r="S551" i="1" s="1"/>
  <c r="V551" i="1"/>
  <c r="W551" i="1" s="1"/>
  <c r="H551" i="1"/>
  <c r="I551" i="1" s="1"/>
  <c r="L551" i="1"/>
  <c r="M551" i="1" s="1"/>
  <c r="P551" i="1"/>
  <c r="Q551" i="1" s="1"/>
  <c r="T551" i="1"/>
  <c r="U551" i="1" s="1"/>
  <c r="F612" i="1"/>
  <c r="V612" i="1" s="1"/>
  <c r="F615" i="1"/>
  <c r="V615" i="1" s="1"/>
  <c r="W615" i="1" s="1"/>
  <c r="F614" i="1"/>
  <c r="V614" i="1" s="1"/>
  <c r="W614" i="1" s="1"/>
  <c r="F613" i="1"/>
  <c r="P612" i="1" l="1"/>
  <c r="Q612" i="1" s="1"/>
  <c r="H612" i="1"/>
  <c r="I612" i="1" s="1"/>
  <c r="R612" i="1"/>
  <c r="S612" i="1" s="1"/>
  <c r="J612" i="1"/>
  <c r="K612" i="1" s="1"/>
  <c r="T612" i="1"/>
  <c r="U612" i="1" s="1"/>
  <c r="N612" i="1"/>
  <c r="O612" i="1" s="1"/>
  <c r="L612" i="1"/>
  <c r="M612" i="1" s="1"/>
  <c r="G612" i="1"/>
  <c r="W612" i="1"/>
  <c r="L615" i="1"/>
  <c r="M615" i="1" s="1"/>
  <c r="P615" i="1"/>
  <c r="Q615" i="1" s="1"/>
  <c r="T615" i="1"/>
  <c r="U615" i="1" s="1"/>
  <c r="G615" i="1"/>
  <c r="J615" i="1"/>
  <c r="K615" i="1" s="1"/>
  <c r="N615" i="1"/>
  <c r="O615" i="1" s="1"/>
  <c r="R615" i="1"/>
  <c r="S615" i="1" s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V613" i="1" l="1"/>
  <c r="W613" i="1" s="1"/>
  <c r="R613" i="1"/>
  <c r="S613" i="1" s="1"/>
  <c r="N613" i="1"/>
  <c r="O613" i="1" s="1"/>
  <c r="J613" i="1"/>
  <c r="K613" i="1" s="1"/>
  <c r="G613" i="1"/>
  <c r="L613" i="1" l="1"/>
  <c r="M613" i="1" s="1"/>
  <c r="P613" i="1"/>
  <c r="Q613" i="1" s="1"/>
  <c r="T613" i="1"/>
  <c r="U613" i="1" s="1"/>
  <c r="F251" i="1"/>
  <c r="R251" i="1" l="1"/>
  <c r="S251" i="1" s="1"/>
  <c r="G251" i="1" l="1"/>
  <c r="H251" i="1"/>
  <c r="I251" i="1" s="1"/>
  <c r="T251" i="1"/>
  <c r="U251" i="1" s="1"/>
  <c r="J251" i="1"/>
  <c r="K251" i="1" s="1"/>
  <c r="N251" i="1"/>
  <c r="O251" i="1" s="1"/>
  <c r="L251" i="1"/>
  <c r="M251" i="1" s="1"/>
  <c r="V251" i="1"/>
  <c r="W251" i="1" s="1"/>
  <c r="P251" i="1"/>
  <c r="Q251" i="1" s="1"/>
  <c r="F602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G566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F601" i="1"/>
  <c r="F600" i="1"/>
  <c r="H600" i="1" s="1"/>
  <c r="I600" i="1" s="1"/>
  <c r="F623" i="1"/>
  <c r="F552" i="1"/>
  <c r="F550" i="1"/>
  <c r="F545" i="1"/>
  <c r="F544" i="1"/>
  <c r="F543" i="1"/>
  <c r="F542" i="1"/>
  <c r="F541" i="1"/>
  <c r="P602" i="1" l="1"/>
  <c r="H602" i="1"/>
  <c r="I602" i="1" s="1"/>
  <c r="G601" i="1"/>
  <c r="H601" i="1"/>
  <c r="I601" i="1" s="1"/>
  <c r="R600" i="1"/>
  <c r="S600" i="1" s="1"/>
  <c r="J600" i="1"/>
  <c r="K600" i="1" s="1"/>
  <c r="P600" i="1"/>
  <c r="Q600" i="1" s="1"/>
  <c r="T600" i="1"/>
  <c r="U600" i="1" s="1"/>
  <c r="V600" i="1"/>
  <c r="W600" i="1" s="1"/>
  <c r="L600" i="1"/>
  <c r="M600" i="1" s="1"/>
  <c r="N600" i="1"/>
  <c r="O600" i="1" s="1"/>
  <c r="R602" i="1"/>
  <c r="S602" i="1" s="1"/>
  <c r="V602" i="1"/>
  <c r="W602" i="1" s="1"/>
  <c r="T602" i="1"/>
  <c r="U602" i="1" s="1"/>
  <c r="J602" i="1"/>
  <c r="K602" i="1" s="1"/>
  <c r="L602" i="1"/>
  <c r="M602" i="1" s="1"/>
  <c r="N602" i="1"/>
  <c r="O602" i="1" s="1"/>
  <c r="Q602" i="1"/>
  <c r="G602" i="1"/>
  <c r="N601" i="1"/>
  <c r="O601" i="1" s="1"/>
  <c r="V601" i="1"/>
  <c r="W601" i="1" s="1"/>
  <c r="R601" i="1"/>
  <c r="S601" i="1" s="1"/>
  <c r="T601" i="1"/>
  <c r="U601" i="1" s="1"/>
  <c r="J601" i="1"/>
  <c r="K601" i="1" s="1"/>
  <c r="L601" i="1"/>
  <c r="M601" i="1" s="1"/>
  <c r="P601" i="1"/>
  <c r="Q601" i="1" s="1"/>
  <c r="G600" i="1"/>
  <c r="F526" i="1"/>
  <c r="F522" i="1"/>
  <c r="F521" i="1"/>
  <c r="F505" i="1"/>
  <c r="F499" i="1"/>
  <c r="F495" i="1"/>
  <c r="F493" i="1"/>
  <c r="F492" i="1"/>
  <c r="F486" i="1"/>
  <c r="F485" i="1"/>
  <c r="F484" i="1"/>
  <c r="F442" i="1"/>
  <c r="F411" i="1" l="1"/>
  <c r="F410" i="1"/>
  <c r="F407" i="1"/>
  <c r="F406" i="1"/>
  <c r="F405" i="1"/>
  <c r="F404" i="1"/>
  <c r="F392" i="1"/>
  <c r="F388" i="1"/>
  <c r="F354" i="1"/>
  <c r="F353" i="1"/>
  <c r="F347" i="1"/>
  <c r="H308" i="1"/>
  <c r="H305" i="1"/>
  <c r="H306" i="1"/>
  <c r="H307" i="1"/>
  <c r="F304" i="1"/>
  <c r="F303" i="1"/>
  <c r="H289" i="1"/>
  <c r="H300" i="1"/>
  <c r="H293" i="1"/>
  <c r="H295" i="1"/>
  <c r="H296" i="1"/>
  <c r="F290" i="1"/>
  <c r="F287" i="1"/>
  <c r="F286" i="1"/>
  <c r="F279" i="1"/>
  <c r="F232" i="1"/>
  <c r="F231" i="1"/>
  <c r="F230" i="1"/>
  <c r="F215" i="1"/>
  <c r="F197" i="1"/>
  <c r="F190" i="1"/>
  <c r="F15" i="1" l="1"/>
  <c r="G15" i="1" s="1"/>
  <c r="T15" i="1" l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357" i="1" l="1"/>
  <c r="F31" i="1" l="1"/>
  <c r="G31" i="1" s="1"/>
  <c r="F626" i="1" l="1"/>
  <c r="R392" i="1"/>
  <c r="S392" i="1" s="1"/>
  <c r="F546" i="1"/>
  <c r="F535" i="1"/>
  <c r="F534" i="1"/>
  <c r="F532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92" i="1"/>
  <c r="W392" i="1" s="1"/>
  <c r="J392" i="1"/>
  <c r="K392" i="1" s="1"/>
  <c r="N392" i="1"/>
  <c r="O392" i="1" s="1"/>
  <c r="P392" i="1"/>
  <c r="Q392" i="1" s="1"/>
  <c r="T392" i="1"/>
  <c r="U392" i="1" s="1"/>
  <c r="H392" i="1"/>
  <c r="I392" i="1" s="1"/>
  <c r="L392" i="1"/>
  <c r="M392" i="1" s="1"/>
  <c r="G392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4" i="1"/>
  <c r="F429" i="1"/>
  <c r="F403" i="1"/>
  <c r="F391" i="1"/>
  <c r="F389" i="1"/>
  <c r="F385" i="1"/>
  <c r="F383" i="1"/>
  <c r="F382" i="1"/>
  <c r="F378" i="1"/>
  <c r="F377" i="1" l="1"/>
  <c r="F374" i="1"/>
  <c r="F372" i="1"/>
  <c r="F368" i="1"/>
  <c r="F367" i="1"/>
  <c r="F366" i="1"/>
  <c r="F365" i="1"/>
  <c r="F364" i="1"/>
  <c r="F352" i="1"/>
  <c r="F351" i="1"/>
  <c r="F350" i="1"/>
  <c r="F344" i="1"/>
  <c r="F342" i="1"/>
  <c r="F341" i="1"/>
  <c r="F340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1" i="1"/>
  <c r="F302" i="1"/>
  <c r="F291" i="1"/>
  <c r="F285" i="1"/>
  <c r="F254" i="1"/>
  <c r="F253" i="1"/>
  <c r="F252" i="1"/>
  <c r="F250" i="1"/>
  <c r="F243" i="1"/>
  <c r="F241" i="1"/>
  <c r="F235" i="1"/>
  <c r="F233" i="1"/>
  <c r="F223" i="1"/>
  <c r="F220" i="1"/>
  <c r="F219" i="1"/>
  <c r="F218" i="1"/>
  <c r="F189" i="1"/>
  <c r="F166" i="1"/>
  <c r="F163" i="1"/>
  <c r="F162" i="1"/>
  <c r="F143" i="1"/>
  <c r="F106" i="1"/>
  <c r="F104" i="1"/>
  <c r="F103" i="1"/>
  <c r="F102" i="1"/>
  <c r="F458" i="1"/>
  <c r="F101" i="1"/>
  <c r="F100" i="1"/>
  <c r="F97" i="1"/>
  <c r="W124" i="1" l="1"/>
  <c r="U124" i="1"/>
  <c r="S124" i="1"/>
  <c r="Q124" i="1"/>
  <c r="O124" i="1"/>
  <c r="W51" i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9" i="1"/>
  <c r="U39" i="1"/>
  <c r="S39" i="1"/>
  <c r="Q39" i="1"/>
  <c r="O39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F622" i="1"/>
  <c r="F555" i="1" l="1"/>
  <c r="G555" i="1" s="1"/>
  <c r="T555" i="1" l="1"/>
  <c r="U555" i="1" s="1"/>
  <c r="H555" i="1"/>
  <c r="I555" i="1" s="1"/>
  <c r="P555" i="1"/>
  <c r="Q555" i="1" s="1"/>
  <c r="J555" i="1"/>
  <c r="K555" i="1" s="1"/>
  <c r="R555" i="1"/>
  <c r="S555" i="1" s="1"/>
  <c r="N555" i="1"/>
  <c r="O555" i="1" s="1"/>
  <c r="V555" i="1"/>
  <c r="W555" i="1" s="1"/>
  <c r="L555" i="1"/>
  <c r="M555" i="1" s="1"/>
  <c r="G348" i="1" l="1"/>
  <c r="V347" i="1"/>
  <c r="W347" i="1" s="1"/>
  <c r="L348" i="1" l="1"/>
  <c r="M348" i="1" s="1"/>
  <c r="P348" i="1"/>
  <c r="Q348" i="1" s="1"/>
  <c r="T348" i="1"/>
  <c r="U348" i="1" s="1"/>
  <c r="N348" i="1"/>
  <c r="O348" i="1" s="1"/>
  <c r="R348" i="1"/>
  <c r="S348" i="1" s="1"/>
  <c r="V348" i="1"/>
  <c r="W348" i="1" s="1"/>
  <c r="N347" i="1"/>
  <c r="O347" i="1" s="1"/>
  <c r="G347" i="1"/>
  <c r="L347" i="1"/>
  <c r="M347" i="1" s="1"/>
  <c r="P347" i="1"/>
  <c r="Q347" i="1" s="1"/>
  <c r="T347" i="1"/>
  <c r="U347" i="1" s="1"/>
  <c r="R347" i="1"/>
  <c r="S347" i="1" s="1"/>
  <c r="V406" i="1"/>
  <c r="W406" i="1" s="1"/>
  <c r="N407" i="1"/>
  <c r="O407" i="1" s="1"/>
  <c r="N404" i="1"/>
  <c r="O404" i="1" s="1"/>
  <c r="V405" i="1"/>
  <c r="W405" i="1" s="1"/>
  <c r="F228" i="1"/>
  <c r="R228" i="1" s="1"/>
  <c r="S228" i="1" s="1"/>
  <c r="F246" i="1"/>
  <c r="F531" i="1"/>
  <c r="V404" i="1" l="1"/>
  <c r="W404" i="1" s="1"/>
  <c r="P406" i="1"/>
  <c r="Q406" i="1" s="1"/>
  <c r="R406" i="1"/>
  <c r="S406" i="1" s="1"/>
  <c r="T406" i="1"/>
  <c r="U406" i="1" s="1"/>
  <c r="L406" i="1"/>
  <c r="M406" i="1" s="1"/>
  <c r="N406" i="1"/>
  <c r="O406" i="1" s="1"/>
  <c r="G406" i="1"/>
  <c r="H406" i="1"/>
  <c r="I406" i="1" s="1"/>
  <c r="J406" i="1"/>
  <c r="K406" i="1" s="1"/>
  <c r="T407" i="1"/>
  <c r="U407" i="1" s="1"/>
  <c r="G407" i="1"/>
  <c r="J407" i="1"/>
  <c r="K407" i="1" s="1"/>
  <c r="L407" i="1"/>
  <c r="M407" i="1" s="1"/>
  <c r="P407" i="1"/>
  <c r="Q407" i="1" s="1"/>
  <c r="V407" i="1"/>
  <c r="W407" i="1" s="1"/>
  <c r="R407" i="1"/>
  <c r="S407" i="1" s="1"/>
  <c r="H407" i="1"/>
  <c r="I407" i="1" s="1"/>
  <c r="R404" i="1"/>
  <c r="S404" i="1" s="1"/>
  <c r="L404" i="1"/>
  <c r="M404" i="1" s="1"/>
  <c r="P404" i="1"/>
  <c r="Q404" i="1" s="1"/>
  <c r="G404" i="1"/>
  <c r="H404" i="1"/>
  <c r="I404" i="1" s="1"/>
  <c r="T404" i="1"/>
  <c r="U404" i="1" s="1"/>
  <c r="J404" i="1"/>
  <c r="K404" i="1" s="1"/>
  <c r="T405" i="1"/>
  <c r="U405" i="1" s="1"/>
  <c r="L405" i="1"/>
  <c r="M405" i="1" s="1"/>
  <c r="N405" i="1"/>
  <c r="O405" i="1" s="1"/>
  <c r="P405" i="1"/>
  <c r="Q405" i="1" s="1"/>
  <c r="R405" i="1"/>
  <c r="S405" i="1" s="1"/>
  <c r="G405" i="1"/>
  <c r="H405" i="1"/>
  <c r="I405" i="1" s="1"/>
  <c r="J405" i="1"/>
  <c r="K405" i="1" s="1"/>
  <c r="G228" i="1"/>
  <c r="H228" i="1"/>
  <c r="I228" i="1" s="1"/>
  <c r="J228" i="1"/>
  <c r="K228" i="1" s="1"/>
  <c r="L228" i="1"/>
  <c r="M228" i="1" s="1"/>
  <c r="T228" i="1"/>
  <c r="U228" i="1" s="1"/>
  <c r="V228" i="1"/>
  <c r="W228" i="1" s="1"/>
  <c r="N228" i="1"/>
  <c r="O228" i="1" s="1"/>
  <c r="P228" i="1"/>
  <c r="Q228" i="1" s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6" i="1" l="1"/>
  <c r="I416" i="1" s="1"/>
  <c r="V230" i="1"/>
  <c r="W230" i="1" s="1"/>
  <c r="L230" i="1" l="1"/>
  <c r="M230" i="1" s="1"/>
  <c r="P230" i="1"/>
  <c r="Q230" i="1" s="1"/>
  <c r="N230" i="1"/>
  <c r="O230" i="1" s="1"/>
  <c r="R230" i="1"/>
  <c r="S230" i="1" s="1"/>
  <c r="G230" i="1"/>
  <c r="H230" i="1"/>
  <c r="I230" i="1" s="1"/>
  <c r="T230" i="1"/>
  <c r="U230" i="1" s="1"/>
  <c r="J230" i="1"/>
  <c r="K230" i="1" s="1"/>
  <c r="T231" i="1" l="1"/>
  <c r="U231" i="1" s="1"/>
  <c r="V231" i="1" l="1"/>
  <c r="W231" i="1" s="1"/>
  <c r="L231" i="1"/>
  <c r="M231" i="1" s="1"/>
  <c r="J231" i="1"/>
  <c r="K231" i="1" s="1"/>
  <c r="N231" i="1"/>
  <c r="O231" i="1" s="1"/>
  <c r="P231" i="1"/>
  <c r="Q231" i="1" s="1"/>
  <c r="G231" i="1"/>
  <c r="R231" i="1"/>
  <c r="S231" i="1" s="1"/>
  <c r="H231" i="1"/>
  <c r="I231" i="1" s="1"/>
  <c r="F346" i="1"/>
  <c r="P346" i="1" s="1"/>
  <c r="Q346" i="1" s="1"/>
  <c r="T346" i="1" l="1"/>
  <c r="U346" i="1" s="1"/>
  <c r="R346" i="1"/>
  <c r="S346" i="1" s="1"/>
  <c r="V346" i="1"/>
  <c r="W346" i="1" s="1"/>
  <c r="G346" i="1"/>
  <c r="L346" i="1"/>
  <c r="M346" i="1" s="1"/>
  <c r="N346" i="1"/>
  <c r="O346" i="1" s="1"/>
  <c r="F380" i="1"/>
  <c r="G380" i="1" s="1"/>
  <c r="L380" i="1" l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F473" i="1"/>
  <c r="V473" i="1" l="1"/>
  <c r="W473" i="1" s="1"/>
  <c r="L473" i="1" l="1"/>
  <c r="M473" i="1" s="1"/>
  <c r="R473" i="1"/>
  <c r="S473" i="1" s="1"/>
  <c r="T473" i="1"/>
  <c r="U473" i="1" s="1"/>
  <c r="N473" i="1"/>
  <c r="O473" i="1" s="1"/>
  <c r="P473" i="1"/>
  <c r="Q473" i="1" s="1"/>
  <c r="G473" i="1"/>
  <c r="H473" i="1"/>
  <c r="I473" i="1" s="1"/>
  <c r="J473" i="1"/>
  <c r="K473" i="1" s="1"/>
  <c r="F155" i="1"/>
  <c r="F242" i="1"/>
  <c r="J440" i="1"/>
  <c r="K440" i="1" s="1"/>
  <c r="H440" i="1"/>
  <c r="I440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7" i="1"/>
  <c r="K537" i="1" s="1"/>
  <c r="L537" i="1"/>
  <c r="M537" i="1" s="1"/>
  <c r="N537" i="1"/>
  <c r="O537" i="1" s="1"/>
  <c r="P537" i="1"/>
  <c r="Q537" i="1" s="1"/>
  <c r="R537" i="1"/>
  <c r="S537" i="1" s="1"/>
  <c r="T537" i="1"/>
  <c r="U537" i="1" s="1"/>
  <c r="V537" i="1"/>
  <c r="W537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20" i="1"/>
  <c r="U520" i="1" s="1"/>
  <c r="V520" i="1"/>
  <c r="W520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3" i="1"/>
  <c r="U523" i="1" s="1"/>
  <c r="V523" i="1"/>
  <c r="W523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L530" i="1"/>
  <c r="M530" i="1" s="1"/>
  <c r="N530" i="1"/>
  <c r="O530" i="1" s="1"/>
  <c r="P530" i="1"/>
  <c r="Q530" i="1" s="1"/>
  <c r="R530" i="1"/>
  <c r="S530" i="1" s="1"/>
  <c r="T530" i="1"/>
  <c r="U530" i="1" s="1"/>
  <c r="V530" i="1"/>
  <c r="W530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T628" i="1"/>
  <c r="R628" i="1"/>
  <c r="P628" i="1"/>
  <c r="N628" i="1"/>
  <c r="L628" i="1"/>
  <c r="J628" i="1"/>
  <c r="L630" i="1"/>
  <c r="J630" i="1"/>
  <c r="J629" i="1"/>
  <c r="L629" i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64" i="1"/>
  <c r="H565" i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V562" i="1"/>
  <c r="T562" i="1"/>
  <c r="R562" i="1"/>
  <c r="P562" i="1"/>
  <c r="N562" i="1"/>
  <c r="L562" i="1"/>
  <c r="J562" i="1"/>
  <c r="G570" i="1"/>
  <c r="V424" i="1" l="1"/>
  <c r="W424" i="1" s="1"/>
  <c r="T424" i="1"/>
  <c r="U424" i="1" s="1"/>
  <c r="R424" i="1"/>
  <c r="S424" i="1" s="1"/>
  <c r="P424" i="1"/>
  <c r="Q424" i="1" s="1"/>
  <c r="N424" i="1"/>
  <c r="O424" i="1" s="1"/>
  <c r="L424" i="1"/>
  <c r="M424" i="1" s="1"/>
  <c r="J424" i="1"/>
  <c r="K424" i="1" s="1"/>
  <c r="L422" i="1"/>
  <c r="L421" i="1"/>
  <c r="M421" i="1" s="1"/>
  <c r="J421" i="1"/>
  <c r="K421" i="1" s="1"/>
  <c r="J422" i="1"/>
  <c r="J416" i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J362" i="1"/>
  <c r="K362" i="1" s="1"/>
  <c r="V272" i="1" l="1"/>
  <c r="W272" i="1" s="1"/>
  <c r="T272" i="1"/>
  <c r="U272" i="1" s="1"/>
  <c r="R272" i="1"/>
  <c r="S272" i="1" s="1"/>
  <c r="P272" i="1"/>
  <c r="Q272" i="1" s="1"/>
  <c r="N272" i="1"/>
  <c r="O272" i="1" s="1"/>
  <c r="L272" i="1"/>
  <c r="M272" i="1" s="1"/>
  <c r="J272" i="1"/>
  <c r="K272" i="1" s="1"/>
  <c r="V265" i="1"/>
  <c r="W265" i="1" s="1"/>
  <c r="T265" i="1"/>
  <c r="U265" i="1" s="1"/>
  <c r="R265" i="1"/>
  <c r="S265" i="1" s="1"/>
  <c r="P265" i="1"/>
  <c r="Q265" i="1" s="1"/>
  <c r="N265" i="1"/>
  <c r="O265" i="1" s="1"/>
  <c r="L265" i="1"/>
  <c r="M265" i="1" s="1"/>
  <c r="J265" i="1"/>
  <c r="K265" i="1" s="1"/>
  <c r="H265" i="1"/>
  <c r="I265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N206" i="1"/>
  <c r="O206" i="1" s="1"/>
  <c r="L206" i="1"/>
  <c r="M206" i="1" s="1"/>
  <c r="J206" i="1"/>
  <c r="K206" i="1" s="1"/>
  <c r="V203" i="1"/>
  <c r="W203" i="1" s="1"/>
  <c r="T203" i="1"/>
  <c r="U203" i="1" s="1"/>
  <c r="R203" i="1"/>
  <c r="S203" i="1" s="1"/>
  <c r="P203" i="1"/>
  <c r="Q203" i="1" s="1"/>
  <c r="N203" i="1"/>
  <c r="O203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H229" i="1"/>
  <c r="I229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H226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N216" i="1"/>
  <c r="J216" i="1"/>
  <c r="L216" i="1"/>
  <c r="M216" i="1" s="1"/>
  <c r="L217" i="1"/>
  <c r="V215" i="1"/>
  <c r="W215" i="1" s="1"/>
  <c r="T215" i="1"/>
  <c r="U215" i="1" s="1"/>
  <c r="R215" i="1"/>
  <c r="S215" i="1" s="1"/>
  <c r="P215" i="1"/>
  <c r="Q215" i="1" s="1"/>
  <c r="N215" i="1"/>
  <c r="O215" i="1" s="1"/>
  <c r="L215" i="1"/>
  <c r="M215" i="1" s="1"/>
  <c r="J215" i="1"/>
  <c r="K215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3" i="1"/>
  <c r="W63" i="1" s="1"/>
  <c r="T63" i="1"/>
  <c r="U63" i="1" s="1"/>
  <c r="R63" i="1"/>
  <c r="S63" i="1" s="1"/>
  <c r="P63" i="1"/>
  <c r="Q63" i="1" s="1"/>
  <c r="N63" i="1"/>
  <c r="O63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L64" i="1"/>
  <c r="M64" i="1" s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V107" i="1"/>
  <c r="T107" i="1"/>
  <c r="R107" i="1"/>
  <c r="P107" i="1"/>
  <c r="L107" i="1"/>
  <c r="N107" i="1"/>
  <c r="J107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V155" i="1"/>
  <c r="W155" i="1" s="1"/>
  <c r="T155" i="1"/>
  <c r="U155" i="1" s="1"/>
  <c r="R155" i="1"/>
  <c r="S155" i="1" s="1"/>
  <c r="P155" i="1"/>
  <c r="Q155" i="1" s="1"/>
  <c r="N155" i="1"/>
  <c r="O155" i="1" s="1"/>
  <c r="L155" i="1"/>
  <c r="M155" i="1" s="1"/>
  <c r="P161" i="1"/>
  <c r="Q161" i="1" s="1"/>
  <c r="N161" i="1"/>
  <c r="O161" i="1" s="1"/>
  <c r="L161" i="1"/>
  <c r="M161" i="1" s="1"/>
  <c r="J161" i="1"/>
  <c r="K161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V277" i="1"/>
  <c r="W277" i="1" s="1"/>
  <c r="T277" i="1"/>
  <c r="U277" i="1" s="1"/>
  <c r="R277" i="1"/>
  <c r="S277" i="1" s="1"/>
  <c r="P277" i="1"/>
  <c r="Q277" i="1" s="1"/>
  <c r="N277" i="1"/>
  <c r="O277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I308" i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I293" i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I295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I296" i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I300" i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I289" i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V281" i="1" l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L283" i="1"/>
  <c r="M283" i="1" s="1"/>
  <c r="V283" i="1"/>
  <c r="W283" i="1" s="1"/>
  <c r="T283" i="1"/>
  <c r="U283" i="1" s="1"/>
  <c r="R283" i="1"/>
  <c r="S283" i="1" s="1"/>
  <c r="P283" i="1"/>
  <c r="Q283" i="1" s="1"/>
  <c r="N283" i="1"/>
  <c r="O283" i="1" s="1"/>
  <c r="P279" i="1"/>
  <c r="Q279" i="1" s="1"/>
  <c r="R279" i="1" l="1"/>
  <c r="S279" i="1" s="1"/>
  <c r="T279" i="1"/>
  <c r="U279" i="1" s="1"/>
  <c r="V279" i="1"/>
  <c r="W279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N334" i="1"/>
  <c r="O334" i="1" s="1"/>
  <c r="P334" i="1"/>
  <c r="Q334" i="1" s="1"/>
  <c r="R334" i="1"/>
  <c r="S334" i="1" s="1"/>
  <c r="L334" i="1"/>
  <c r="M334" i="1" s="1"/>
  <c r="H279" i="1"/>
  <c r="I279" i="1" s="1"/>
  <c r="V314" i="1"/>
  <c r="W314" i="1" s="1"/>
  <c r="T314" i="1"/>
  <c r="U314" i="1" s="1"/>
  <c r="R314" i="1"/>
  <c r="S314" i="1" s="1"/>
  <c r="P314" i="1"/>
  <c r="Q314" i="1" s="1"/>
  <c r="L314" i="1"/>
  <c r="M314" i="1" s="1"/>
  <c r="N314" i="1"/>
  <c r="O314" i="1" s="1"/>
  <c r="J279" i="1"/>
  <c r="K279" i="1" s="1"/>
  <c r="L279" i="1"/>
  <c r="M279" i="1" s="1"/>
  <c r="P336" i="1"/>
  <c r="Q336" i="1" s="1"/>
  <c r="N336" i="1"/>
  <c r="O336" i="1" s="1"/>
  <c r="L336" i="1"/>
  <c r="M336" i="1" s="1"/>
  <c r="T336" i="1"/>
  <c r="U336" i="1" s="1"/>
  <c r="R336" i="1"/>
  <c r="S336" i="1" s="1"/>
  <c r="V336" i="1"/>
  <c r="W336" i="1" s="1"/>
  <c r="T285" i="1"/>
  <c r="U285" i="1" s="1"/>
  <c r="P285" i="1"/>
  <c r="Q285" i="1" s="1"/>
  <c r="L285" i="1"/>
  <c r="M285" i="1" s="1"/>
  <c r="J285" i="1"/>
  <c r="K285" i="1" s="1"/>
  <c r="H285" i="1"/>
  <c r="I285" i="1" s="1"/>
  <c r="N285" i="1"/>
  <c r="O285" i="1" s="1"/>
  <c r="V285" i="1"/>
  <c r="W285" i="1" s="1"/>
  <c r="R285" i="1"/>
  <c r="S285" i="1" s="1"/>
  <c r="N279" i="1"/>
  <c r="O279" i="1" s="1"/>
  <c r="G279" i="1"/>
  <c r="U107" i="1" l="1"/>
  <c r="W107" i="1"/>
  <c r="Q107" i="1"/>
  <c r="O107" i="1"/>
  <c r="M107" i="1"/>
  <c r="S107" i="1"/>
  <c r="F356" i="1"/>
  <c r="F371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R356" i="1"/>
  <c r="S356" i="1" s="1"/>
  <c r="N356" i="1"/>
  <c r="O356" i="1" s="1"/>
  <c r="V356" i="1"/>
  <c r="W356" i="1" s="1"/>
  <c r="T356" i="1"/>
  <c r="U356" i="1" s="1"/>
  <c r="P356" i="1"/>
  <c r="Q356" i="1" s="1"/>
  <c r="L356" i="1"/>
  <c r="M356" i="1" s="1"/>
  <c r="R374" i="1"/>
  <c r="S374" i="1" s="1"/>
  <c r="N374" i="1"/>
  <c r="O374" i="1" s="1"/>
  <c r="T374" i="1"/>
  <c r="U374" i="1" s="1"/>
  <c r="V374" i="1"/>
  <c r="W374" i="1" s="1"/>
  <c r="P374" i="1"/>
  <c r="Q374" i="1" s="1"/>
  <c r="L374" i="1"/>
  <c r="M374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F386" i="1"/>
  <c r="F387" i="1"/>
  <c r="F359" i="1"/>
  <c r="F393" i="1"/>
  <c r="F394" i="1"/>
  <c r="F395" i="1"/>
  <c r="F413" i="1"/>
  <c r="F412" i="1"/>
  <c r="H412" i="1" s="1"/>
  <c r="I412" i="1" s="1"/>
  <c r="V359" i="1" l="1"/>
  <c r="W359" i="1" s="1"/>
  <c r="T359" i="1"/>
  <c r="U359" i="1" s="1"/>
  <c r="R359" i="1"/>
  <c r="S359" i="1" s="1"/>
  <c r="P359" i="1"/>
  <c r="Q359" i="1" s="1"/>
  <c r="L359" i="1"/>
  <c r="M359" i="1" s="1"/>
  <c r="N359" i="1"/>
  <c r="O359" i="1" s="1"/>
  <c r="T388" i="1"/>
  <c r="U388" i="1" s="1"/>
  <c r="R388" i="1"/>
  <c r="S388" i="1" s="1"/>
  <c r="P388" i="1"/>
  <c r="Q388" i="1" s="1"/>
  <c r="N388" i="1"/>
  <c r="O388" i="1" s="1"/>
  <c r="V388" i="1"/>
  <c r="W388" i="1" s="1"/>
  <c r="L388" i="1"/>
  <c r="M388" i="1" s="1"/>
  <c r="N412" i="1"/>
  <c r="O412" i="1" s="1"/>
  <c r="V412" i="1"/>
  <c r="W412" i="1" s="1"/>
  <c r="T412" i="1"/>
  <c r="U412" i="1" s="1"/>
  <c r="R412" i="1"/>
  <c r="S412" i="1" s="1"/>
  <c r="P412" i="1"/>
  <c r="Q412" i="1" s="1"/>
  <c r="L412" i="1"/>
  <c r="M412" i="1" s="1"/>
  <c r="J412" i="1"/>
  <c r="K412" i="1" s="1"/>
  <c r="V411" i="1"/>
  <c r="W411" i="1" s="1"/>
  <c r="T411" i="1"/>
  <c r="U411" i="1" s="1"/>
  <c r="R411" i="1"/>
  <c r="S411" i="1" s="1"/>
  <c r="P411" i="1"/>
  <c r="Q411" i="1" s="1"/>
  <c r="N411" i="1"/>
  <c r="O411" i="1" s="1"/>
  <c r="L411" i="1"/>
  <c r="M411" i="1" s="1"/>
  <c r="J411" i="1"/>
  <c r="K411" i="1" s="1"/>
  <c r="H411" i="1"/>
  <c r="I411" i="1" s="1"/>
  <c r="N387" i="1"/>
  <c r="O387" i="1" s="1"/>
  <c r="L387" i="1"/>
  <c r="M387" i="1" s="1"/>
  <c r="V386" i="1"/>
  <c r="W386" i="1" s="1"/>
  <c r="P386" i="1"/>
  <c r="Q386" i="1" s="1"/>
  <c r="N386" i="1"/>
  <c r="O386" i="1" s="1"/>
  <c r="L386" i="1"/>
  <c r="M386" i="1" s="1"/>
  <c r="T386" i="1"/>
  <c r="U386" i="1" s="1"/>
  <c r="R386" i="1"/>
  <c r="S386" i="1" s="1"/>
  <c r="P413" i="1"/>
  <c r="Q413" i="1" s="1"/>
  <c r="N413" i="1"/>
  <c r="O413" i="1" s="1"/>
  <c r="L413" i="1"/>
  <c r="M413" i="1" s="1"/>
  <c r="V413" i="1"/>
  <c r="W413" i="1" s="1"/>
  <c r="T413" i="1"/>
  <c r="U413" i="1" s="1"/>
  <c r="J413" i="1"/>
  <c r="K413" i="1" s="1"/>
  <c r="H413" i="1"/>
  <c r="I413" i="1" s="1"/>
  <c r="R413" i="1"/>
  <c r="S413" i="1" s="1"/>
  <c r="T403" i="1"/>
  <c r="V403" i="1"/>
  <c r="R403" i="1"/>
  <c r="J403" i="1"/>
  <c r="N403" i="1"/>
  <c r="H403" i="1"/>
  <c r="P403" i="1"/>
  <c r="L403" i="1"/>
  <c r="T395" i="1"/>
  <c r="U395" i="1" s="1"/>
  <c r="J395" i="1"/>
  <c r="K395" i="1" s="1"/>
  <c r="L395" i="1"/>
  <c r="M395" i="1" s="1"/>
  <c r="R395" i="1"/>
  <c r="S395" i="1" s="1"/>
  <c r="V395" i="1"/>
  <c r="W395" i="1" s="1"/>
  <c r="P395" i="1"/>
  <c r="Q395" i="1" s="1"/>
  <c r="N395" i="1"/>
  <c r="O395" i="1" s="1"/>
  <c r="H395" i="1"/>
  <c r="I395" i="1" s="1"/>
  <c r="V393" i="1"/>
  <c r="W393" i="1" s="1"/>
  <c r="R393" i="1"/>
  <c r="S393" i="1" s="1"/>
  <c r="P393" i="1"/>
  <c r="Q393" i="1" s="1"/>
  <c r="H393" i="1"/>
  <c r="I393" i="1" s="1"/>
  <c r="T393" i="1"/>
  <c r="U393" i="1" s="1"/>
  <c r="N393" i="1"/>
  <c r="O393" i="1" s="1"/>
  <c r="L393" i="1"/>
  <c r="M393" i="1" s="1"/>
  <c r="J393" i="1"/>
  <c r="K393" i="1" s="1"/>
  <c r="N429" i="1"/>
  <c r="O429" i="1" s="1"/>
  <c r="P429" i="1"/>
  <c r="Q429" i="1" s="1"/>
  <c r="L429" i="1"/>
  <c r="M429" i="1" s="1"/>
  <c r="J429" i="1"/>
  <c r="K429" i="1" s="1"/>
  <c r="V429" i="1"/>
  <c r="W429" i="1" s="1"/>
  <c r="T429" i="1"/>
  <c r="U429" i="1" s="1"/>
  <c r="R429" i="1"/>
  <c r="S429" i="1" s="1"/>
  <c r="T394" i="1"/>
  <c r="U394" i="1" s="1"/>
  <c r="R394" i="1"/>
  <c r="S394" i="1" s="1"/>
  <c r="V394" i="1"/>
  <c r="W394" i="1" s="1"/>
  <c r="P394" i="1"/>
  <c r="Q394" i="1" s="1"/>
  <c r="L394" i="1"/>
  <c r="M394" i="1" s="1"/>
  <c r="N394" i="1"/>
  <c r="O394" i="1" s="1"/>
  <c r="H394" i="1"/>
  <c r="I394" i="1" s="1"/>
  <c r="J394" i="1"/>
  <c r="K394" i="1" s="1"/>
  <c r="G411" i="1"/>
  <c r="F632" i="1" l="1"/>
  <c r="F635" i="1"/>
  <c r="F634" i="1"/>
  <c r="L634" i="1" l="1"/>
  <c r="M634" i="1" s="1"/>
  <c r="J634" i="1"/>
  <c r="K634" i="1" s="1"/>
  <c r="T634" i="1"/>
  <c r="U634" i="1" s="1"/>
  <c r="R634" i="1"/>
  <c r="S634" i="1" s="1"/>
  <c r="P634" i="1"/>
  <c r="Q634" i="1" s="1"/>
  <c r="N634" i="1"/>
  <c r="O634" i="1" s="1"/>
  <c r="R635" i="1"/>
  <c r="S635" i="1" s="1"/>
  <c r="P635" i="1"/>
  <c r="Q635" i="1" s="1"/>
  <c r="N635" i="1"/>
  <c r="O635" i="1" s="1"/>
  <c r="L635" i="1"/>
  <c r="M635" i="1" s="1"/>
  <c r="J635" i="1"/>
  <c r="K635" i="1" s="1"/>
  <c r="T635" i="1"/>
  <c r="U635" i="1" s="1"/>
  <c r="P632" i="1"/>
  <c r="Q632" i="1" s="1"/>
  <c r="N632" i="1"/>
  <c r="O632" i="1" s="1"/>
  <c r="L632" i="1"/>
  <c r="M632" i="1" s="1"/>
  <c r="J632" i="1"/>
  <c r="K632" i="1" s="1"/>
  <c r="R632" i="1"/>
  <c r="S632" i="1" s="1"/>
  <c r="T632" i="1"/>
  <c r="U632" i="1" s="1"/>
  <c r="F536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2" i="1"/>
  <c r="U532" i="1" s="1"/>
  <c r="V532" i="1"/>
  <c r="W532" i="1" s="1"/>
  <c r="H532" i="1"/>
  <c r="I532" i="1" s="1"/>
  <c r="J532" i="1"/>
  <c r="K532" i="1" s="1"/>
  <c r="P532" i="1"/>
  <c r="Q532" i="1" s="1"/>
  <c r="L532" i="1"/>
  <c r="M532" i="1" s="1"/>
  <c r="R532" i="1"/>
  <c r="S532" i="1" s="1"/>
  <c r="N532" i="1"/>
  <c r="O532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3" i="1"/>
  <c r="M533" i="1" s="1"/>
  <c r="J533" i="1"/>
  <c r="K533" i="1" s="1"/>
  <c r="H533" i="1"/>
  <c r="I533" i="1" s="1"/>
  <c r="R533" i="1"/>
  <c r="S533" i="1" s="1"/>
  <c r="V533" i="1"/>
  <c r="W533" i="1" s="1"/>
  <c r="T533" i="1"/>
  <c r="U533" i="1" s="1"/>
  <c r="P533" i="1"/>
  <c r="Q533" i="1" s="1"/>
  <c r="N533" i="1"/>
  <c r="O533" i="1" s="1"/>
  <c r="L534" i="1"/>
  <c r="M534" i="1" s="1"/>
  <c r="N534" i="1"/>
  <c r="O534" i="1" s="1"/>
  <c r="P534" i="1"/>
  <c r="Q534" i="1" s="1"/>
  <c r="R534" i="1"/>
  <c r="S534" i="1" s="1"/>
  <c r="V534" i="1"/>
  <c r="W534" i="1" s="1"/>
  <c r="T534" i="1"/>
  <c r="U534" i="1" s="1"/>
  <c r="H534" i="1"/>
  <c r="I534" i="1" s="1"/>
  <c r="J534" i="1"/>
  <c r="K534" i="1" s="1"/>
  <c r="L542" i="1"/>
  <c r="M542" i="1" s="1"/>
  <c r="N542" i="1"/>
  <c r="O542" i="1" s="1"/>
  <c r="P542" i="1"/>
  <c r="Q542" i="1" s="1"/>
  <c r="R542" i="1"/>
  <c r="S542" i="1" s="1"/>
  <c r="T542" i="1"/>
  <c r="U542" i="1" s="1"/>
  <c r="V542" i="1"/>
  <c r="W542" i="1" s="1"/>
  <c r="H542" i="1"/>
  <c r="I542" i="1" s="1"/>
  <c r="J542" i="1"/>
  <c r="K542" i="1" s="1"/>
  <c r="N512" i="1"/>
  <c r="O512" i="1" s="1"/>
  <c r="L512" i="1"/>
  <c r="M512" i="1" s="1"/>
  <c r="H512" i="1"/>
  <c r="I512" i="1" s="1"/>
  <c r="J512" i="1"/>
  <c r="K512" i="1" s="1"/>
  <c r="J535" i="1"/>
  <c r="K535" i="1" s="1"/>
  <c r="L535" i="1"/>
  <c r="M535" i="1" s="1"/>
  <c r="H535" i="1"/>
  <c r="I535" i="1" s="1"/>
  <c r="N535" i="1"/>
  <c r="O535" i="1" s="1"/>
  <c r="V535" i="1"/>
  <c r="W535" i="1" s="1"/>
  <c r="P535" i="1"/>
  <c r="Q535" i="1" s="1"/>
  <c r="R535" i="1"/>
  <c r="S535" i="1" s="1"/>
  <c r="T535" i="1"/>
  <c r="U535" i="1" s="1"/>
  <c r="V536" i="1"/>
  <c r="W536" i="1" s="1"/>
  <c r="H536" i="1"/>
  <c r="I536" i="1" s="1"/>
  <c r="J536" i="1"/>
  <c r="K536" i="1" s="1"/>
  <c r="L536" i="1"/>
  <c r="M536" i="1" s="1"/>
  <c r="R536" i="1"/>
  <c r="S536" i="1" s="1"/>
  <c r="N536" i="1"/>
  <c r="O536" i="1" s="1"/>
  <c r="P536" i="1"/>
  <c r="Q536" i="1" s="1"/>
  <c r="T536" i="1"/>
  <c r="U536" i="1" s="1"/>
  <c r="V519" i="1"/>
  <c r="H519" i="1"/>
  <c r="T519" i="1"/>
  <c r="R519" i="1"/>
  <c r="P519" i="1"/>
  <c r="J519" i="1"/>
  <c r="N519" i="1"/>
  <c r="L519" i="1"/>
  <c r="T416" i="1"/>
  <c r="U416" i="1" s="1"/>
  <c r="R416" i="1"/>
  <c r="S416" i="1" s="1"/>
  <c r="P416" i="1"/>
  <c r="Q416" i="1" s="1"/>
  <c r="N416" i="1"/>
  <c r="O416" i="1" s="1"/>
  <c r="L416" i="1"/>
  <c r="M416" i="1" s="1"/>
  <c r="K416" i="1"/>
  <c r="G416" i="1"/>
  <c r="G486" i="1" l="1"/>
  <c r="G485" i="1"/>
  <c r="J312" i="1"/>
  <c r="V149" i="1"/>
  <c r="T149" i="1"/>
  <c r="R149" i="1"/>
  <c r="P149" i="1"/>
  <c r="N149" i="1"/>
  <c r="L149" i="1"/>
  <c r="T138" i="1"/>
  <c r="U138" i="1" s="1"/>
  <c r="V138" i="1"/>
  <c r="W138" i="1" s="1"/>
  <c r="R138" i="1"/>
  <c r="S138" i="1" s="1"/>
  <c r="P138" i="1"/>
  <c r="Q138" i="1" s="1"/>
  <c r="N138" i="1"/>
  <c r="O138" i="1" s="1"/>
  <c r="L138" i="1"/>
  <c r="M138" i="1" s="1"/>
  <c r="J138" i="1"/>
  <c r="K138" i="1" s="1"/>
  <c r="L142" i="1"/>
  <c r="M142" i="1" s="1"/>
  <c r="N142" i="1"/>
  <c r="O142" i="1" s="1"/>
  <c r="P142" i="1"/>
  <c r="Q142" i="1" s="1"/>
  <c r="R142" i="1"/>
  <c r="S142" i="1" s="1"/>
  <c r="T142" i="1"/>
  <c r="U142" i="1" s="1"/>
  <c r="V142" i="1"/>
  <c r="W142" i="1" s="1"/>
  <c r="J142" i="1"/>
  <c r="K142" i="1" s="1"/>
  <c r="V137" i="1"/>
  <c r="W137" i="1" s="1"/>
  <c r="T137" i="1"/>
  <c r="U137" i="1" s="1"/>
  <c r="R137" i="1"/>
  <c r="P137" i="1"/>
  <c r="Q137" i="1" s="1"/>
  <c r="N137" i="1"/>
  <c r="O137" i="1" s="1"/>
  <c r="L137" i="1"/>
  <c r="M137" i="1" s="1"/>
  <c r="J137" i="1"/>
  <c r="K137" i="1" s="1"/>
  <c r="L141" i="1"/>
  <c r="V141" i="1"/>
  <c r="T141" i="1"/>
  <c r="R141" i="1"/>
  <c r="P141" i="1"/>
  <c r="N141" i="1"/>
  <c r="J141" i="1"/>
  <c r="V241" i="1" l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H241" i="1"/>
  <c r="I241" i="1" s="1"/>
  <c r="J241" i="1"/>
  <c r="K241" i="1" s="1"/>
  <c r="T383" i="1"/>
  <c r="U383" i="1" s="1"/>
  <c r="P383" i="1"/>
  <c r="Q383" i="1" s="1"/>
  <c r="L383" i="1"/>
  <c r="M383" i="1" s="1"/>
  <c r="V383" i="1"/>
  <c r="W383" i="1" s="1"/>
  <c r="R383" i="1"/>
  <c r="S383" i="1" s="1"/>
  <c r="N383" i="1"/>
  <c r="O383" i="1" s="1"/>
  <c r="G241" i="1"/>
  <c r="G383" i="1"/>
  <c r="V113" i="1" l="1"/>
  <c r="V112" i="1"/>
  <c r="T113" i="1"/>
  <c r="T112" i="1"/>
  <c r="R113" i="1"/>
  <c r="R112" i="1"/>
  <c r="P113" i="1"/>
  <c r="P112" i="1"/>
  <c r="N112" i="1"/>
  <c r="N113" i="1"/>
  <c r="V59" i="1"/>
  <c r="V58" i="1"/>
  <c r="V57" i="1"/>
  <c r="V56" i="1"/>
  <c r="T56" i="1"/>
  <c r="T58" i="1"/>
  <c r="T57" i="1"/>
  <c r="T59" i="1"/>
  <c r="R59" i="1"/>
  <c r="R58" i="1"/>
  <c r="R57" i="1"/>
  <c r="R56" i="1"/>
  <c r="P59" i="1"/>
  <c r="P58" i="1"/>
  <c r="P57" i="1"/>
  <c r="P56" i="1"/>
  <c r="N57" i="1"/>
  <c r="N56" i="1"/>
  <c r="N58" i="1"/>
  <c r="N59" i="1"/>
  <c r="L59" i="1"/>
  <c r="L58" i="1"/>
  <c r="L57" i="1"/>
  <c r="L56" i="1"/>
  <c r="J60" i="1"/>
  <c r="L60" i="1"/>
  <c r="N60" i="1"/>
  <c r="P60" i="1"/>
  <c r="R60" i="1"/>
  <c r="T60" i="1"/>
  <c r="V60" i="1"/>
  <c r="T410" i="1" l="1"/>
  <c r="U410" i="1" s="1"/>
  <c r="R410" i="1"/>
  <c r="S410" i="1" s="1"/>
  <c r="P410" i="1"/>
  <c r="Q410" i="1" s="1"/>
  <c r="L410" i="1"/>
  <c r="M410" i="1" s="1"/>
  <c r="N410" i="1"/>
  <c r="O410" i="1" s="1"/>
  <c r="H410" i="1"/>
  <c r="I410" i="1" s="1"/>
  <c r="J410" i="1"/>
  <c r="K410" i="1" s="1"/>
  <c r="V410" i="1"/>
  <c r="W410" i="1" s="1"/>
  <c r="G410" i="1"/>
  <c r="V498" i="1" l="1"/>
  <c r="W498" i="1" s="1"/>
  <c r="F491" i="1"/>
  <c r="F490" i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3" i="1" l="1"/>
  <c r="T457" i="1" l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71" i="1"/>
  <c r="W471" i="1" s="1"/>
  <c r="T471" i="1"/>
  <c r="U471" i="1" s="1"/>
  <c r="R471" i="1"/>
  <c r="S471" i="1" s="1"/>
  <c r="P471" i="1"/>
  <c r="Q471" i="1" s="1"/>
  <c r="N471" i="1"/>
  <c r="O471" i="1" s="1"/>
  <c r="L471" i="1"/>
  <c r="M471" i="1" s="1"/>
  <c r="J471" i="1"/>
  <c r="K471" i="1" s="1"/>
  <c r="H471" i="1"/>
  <c r="I471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3" i="1" l="1"/>
  <c r="F540" i="1"/>
  <c r="G458" i="1"/>
  <c r="T526" i="1" l="1"/>
  <c r="U526" i="1" s="1"/>
  <c r="V526" i="1"/>
  <c r="W526" i="1" s="1"/>
  <c r="H526" i="1"/>
  <c r="I526" i="1" s="1"/>
  <c r="P526" i="1"/>
  <c r="Q526" i="1" s="1"/>
  <c r="R526" i="1"/>
  <c r="S526" i="1" s="1"/>
  <c r="J526" i="1"/>
  <c r="K526" i="1" s="1"/>
  <c r="L526" i="1"/>
  <c r="M526" i="1" s="1"/>
  <c r="N526" i="1"/>
  <c r="O526" i="1" s="1"/>
  <c r="N541" i="1"/>
  <c r="O541" i="1" s="1"/>
  <c r="P541" i="1"/>
  <c r="Q541" i="1" s="1"/>
  <c r="L541" i="1"/>
  <c r="M541" i="1" s="1"/>
  <c r="R541" i="1"/>
  <c r="S541" i="1" s="1"/>
  <c r="T541" i="1"/>
  <c r="U541" i="1" s="1"/>
  <c r="H541" i="1"/>
  <c r="I541" i="1" s="1"/>
  <c r="V541" i="1"/>
  <c r="W541" i="1" s="1"/>
  <c r="J541" i="1"/>
  <c r="K541" i="1" s="1"/>
  <c r="H543" i="1"/>
  <c r="I543" i="1" s="1"/>
  <c r="J543" i="1"/>
  <c r="K543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V552" i="1"/>
  <c r="W552" i="1" s="1"/>
  <c r="T552" i="1"/>
  <c r="U552" i="1" s="1"/>
  <c r="R552" i="1"/>
  <c r="S552" i="1" s="1"/>
  <c r="P552" i="1"/>
  <c r="Q552" i="1" s="1"/>
  <c r="N552" i="1"/>
  <c r="O552" i="1" s="1"/>
  <c r="L552" i="1"/>
  <c r="M552" i="1" s="1"/>
  <c r="J552" i="1"/>
  <c r="K552" i="1" s="1"/>
  <c r="H552" i="1"/>
  <c r="I552" i="1" s="1"/>
  <c r="R540" i="1"/>
  <c r="S540" i="1" s="1"/>
  <c r="P540" i="1"/>
  <c r="Q540" i="1" s="1"/>
  <c r="T540" i="1"/>
  <c r="U540" i="1" s="1"/>
  <c r="N540" i="1"/>
  <c r="O540" i="1" s="1"/>
  <c r="H540" i="1"/>
  <c r="I540" i="1" s="1"/>
  <c r="V540" i="1"/>
  <c r="W540" i="1" s="1"/>
  <c r="L540" i="1"/>
  <c r="M540" i="1" s="1"/>
  <c r="J540" i="1"/>
  <c r="K540" i="1" s="1"/>
  <c r="H544" i="1"/>
  <c r="I544" i="1" s="1"/>
  <c r="V544" i="1"/>
  <c r="W544" i="1" s="1"/>
  <c r="J544" i="1"/>
  <c r="K544" i="1" s="1"/>
  <c r="R544" i="1"/>
  <c r="S544" i="1" s="1"/>
  <c r="L544" i="1"/>
  <c r="M544" i="1" s="1"/>
  <c r="N544" i="1"/>
  <c r="O544" i="1" s="1"/>
  <c r="T544" i="1"/>
  <c r="U544" i="1" s="1"/>
  <c r="P544" i="1"/>
  <c r="Q544" i="1" s="1"/>
  <c r="V553" i="1"/>
  <c r="W553" i="1" s="1"/>
  <c r="T553" i="1"/>
  <c r="U553" i="1" s="1"/>
  <c r="R553" i="1"/>
  <c r="S553" i="1" s="1"/>
  <c r="P553" i="1"/>
  <c r="Q553" i="1" s="1"/>
  <c r="L553" i="1"/>
  <c r="M553" i="1" s="1"/>
  <c r="N553" i="1"/>
  <c r="O553" i="1" s="1"/>
  <c r="H553" i="1"/>
  <c r="I553" i="1" s="1"/>
  <c r="J553" i="1"/>
  <c r="K553" i="1" s="1"/>
  <c r="P458" i="1"/>
  <c r="Q458" i="1" s="1"/>
  <c r="N458" i="1"/>
  <c r="O458" i="1" s="1"/>
  <c r="L458" i="1"/>
  <c r="M458" i="1" s="1"/>
  <c r="V458" i="1"/>
  <c r="W458" i="1" s="1"/>
  <c r="J458" i="1"/>
  <c r="K458" i="1" s="1"/>
  <c r="T458" i="1"/>
  <c r="U458" i="1" s="1"/>
  <c r="R458" i="1"/>
  <c r="S458" i="1" s="1"/>
  <c r="H458" i="1"/>
  <c r="I458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3" i="1"/>
  <c r="L622" i="1"/>
  <c r="F443" i="1"/>
  <c r="F402" i="1"/>
  <c r="F379" i="1"/>
  <c r="R443" i="1" l="1"/>
  <c r="S443" i="1" s="1"/>
  <c r="P443" i="1"/>
  <c r="Q443" i="1" s="1"/>
  <c r="N443" i="1"/>
  <c r="O443" i="1" s="1"/>
  <c r="L443" i="1"/>
  <c r="M443" i="1" s="1"/>
  <c r="T443" i="1"/>
  <c r="U443" i="1" s="1"/>
  <c r="J443" i="1"/>
  <c r="K443" i="1" s="1"/>
  <c r="H443" i="1"/>
  <c r="I443" i="1" s="1"/>
  <c r="V443" i="1"/>
  <c r="W443" i="1" s="1"/>
  <c r="T430" i="1"/>
  <c r="U430" i="1" s="1"/>
  <c r="R430" i="1"/>
  <c r="S430" i="1" s="1"/>
  <c r="P430" i="1"/>
  <c r="Q430" i="1" s="1"/>
  <c r="V430" i="1"/>
  <c r="W430" i="1" s="1"/>
  <c r="N430" i="1"/>
  <c r="O430" i="1" s="1"/>
  <c r="L430" i="1"/>
  <c r="M430" i="1" s="1"/>
  <c r="J430" i="1"/>
  <c r="K430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H389" i="1"/>
  <c r="I389" i="1" s="1"/>
  <c r="L389" i="1"/>
  <c r="M389" i="1" s="1"/>
  <c r="J389" i="1"/>
  <c r="K389" i="1" s="1"/>
  <c r="V379" i="1"/>
  <c r="W379" i="1" s="1"/>
  <c r="T379" i="1"/>
  <c r="U379" i="1" s="1"/>
  <c r="R379" i="1"/>
  <c r="S379" i="1" s="1"/>
  <c r="N379" i="1"/>
  <c r="O379" i="1" s="1"/>
  <c r="L379" i="1"/>
  <c r="M379" i="1" s="1"/>
  <c r="P379" i="1"/>
  <c r="Q379" i="1" s="1"/>
  <c r="J402" i="1"/>
  <c r="K402" i="1" s="1"/>
  <c r="H402" i="1"/>
  <c r="I402" i="1" s="1"/>
  <c r="V402" i="1"/>
  <c r="W402" i="1" s="1"/>
  <c r="R402" i="1"/>
  <c r="S402" i="1" s="1"/>
  <c r="P402" i="1"/>
  <c r="Q402" i="1" s="1"/>
  <c r="T402" i="1"/>
  <c r="U402" i="1" s="1"/>
  <c r="L402" i="1"/>
  <c r="M402" i="1" s="1"/>
  <c r="N402" i="1"/>
  <c r="O402" i="1" s="1"/>
  <c r="G394" i="1"/>
  <c r="F369" i="1"/>
  <c r="R367" i="1" l="1"/>
  <c r="S367" i="1" s="1"/>
  <c r="N367" i="1"/>
  <c r="O367" i="1" s="1"/>
  <c r="P367" i="1"/>
  <c r="Q367" i="1" s="1"/>
  <c r="V367" i="1"/>
  <c r="W367" i="1" s="1"/>
  <c r="T367" i="1"/>
  <c r="U367" i="1" s="1"/>
  <c r="L367" i="1"/>
  <c r="M367" i="1" s="1"/>
  <c r="V369" i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R341" i="1"/>
  <c r="S341" i="1" s="1"/>
  <c r="P341" i="1"/>
  <c r="Q341" i="1" s="1"/>
  <c r="N341" i="1"/>
  <c r="O341" i="1" s="1"/>
  <c r="L341" i="1"/>
  <c r="M341" i="1" s="1"/>
  <c r="V341" i="1"/>
  <c r="W341" i="1" s="1"/>
  <c r="T341" i="1"/>
  <c r="U341" i="1" s="1"/>
  <c r="V344" i="1"/>
  <c r="N344" i="1"/>
  <c r="H344" i="1"/>
  <c r="T344" i="1"/>
  <c r="L344" i="1"/>
  <c r="J344" i="1"/>
  <c r="R344" i="1"/>
  <c r="P344" i="1"/>
  <c r="L340" i="1"/>
  <c r="M340" i="1" s="1"/>
  <c r="V340" i="1"/>
  <c r="W340" i="1" s="1"/>
  <c r="P340" i="1"/>
  <c r="Q340" i="1" s="1"/>
  <c r="T340" i="1"/>
  <c r="U340" i="1" s="1"/>
  <c r="R340" i="1"/>
  <c r="S340" i="1" s="1"/>
  <c r="N340" i="1"/>
  <c r="O340" i="1" s="1"/>
  <c r="R352" i="1"/>
  <c r="S352" i="1" s="1"/>
  <c r="N352" i="1"/>
  <c r="O352" i="1" s="1"/>
  <c r="T352" i="1"/>
  <c r="U352" i="1" s="1"/>
  <c r="V352" i="1"/>
  <c r="W352" i="1" s="1"/>
  <c r="P352" i="1"/>
  <c r="Q352" i="1" s="1"/>
  <c r="L338" i="1"/>
  <c r="M338" i="1" s="1"/>
  <c r="N338" i="1"/>
  <c r="O338" i="1" s="1"/>
  <c r="V338" i="1"/>
  <c r="W338" i="1" s="1"/>
  <c r="T338" i="1"/>
  <c r="U338" i="1" s="1"/>
  <c r="R338" i="1"/>
  <c r="S338" i="1" s="1"/>
  <c r="P338" i="1"/>
  <c r="Q338" i="1" s="1"/>
  <c r="H368" i="1"/>
  <c r="I368" i="1" s="1"/>
  <c r="T368" i="1"/>
  <c r="U368" i="1" s="1"/>
  <c r="N368" i="1"/>
  <c r="O368" i="1" s="1"/>
  <c r="J368" i="1"/>
  <c r="K368" i="1" s="1"/>
  <c r="L368" i="1"/>
  <c r="M368" i="1" s="1"/>
  <c r="V368" i="1"/>
  <c r="W368" i="1" s="1"/>
  <c r="R368" i="1"/>
  <c r="S368" i="1" s="1"/>
  <c r="P368" i="1"/>
  <c r="Q368" i="1" s="1"/>
  <c r="R372" i="1"/>
  <c r="S372" i="1" s="1"/>
  <c r="N372" i="1"/>
  <c r="O372" i="1" s="1"/>
  <c r="P372" i="1"/>
  <c r="Q372" i="1" s="1"/>
  <c r="V372" i="1"/>
  <c r="W372" i="1" s="1"/>
  <c r="T372" i="1"/>
  <c r="U372" i="1" s="1"/>
  <c r="L372" i="1"/>
  <c r="M372" i="1" s="1"/>
  <c r="F313" i="1"/>
  <c r="F310" i="1"/>
  <c r="H310" i="1" s="1"/>
  <c r="I310" i="1" s="1"/>
  <c r="F299" i="1"/>
  <c r="F288" i="1"/>
  <c r="F280" i="1"/>
  <c r="F539" i="1"/>
  <c r="F249" i="1"/>
  <c r="F258" i="1"/>
  <c r="F245" i="1"/>
  <c r="F234" i="1"/>
  <c r="F225" i="1"/>
  <c r="F221" i="1"/>
  <c r="F198" i="1"/>
  <c r="F188" i="1"/>
  <c r="F168" i="1"/>
  <c r="F167" i="1"/>
  <c r="F164" i="1"/>
  <c r="F145" i="1"/>
  <c r="W434" i="1"/>
  <c r="U434" i="1"/>
  <c r="S434" i="1"/>
  <c r="Q434" i="1"/>
  <c r="O434" i="1"/>
  <c r="W433" i="1"/>
  <c r="U433" i="1"/>
  <c r="S433" i="1"/>
  <c r="Q433" i="1"/>
  <c r="O433" i="1"/>
  <c r="W428" i="1"/>
  <c r="U428" i="1"/>
  <c r="S428" i="1"/>
  <c r="Q428" i="1"/>
  <c r="O428" i="1"/>
  <c r="W427" i="1"/>
  <c r="U427" i="1"/>
  <c r="S427" i="1"/>
  <c r="Q427" i="1"/>
  <c r="O427" i="1"/>
  <c r="F27" i="1"/>
  <c r="F29" i="1"/>
  <c r="F30" i="1"/>
  <c r="F17" i="1"/>
  <c r="F18" i="1"/>
  <c r="N302" i="1" l="1"/>
  <c r="O302" i="1" s="1"/>
  <c r="V302" i="1"/>
  <c r="W302" i="1" s="1"/>
  <c r="T302" i="1"/>
  <c r="U302" i="1" s="1"/>
  <c r="R302" i="1"/>
  <c r="S302" i="1" s="1"/>
  <c r="P302" i="1"/>
  <c r="Q302" i="1" s="1"/>
  <c r="L302" i="1"/>
  <c r="M302" i="1" s="1"/>
  <c r="J302" i="1"/>
  <c r="K302" i="1" s="1"/>
  <c r="H302" i="1"/>
  <c r="I302" i="1" s="1"/>
  <c r="N162" i="1"/>
  <c r="O162" i="1" s="1"/>
  <c r="L162" i="1"/>
  <c r="M162" i="1" s="1"/>
  <c r="J162" i="1"/>
  <c r="K162" i="1" s="1"/>
  <c r="V162" i="1"/>
  <c r="W162" i="1" s="1"/>
  <c r="P162" i="1"/>
  <c r="Q162" i="1" s="1"/>
  <c r="T162" i="1"/>
  <c r="U162" i="1" s="1"/>
  <c r="R162" i="1"/>
  <c r="S162" i="1" s="1"/>
  <c r="T249" i="1"/>
  <c r="U249" i="1" s="1"/>
  <c r="R249" i="1"/>
  <c r="S249" i="1" s="1"/>
  <c r="P249" i="1"/>
  <c r="Q249" i="1" s="1"/>
  <c r="N249" i="1"/>
  <c r="O249" i="1" s="1"/>
  <c r="L249" i="1"/>
  <c r="M249" i="1" s="1"/>
  <c r="J249" i="1"/>
  <c r="K249" i="1" s="1"/>
  <c r="H249" i="1"/>
  <c r="I249" i="1" s="1"/>
  <c r="V249" i="1"/>
  <c r="W249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V253" i="1"/>
  <c r="W253" i="1" s="1"/>
  <c r="V310" i="1"/>
  <c r="T310" i="1"/>
  <c r="R310" i="1"/>
  <c r="J310" i="1"/>
  <c r="P310" i="1"/>
  <c r="L310" i="1"/>
  <c r="N310" i="1"/>
  <c r="R539" i="1"/>
  <c r="S539" i="1" s="1"/>
  <c r="T539" i="1"/>
  <c r="U539" i="1" s="1"/>
  <c r="V539" i="1"/>
  <c r="W539" i="1" s="1"/>
  <c r="H539" i="1"/>
  <c r="I539" i="1" s="1"/>
  <c r="J539" i="1"/>
  <c r="K539" i="1" s="1"/>
  <c r="L539" i="1"/>
  <c r="M539" i="1" s="1"/>
  <c r="P539" i="1"/>
  <c r="Q539" i="1" s="1"/>
  <c r="N539" i="1"/>
  <c r="O539" i="1" s="1"/>
  <c r="P164" i="1"/>
  <c r="Q164" i="1" s="1"/>
  <c r="R164" i="1"/>
  <c r="S164" i="1" s="1"/>
  <c r="L164" i="1"/>
  <c r="M164" i="1" s="1"/>
  <c r="J164" i="1"/>
  <c r="K164" i="1" s="1"/>
  <c r="N164" i="1"/>
  <c r="O164" i="1" s="1"/>
  <c r="L280" i="1"/>
  <c r="H280" i="1"/>
  <c r="V280" i="1"/>
  <c r="T280" i="1"/>
  <c r="R280" i="1"/>
  <c r="P280" i="1"/>
  <c r="N280" i="1"/>
  <c r="J280" i="1"/>
  <c r="R258" i="1"/>
  <c r="S258" i="1" s="1"/>
  <c r="P258" i="1"/>
  <c r="Q258" i="1" s="1"/>
  <c r="N258" i="1"/>
  <c r="O258" i="1" s="1"/>
  <c r="L258" i="1"/>
  <c r="M258" i="1" s="1"/>
  <c r="H258" i="1"/>
  <c r="I258" i="1" s="1"/>
  <c r="J258" i="1"/>
  <c r="K258" i="1" s="1"/>
  <c r="V250" i="1"/>
  <c r="W250" i="1" s="1"/>
  <c r="T250" i="1"/>
  <c r="U250" i="1" s="1"/>
  <c r="R250" i="1"/>
  <c r="S250" i="1" s="1"/>
  <c r="P250" i="1"/>
  <c r="Q250" i="1" s="1"/>
  <c r="N250" i="1"/>
  <c r="O250" i="1" s="1"/>
  <c r="L250" i="1"/>
  <c r="M250" i="1" s="1"/>
  <c r="H250" i="1"/>
  <c r="I250" i="1" s="1"/>
  <c r="J250" i="1"/>
  <c r="K250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87" i="1"/>
  <c r="K287" i="1" s="1"/>
  <c r="H287" i="1"/>
  <c r="L287" i="1"/>
  <c r="M287" i="1" s="1"/>
  <c r="N287" i="1"/>
  <c r="O287" i="1" s="1"/>
  <c r="P287" i="1"/>
  <c r="Q287" i="1" s="1"/>
  <c r="V287" i="1"/>
  <c r="W287" i="1" s="1"/>
  <c r="T287" i="1"/>
  <c r="U287" i="1" s="1"/>
  <c r="R287" i="1"/>
  <c r="S287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34" i="1"/>
  <c r="W234" i="1" s="1"/>
  <c r="J166" i="1"/>
  <c r="K166" i="1" s="1"/>
  <c r="L166" i="1"/>
  <c r="M166" i="1" s="1"/>
  <c r="N166" i="1"/>
  <c r="O166" i="1" s="1"/>
  <c r="P166" i="1"/>
  <c r="Q166" i="1" s="1"/>
  <c r="R166" i="1"/>
  <c r="S166" i="1" s="1"/>
  <c r="H166" i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J288" i="1"/>
  <c r="K288" i="1" s="1"/>
  <c r="H288" i="1"/>
  <c r="I288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5" i="1"/>
  <c r="W245" i="1" s="1"/>
  <c r="H163" i="1"/>
  <c r="I163" i="1" s="1"/>
  <c r="V163" i="1"/>
  <c r="W163" i="1" s="1"/>
  <c r="T163" i="1"/>
  <c r="U163" i="1" s="1"/>
  <c r="R163" i="1"/>
  <c r="S163" i="1" s="1"/>
  <c r="P163" i="1"/>
  <c r="Q163" i="1" s="1"/>
  <c r="N163" i="1"/>
  <c r="O163" i="1" s="1"/>
  <c r="L163" i="1"/>
  <c r="M163" i="1" s="1"/>
  <c r="J163" i="1"/>
  <c r="K163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R291" i="1"/>
  <c r="S291" i="1" s="1"/>
  <c r="H291" i="1"/>
  <c r="I291" i="1" s="1"/>
  <c r="T291" i="1"/>
  <c r="U291" i="1" s="1"/>
  <c r="J291" i="1"/>
  <c r="K291" i="1" s="1"/>
  <c r="N291" i="1"/>
  <c r="O291" i="1" s="1"/>
  <c r="V291" i="1"/>
  <c r="W291" i="1" s="1"/>
  <c r="L291" i="1"/>
  <c r="M291" i="1" s="1"/>
  <c r="P291" i="1"/>
  <c r="Q291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5" i="1"/>
  <c r="T225" i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J299" i="1"/>
  <c r="K299" i="1" s="1"/>
  <c r="V299" i="1"/>
  <c r="W299" i="1" s="1"/>
  <c r="L299" i="1"/>
  <c r="M299" i="1" s="1"/>
  <c r="P299" i="1"/>
  <c r="Q299" i="1" s="1"/>
  <c r="R299" i="1"/>
  <c r="S299" i="1" s="1"/>
  <c r="T299" i="1"/>
  <c r="U299" i="1" s="1"/>
  <c r="N299" i="1"/>
  <c r="O299" i="1" s="1"/>
  <c r="H299" i="1"/>
  <c r="I299" i="1" s="1"/>
  <c r="T145" i="1"/>
  <c r="U145" i="1" s="1"/>
  <c r="R145" i="1"/>
  <c r="S145" i="1" s="1"/>
  <c r="P145" i="1"/>
  <c r="Q145" i="1" s="1"/>
  <c r="H145" i="1"/>
  <c r="V145" i="1"/>
  <c r="W145" i="1" s="1"/>
  <c r="N145" i="1"/>
  <c r="O145" i="1" s="1"/>
  <c r="L145" i="1"/>
  <c r="M145" i="1" s="1"/>
  <c r="J145" i="1"/>
  <c r="K145" i="1" s="1"/>
  <c r="G310" i="1"/>
  <c r="G539" i="1"/>
  <c r="F390" i="1"/>
  <c r="G390" i="1" l="1"/>
  <c r="L390" i="1"/>
  <c r="M390" i="1" s="1"/>
  <c r="V390" i="1"/>
  <c r="W390" i="1" s="1"/>
  <c r="H390" i="1"/>
  <c r="I390" i="1" s="1"/>
  <c r="T390" i="1"/>
  <c r="U390" i="1" s="1"/>
  <c r="R390" i="1"/>
  <c r="S390" i="1" s="1"/>
  <c r="P390" i="1"/>
  <c r="Q390" i="1" s="1"/>
  <c r="N390" i="1"/>
  <c r="O390" i="1" s="1"/>
  <c r="J390" i="1"/>
  <c r="K390" i="1" s="1"/>
  <c r="T415" i="1"/>
  <c r="R415" i="1"/>
  <c r="P415" i="1"/>
  <c r="N415" i="1"/>
  <c r="L415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5" i="1" l="1"/>
  <c r="S365" i="1" s="1"/>
  <c r="N365" i="1"/>
  <c r="O365" i="1" s="1"/>
  <c r="T365" i="1"/>
  <c r="U365" i="1" s="1"/>
  <c r="P365" i="1"/>
  <c r="Q365" i="1" s="1"/>
  <c r="L365" i="1"/>
  <c r="M365" i="1" s="1"/>
  <c r="V365" i="1"/>
  <c r="W365" i="1" s="1"/>
  <c r="G365" i="1"/>
  <c r="P550" i="1" l="1"/>
  <c r="Q550" i="1" s="1"/>
  <c r="R550" i="1"/>
  <c r="S550" i="1" s="1"/>
  <c r="T550" i="1"/>
  <c r="U550" i="1" s="1"/>
  <c r="N550" i="1"/>
  <c r="O550" i="1" s="1"/>
  <c r="H550" i="1"/>
  <c r="I550" i="1" s="1"/>
  <c r="V550" i="1"/>
  <c r="W550" i="1" s="1"/>
  <c r="L550" i="1"/>
  <c r="M550" i="1" s="1"/>
  <c r="J550" i="1"/>
  <c r="K550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7" i="1" l="1"/>
  <c r="F363" i="1"/>
  <c r="R363" i="1" l="1"/>
  <c r="S363" i="1" s="1"/>
  <c r="N363" i="1"/>
  <c r="O363" i="1" s="1"/>
  <c r="P363" i="1"/>
  <c r="Q363" i="1" s="1"/>
  <c r="V363" i="1"/>
  <c r="W363" i="1" s="1"/>
  <c r="T363" i="1"/>
  <c r="U363" i="1" s="1"/>
  <c r="L363" i="1"/>
  <c r="M363" i="1" s="1"/>
  <c r="G363" i="1"/>
  <c r="F339" i="1" l="1"/>
  <c r="P623" i="1"/>
  <c r="Q623" i="1" s="1"/>
  <c r="F248" i="1"/>
  <c r="L248" i="1" l="1"/>
  <c r="M248" i="1" s="1"/>
  <c r="J248" i="1"/>
  <c r="K248" i="1" s="1"/>
  <c r="H248" i="1"/>
  <c r="I248" i="1" s="1"/>
  <c r="V248" i="1"/>
  <c r="W248" i="1" s="1"/>
  <c r="T248" i="1"/>
  <c r="U248" i="1" s="1"/>
  <c r="P248" i="1"/>
  <c r="Q248" i="1" s="1"/>
  <c r="N248" i="1"/>
  <c r="O248" i="1" s="1"/>
  <c r="R248" i="1"/>
  <c r="S248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P522" i="1"/>
  <c r="Q522" i="1" s="1"/>
  <c r="R522" i="1"/>
  <c r="S522" i="1" s="1"/>
  <c r="T521" i="1"/>
  <c r="U521" i="1" s="1"/>
  <c r="V521" i="1"/>
  <c r="W521" i="1" s="1"/>
  <c r="H521" i="1"/>
  <c r="I521" i="1" s="1"/>
  <c r="J521" i="1"/>
  <c r="K521" i="1" s="1"/>
  <c r="L521" i="1"/>
  <c r="M521" i="1" s="1"/>
  <c r="N521" i="1"/>
  <c r="O521" i="1" s="1"/>
  <c r="R521" i="1"/>
  <c r="S521" i="1" s="1"/>
  <c r="P521" i="1"/>
  <c r="Q521" i="1" s="1"/>
  <c r="R339" i="1"/>
  <c r="S339" i="1" s="1"/>
  <c r="T339" i="1"/>
  <c r="U339" i="1" s="1"/>
  <c r="P339" i="1"/>
  <c r="Q339" i="1" s="1"/>
  <c r="N339" i="1"/>
  <c r="O339" i="1" s="1"/>
  <c r="L339" i="1"/>
  <c r="M339" i="1" s="1"/>
  <c r="V339" i="1"/>
  <c r="W339" i="1" s="1"/>
  <c r="M623" i="1"/>
  <c r="V623" i="1"/>
  <c r="W623" i="1" s="1"/>
  <c r="G623" i="1"/>
  <c r="R623" i="1"/>
  <c r="S623" i="1" s="1"/>
  <c r="N623" i="1"/>
  <c r="O623" i="1" s="1"/>
  <c r="T623" i="1"/>
  <c r="U623" i="1" s="1"/>
  <c r="G522" i="1"/>
  <c r="G550" i="1"/>
  <c r="G101" i="1"/>
  <c r="G145" i="1"/>
  <c r="I145" i="1"/>
  <c r="R630" i="1" l="1"/>
  <c r="R629" i="1"/>
  <c r="P630" i="1"/>
  <c r="P629" i="1"/>
  <c r="N630" i="1"/>
  <c r="N629" i="1"/>
  <c r="T629" i="1"/>
  <c r="T630" i="1"/>
  <c r="P444" i="1" l="1"/>
  <c r="Q444" i="1" s="1"/>
  <c r="R444" i="1"/>
  <c r="S444" i="1" s="1"/>
  <c r="N444" i="1"/>
  <c r="O444" i="1" s="1"/>
  <c r="L444" i="1"/>
  <c r="M444" i="1" s="1"/>
  <c r="J444" i="1"/>
  <c r="K444" i="1" s="1"/>
  <c r="H444" i="1"/>
  <c r="I444" i="1" s="1"/>
  <c r="T444" i="1"/>
  <c r="U444" i="1" s="1"/>
  <c r="V444" i="1"/>
  <c r="W444" i="1" s="1"/>
  <c r="R442" i="1"/>
  <c r="S442" i="1" s="1"/>
  <c r="N442" i="1"/>
  <c r="O442" i="1" s="1"/>
  <c r="P442" i="1"/>
  <c r="Q442" i="1" s="1"/>
  <c r="L442" i="1"/>
  <c r="M442" i="1" s="1"/>
  <c r="J442" i="1"/>
  <c r="K442" i="1" s="1"/>
  <c r="H442" i="1"/>
  <c r="I442" i="1" s="1"/>
  <c r="V442" i="1"/>
  <c r="W442" i="1" s="1"/>
  <c r="T442" i="1"/>
  <c r="U442" i="1" s="1"/>
  <c r="G442" i="1"/>
  <c r="G444" i="1"/>
  <c r="V622" i="1"/>
  <c r="W622" i="1" s="1"/>
  <c r="G443" i="1"/>
  <c r="P622" i="1"/>
  <c r="Q622" i="1" s="1"/>
  <c r="R622" i="1"/>
  <c r="S622" i="1" s="1"/>
  <c r="N622" i="1"/>
  <c r="O622" i="1" s="1"/>
  <c r="T622" i="1"/>
  <c r="U622" i="1" s="1"/>
  <c r="G622" i="1"/>
  <c r="M622" i="1"/>
  <c r="F449" i="1"/>
  <c r="F446" i="1"/>
  <c r="F445" i="1"/>
  <c r="F448" i="1"/>
  <c r="V364" i="1" l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R445" i="1"/>
  <c r="S445" i="1" s="1"/>
  <c r="P445" i="1"/>
  <c r="Q445" i="1" s="1"/>
  <c r="N445" i="1"/>
  <c r="O445" i="1" s="1"/>
  <c r="L445" i="1"/>
  <c r="M445" i="1" s="1"/>
  <c r="J445" i="1"/>
  <c r="K445" i="1" s="1"/>
  <c r="V445" i="1"/>
  <c r="W445" i="1" s="1"/>
  <c r="H445" i="1"/>
  <c r="I445" i="1" s="1"/>
  <c r="T445" i="1"/>
  <c r="U445" i="1" s="1"/>
  <c r="V448" i="1"/>
  <c r="W448" i="1" s="1"/>
  <c r="T448" i="1"/>
  <c r="U448" i="1" s="1"/>
  <c r="R448" i="1"/>
  <c r="S448" i="1" s="1"/>
  <c r="P448" i="1"/>
  <c r="Q448" i="1" s="1"/>
  <c r="N448" i="1"/>
  <c r="O448" i="1" s="1"/>
  <c r="L448" i="1"/>
  <c r="M448" i="1" s="1"/>
  <c r="J448" i="1"/>
  <c r="K448" i="1" s="1"/>
  <c r="H448" i="1"/>
  <c r="I448" i="1" s="1"/>
  <c r="T446" i="1"/>
  <c r="U446" i="1" s="1"/>
  <c r="R446" i="1"/>
  <c r="S446" i="1" s="1"/>
  <c r="P446" i="1"/>
  <c r="Q446" i="1" s="1"/>
  <c r="N446" i="1"/>
  <c r="O446" i="1" s="1"/>
  <c r="L446" i="1"/>
  <c r="M446" i="1" s="1"/>
  <c r="J446" i="1"/>
  <c r="K446" i="1" s="1"/>
  <c r="H446" i="1"/>
  <c r="I446" i="1" s="1"/>
  <c r="V446" i="1"/>
  <c r="W446" i="1" s="1"/>
  <c r="V449" i="1"/>
  <c r="W449" i="1" s="1"/>
  <c r="T449" i="1"/>
  <c r="U449" i="1" s="1"/>
  <c r="H449" i="1"/>
  <c r="I449" i="1" s="1"/>
  <c r="R449" i="1"/>
  <c r="S449" i="1" s="1"/>
  <c r="P449" i="1"/>
  <c r="Q449" i="1" s="1"/>
  <c r="N449" i="1"/>
  <c r="O449" i="1" s="1"/>
  <c r="L449" i="1"/>
  <c r="M449" i="1" s="1"/>
  <c r="J449" i="1"/>
  <c r="K449" i="1" s="1"/>
  <c r="G445" i="1"/>
  <c r="G446" i="1"/>
  <c r="G448" i="1"/>
  <c r="G449" i="1"/>
  <c r="G364" i="1" l="1"/>
  <c r="F309" i="1" l="1"/>
  <c r="H309" i="1" s="1"/>
  <c r="I309" i="1" s="1"/>
  <c r="R309" i="1" l="1"/>
  <c r="S309" i="1" s="1"/>
  <c r="P309" i="1"/>
  <c r="Q309" i="1" s="1"/>
  <c r="N309" i="1"/>
  <c r="O309" i="1" s="1"/>
  <c r="L309" i="1"/>
  <c r="M309" i="1" s="1"/>
  <c r="J309" i="1"/>
  <c r="K309" i="1" s="1"/>
  <c r="T309" i="1"/>
  <c r="U309" i="1" s="1"/>
  <c r="V309" i="1"/>
  <c r="W309" i="1" s="1"/>
  <c r="W149" i="1"/>
  <c r="U149" i="1"/>
  <c r="S149" i="1"/>
  <c r="Q149" i="1"/>
  <c r="O149" i="1"/>
  <c r="M149" i="1"/>
  <c r="J149" i="1"/>
  <c r="K149" i="1" s="1"/>
  <c r="W436" i="1"/>
  <c r="W435" i="1"/>
  <c r="W432" i="1"/>
  <c r="W431" i="1"/>
  <c r="U436" i="1"/>
  <c r="U435" i="1"/>
  <c r="U432" i="1"/>
  <c r="U431" i="1"/>
  <c r="S436" i="1"/>
  <c r="S435" i="1"/>
  <c r="S432" i="1"/>
  <c r="S431" i="1"/>
  <c r="Q436" i="1"/>
  <c r="Q435" i="1"/>
  <c r="Q432" i="1"/>
  <c r="Q431" i="1"/>
  <c r="O436" i="1"/>
  <c r="O435" i="1"/>
  <c r="O432" i="1"/>
  <c r="O431" i="1"/>
  <c r="G434" i="1"/>
  <c r="G435" i="1"/>
  <c r="G436" i="1"/>
  <c r="G433" i="1"/>
  <c r="G432" i="1"/>
  <c r="G431" i="1"/>
  <c r="G299" i="1" l="1"/>
  <c r="F376" i="1" l="1"/>
  <c r="T376" i="1" l="1"/>
  <c r="U376" i="1" s="1"/>
  <c r="P376" i="1"/>
  <c r="Q376" i="1" s="1"/>
  <c r="L376" i="1"/>
  <c r="M376" i="1" s="1"/>
  <c r="R376" i="1"/>
  <c r="S376" i="1" s="1"/>
  <c r="V376" i="1"/>
  <c r="W376" i="1" s="1"/>
  <c r="N376" i="1"/>
  <c r="O376" i="1" s="1"/>
  <c r="F437" i="1"/>
  <c r="F438" i="1"/>
  <c r="F360" i="1"/>
  <c r="F358" i="1"/>
  <c r="T378" i="1" l="1"/>
  <c r="U378" i="1" s="1"/>
  <c r="P378" i="1"/>
  <c r="Q378" i="1" s="1"/>
  <c r="L378" i="1"/>
  <c r="M378" i="1" s="1"/>
  <c r="V378" i="1"/>
  <c r="W378" i="1" s="1"/>
  <c r="R378" i="1"/>
  <c r="S378" i="1" s="1"/>
  <c r="N378" i="1"/>
  <c r="O378" i="1" s="1"/>
  <c r="P391" i="1"/>
  <c r="Q391" i="1" s="1"/>
  <c r="R391" i="1"/>
  <c r="S391" i="1" s="1"/>
  <c r="N391" i="1"/>
  <c r="O391" i="1" s="1"/>
  <c r="L391" i="1"/>
  <c r="M391" i="1" s="1"/>
  <c r="J391" i="1"/>
  <c r="K391" i="1" s="1"/>
  <c r="H391" i="1"/>
  <c r="I391" i="1" s="1"/>
  <c r="V391" i="1"/>
  <c r="W391" i="1" s="1"/>
  <c r="T391" i="1"/>
  <c r="U391" i="1" s="1"/>
  <c r="R358" i="1"/>
  <c r="S358" i="1" s="1"/>
  <c r="N358" i="1"/>
  <c r="O358" i="1" s="1"/>
  <c r="L358" i="1"/>
  <c r="M358" i="1" s="1"/>
  <c r="P358" i="1"/>
  <c r="Q358" i="1" s="1"/>
  <c r="V358" i="1"/>
  <c r="W358" i="1" s="1"/>
  <c r="T358" i="1"/>
  <c r="U358" i="1" s="1"/>
  <c r="H438" i="1"/>
  <c r="I438" i="1" s="1"/>
  <c r="V438" i="1"/>
  <c r="W438" i="1" s="1"/>
  <c r="T438" i="1"/>
  <c r="U438" i="1" s="1"/>
  <c r="J438" i="1"/>
  <c r="K438" i="1" s="1"/>
  <c r="R438" i="1"/>
  <c r="S438" i="1" s="1"/>
  <c r="P438" i="1"/>
  <c r="Q438" i="1" s="1"/>
  <c r="N438" i="1"/>
  <c r="O438" i="1" s="1"/>
  <c r="L438" i="1"/>
  <c r="M438" i="1" s="1"/>
  <c r="P342" i="1"/>
  <c r="Q342" i="1" s="1"/>
  <c r="V342" i="1"/>
  <c r="W342" i="1" s="1"/>
  <c r="L342" i="1"/>
  <c r="M342" i="1" s="1"/>
  <c r="T342" i="1"/>
  <c r="U342" i="1" s="1"/>
  <c r="R342" i="1"/>
  <c r="S342" i="1" s="1"/>
  <c r="N342" i="1"/>
  <c r="O342" i="1" s="1"/>
  <c r="R350" i="1"/>
  <c r="N350" i="1"/>
  <c r="P350" i="1"/>
  <c r="V350" i="1"/>
  <c r="L350" i="1"/>
  <c r="T350" i="1"/>
  <c r="N360" i="1"/>
  <c r="O360" i="1" s="1"/>
  <c r="L360" i="1"/>
  <c r="M360" i="1" s="1"/>
  <c r="N385" i="1"/>
  <c r="O385" i="1" s="1"/>
  <c r="V385" i="1"/>
  <c r="W385" i="1" s="1"/>
  <c r="T385" i="1"/>
  <c r="U385" i="1" s="1"/>
  <c r="R385" i="1"/>
  <c r="S385" i="1" s="1"/>
  <c r="P385" i="1"/>
  <c r="Q385" i="1" s="1"/>
  <c r="L385" i="1"/>
  <c r="M385" i="1" s="1"/>
  <c r="V437" i="1"/>
  <c r="W437" i="1" s="1"/>
  <c r="T437" i="1"/>
  <c r="U437" i="1" s="1"/>
  <c r="R437" i="1"/>
  <c r="S437" i="1" s="1"/>
  <c r="P437" i="1"/>
  <c r="Q437" i="1" s="1"/>
  <c r="N437" i="1"/>
  <c r="O437" i="1" s="1"/>
  <c r="J437" i="1"/>
  <c r="K437" i="1" s="1"/>
  <c r="L437" i="1"/>
  <c r="M437" i="1" s="1"/>
  <c r="H437" i="1"/>
  <c r="I437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G338" i="1"/>
  <c r="T322" i="1" l="1"/>
  <c r="U322" i="1" s="1"/>
  <c r="R322" i="1"/>
  <c r="S322" i="1" s="1"/>
  <c r="V322" i="1"/>
  <c r="W322" i="1" s="1"/>
  <c r="L322" i="1"/>
  <c r="M322" i="1" s="1"/>
  <c r="N322" i="1"/>
  <c r="O322" i="1" s="1"/>
  <c r="P322" i="1"/>
  <c r="Q322" i="1" s="1"/>
  <c r="T326" i="1"/>
  <c r="U326" i="1" s="1"/>
  <c r="R326" i="1"/>
  <c r="S326" i="1" s="1"/>
  <c r="V326" i="1"/>
  <c r="W326" i="1" s="1"/>
  <c r="L326" i="1"/>
  <c r="M326" i="1" s="1"/>
  <c r="N326" i="1"/>
  <c r="O326" i="1" s="1"/>
  <c r="P326" i="1"/>
  <c r="Q326" i="1" s="1"/>
  <c r="T323" i="1"/>
  <c r="U323" i="1" s="1"/>
  <c r="V323" i="1"/>
  <c r="W323" i="1" s="1"/>
  <c r="L323" i="1"/>
  <c r="M323" i="1" s="1"/>
  <c r="R323" i="1"/>
  <c r="S323" i="1" s="1"/>
  <c r="N323" i="1"/>
  <c r="O323" i="1" s="1"/>
  <c r="P323" i="1"/>
  <c r="Q323" i="1" s="1"/>
  <c r="T325" i="1"/>
  <c r="U325" i="1" s="1"/>
  <c r="V325" i="1"/>
  <c r="W325" i="1" s="1"/>
  <c r="R325" i="1"/>
  <c r="S325" i="1" s="1"/>
  <c r="L325" i="1"/>
  <c r="M325" i="1" s="1"/>
  <c r="N325" i="1"/>
  <c r="O325" i="1" s="1"/>
  <c r="P325" i="1"/>
  <c r="Q325" i="1" s="1"/>
  <c r="T332" i="1"/>
  <c r="U332" i="1" s="1"/>
  <c r="V332" i="1"/>
  <c r="W332" i="1" s="1"/>
  <c r="R332" i="1"/>
  <c r="S332" i="1" s="1"/>
  <c r="L332" i="1"/>
  <c r="M332" i="1" s="1"/>
  <c r="N332" i="1"/>
  <c r="O332" i="1" s="1"/>
  <c r="P332" i="1"/>
  <c r="Q332" i="1" s="1"/>
  <c r="T324" i="1"/>
  <c r="U324" i="1" s="1"/>
  <c r="V324" i="1"/>
  <c r="W324" i="1" s="1"/>
  <c r="L324" i="1"/>
  <c r="M324" i="1" s="1"/>
  <c r="N324" i="1"/>
  <c r="O324" i="1" s="1"/>
  <c r="P324" i="1"/>
  <c r="Q324" i="1" s="1"/>
  <c r="R324" i="1"/>
  <c r="S324" i="1" s="1"/>
  <c r="T328" i="1"/>
  <c r="U328" i="1" s="1"/>
  <c r="V328" i="1"/>
  <c r="W328" i="1" s="1"/>
  <c r="L328" i="1"/>
  <c r="M328" i="1" s="1"/>
  <c r="N328" i="1"/>
  <c r="O328" i="1" s="1"/>
  <c r="R328" i="1"/>
  <c r="S328" i="1" s="1"/>
  <c r="P328" i="1"/>
  <c r="Q328" i="1" s="1"/>
  <c r="L327" i="1"/>
  <c r="M327" i="1" s="1"/>
  <c r="N327" i="1"/>
  <c r="O327" i="1" s="1"/>
  <c r="T329" i="1"/>
  <c r="U329" i="1" s="1"/>
  <c r="V329" i="1"/>
  <c r="W329" i="1" s="1"/>
  <c r="L329" i="1"/>
  <c r="M329" i="1" s="1"/>
  <c r="R329" i="1"/>
  <c r="S329" i="1" s="1"/>
  <c r="N329" i="1"/>
  <c r="O329" i="1" s="1"/>
  <c r="P329" i="1"/>
  <c r="Q329" i="1" s="1"/>
  <c r="T330" i="1"/>
  <c r="U330" i="1" s="1"/>
  <c r="V330" i="1"/>
  <c r="W330" i="1" s="1"/>
  <c r="R330" i="1"/>
  <c r="S330" i="1" s="1"/>
  <c r="L330" i="1"/>
  <c r="M330" i="1" s="1"/>
  <c r="N330" i="1"/>
  <c r="O330" i="1" s="1"/>
  <c r="P330" i="1"/>
  <c r="Q330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T331" i="1"/>
  <c r="U331" i="1" s="1"/>
  <c r="V331" i="1"/>
  <c r="W331" i="1" s="1"/>
  <c r="L331" i="1"/>
  <c r="M331" i="1" s="1"/>
  <c r="N331" i="1"/>
  <c r="O331" i="1" s="1"/>
  <c r="P331" i="1"/>
  <c r="Q331" i="1" s="1"/>
  <c r="R331" i="1"/>
  <c r="S331" i="1" s="1"/>
  <c r="P315" i="1"/>
  <c r="Q315" i="1" s="1"/>
  <c r="V315" i="1"/>
  <c r="W315" i="1" s="1"/>
  <c r="T315" i="1"/>
  <c r="U315" i="1" s="1"/>
  <c r="R315" i="1"/>
  <c r="S315" i="1" s="1"/>
  <c r="N315" i="1"/>
  <c r="O315" i="1" s="1"/>
  <c r="T321" i="1"/>
  <c r="U321" i="1" s="1"/>
  <c r="V321" i="1"/>
  <c r="W321" i="1" s="1"/>
  <c r="R321" i="1"/>
  <c r="S321" i="1" s="1"/>
  <c r="L321" i="1"/>
  <c r="M321" i="1" s="1"/>
  <c r="N321" i="1"/>
  <c r="O321" i="1" s="1"/>
  <c r="P321" i="1"/>
  <c r="Q321" i="1" s="1"/>
  <c r="T333" i="1"/>
  <c r="U333" i="1" s="1"/>
  <c r="R333" i="1"/>
  <c r="S333" i="1" s="1"/>
  <c r="V333" i="1"/>
  <c r="W333" i="1" s="1"/>
  <c r="L333" i="1"/>
  <c r="M333" i="1" s="1"/>
  <c r="N333" i="1"/>
  <c r="O333" i="1" s="1"/>
  <c r="P333" i="1"/>
  <c r="Q333" i="1" s="1"/>
  <c r="L315" i="1"/>
  <c r="M315" i="1" s="1"/>
  <c r="F472" i="1"/>
  <c r="R472" i="1" l="1"/>
  <c r="J472" i="1"/>
  <c r="V472" i="1"/>
  <c r="N472" i="1"/>
  <c r="L472" i="1"/>
  <c r="T472" i="1"/>
  <c r="P472" i="1"/>
  <c r="H472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1" i="1"/>
  <c r="I21" i="1" s="1"/>
  <c r="H22" i="1"/>
  <c r="I22" i="1" s="1"/>
  <c r="F401" i="1"/>
  <c r="H401" i="1" l="1"/>
  <c r="I401" i="1" s="1"/>
  <c r="V401" i="1"/>
  <c r="W401" i="1" s="1"/>
  <c r="T401" i="1"/>
  <c r="U401" i="1" s="1"/>
  <c r="N401" i="1"/>
  <c r="O401" i="1" s="1"/>
  <c r="R401" i="1"/>
  <c r="S401" i="1" s="1"/>
  <c r="P401" i="1"/>
  <c r="Q401" i="1" s="1"/>
  <c r="L401" i="1"/>
  <c r="M401" i="1" s="1"/>
  <c r="J401" i="1"/>
  <c r="K401" i="1" s="1"/>
  <c r="W280" i="1"/>
  <c r="F297" i="1"/>
  <c r="F301" i="1"/>
  <c r="H297" i="1" l="1"/>
  <c r="I297" i="1" s="1"/>
  <c r="L301" i="1"/>
  <c r="M301" i="1" s="1"/>
  <c r="H301" i="1"/>
  <c r="I301" i="1" s="1"/>
  <c r="V301" i="1"/>
  <c r="W301" i="1" s="1"/>
  <c r="T301" i="1"/>
  <c r="U301" i="1" s="1"/>
  <c r="J301" i="1"/>
  <c r="K301" i="1" s="1"/>
  <c r="R301" i="1"/>
  <c r="S301" i="1" s="1"/>
  <c r="P301" i="1"/>
  <c r="Q301" i="1" s="1"/>
  <c r="N301" i="1"/>
  <c r="O301" i="1" s="1"/>
  <c r="U280" i="1"/>
  <c r="K280" i="1"/>
  <c r="O280" i="1"/>
  <c r="Q280" i="1"/>
  <c r="S280" i="1"/>
  <c r="M280" i="1"/>
  <c r="G280" i="1"/>
  <c r="I280" i="1"/>
  <c r="G297" i="1"/>
  <c r="G301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4" i="1"/>
  <c r="S354" i="1" s="1"/>
  <c r="N354" i="1"/>
  <c r="O354" i="1" s="1"/>
  <c r="V354" i="1"/>
  <c r="W354" i="1" s="1"/>
  <c r="T354" i="1"/>
  <c r="U354" i="1" s="1"/>
  <c r="P354" i="1"/>
  <c r="Q354" i="1" s="1"/>
  <c r="L354" i="1"/>
  <c r="M354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4" i="1"/>
  <c r="F375" i="1" l="1"/>
  <c r="F370" i="1"/>
  <c r="F349" i="1"/>
  <c r="F298" i="1"/>
  <c r="F175" i="1"/>
  <c r="F174" i="1"/>
  <c r="F173" i="1"/>
  <c r="F172" i="1"/>
  <c r="F171" i="1"/>
  <c r="F170" i="1"/>
  <c r="T175" i="1" l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H172" i="1"/>
  <c r="P174" i="1"/>
  <c r="Q174" i="1" s="1"/>
  <c r="N174" i="1"/>
  <c r="O174" i="1" s="1"/>
  <c r="L174" i="1"/>
  <c r="M174" i="1" s="1"/>
  <c r="J174" i="1"/>
  <c r="K174" i="1" s="1"/>
  <c r="H174" i="1"/>
  <c r="I174" i="1" s="1"/>
  <c r="T174" i="1"/>
  <c r="U174" i="1" s="1"/>
  <c r="R174" i="1"/>
  <c r="S174" i="1" s="1"/>
  <c r="J290" i="1"/>
  <c r="K290" i="1" s="1"/>
  <c r="V290" i="1"/>
  <c r="W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R370" i="1"/>
  <c r="S370" i="1" s="1"/>
  <c r="N370" i="1"/>
  <c r="O370" i="1" s="1"/>
  <c r="T370" i="1"/>
  <c r="U370" i="1" s="1"/>
  <c r="P370" i="1"/>
  <c r="Q370" i="1" s="1"/>
  <c r="L370" i="1"/>
  <c r="M370" i="1" s="1"/>
  <c r="V370" i="1"/>
  <c r="W370" i="1" s="1"/>
  <c r="T171" i="1"/>
  <c r="U171" i="1" s="1"/>
  <c r="R171" i="1"/>
  <c r="S171" i="1" s="1"/>
  <c r="P171" i="1"/>
  <c r="Q171" i="1" s="1"/>
  <c r="N171" i="1"/>
  <c r="O171" i="1" s="1"/>
  <c r="H171" i="1"/>
  <c r="I171" i="1" s="1"/>
  <c r="L171" i="1"/>
  <c r="M171" i="1" s="1"/>
  <c r="J171" i="1"/>
  <c r="K171" i="1" s="1"/>
  <c r="R173" i="1"/>
  <c r="S173" i="1" s="1"/>
  <c r="P173" i="1"/>
  <c r="Q173" i="1" s="1"/>
  <c r="N173" i="1"/>
  <c r="O173" i="1" s="1"/>
  <c r="L173" i="1"/>
  <c r="M173" i="1" s="1"/>
  <c r="J173" i="1"/>
  <c r="K173" i="1" s="1"/>
  <c r="T173" i="1"/>
  <c r="U173" i="1" s="1"/>
  <c r="N298" i="1"/>
  <c r="O298" i="1" s="1"/>
  <c r="P298" i="1"/>
  <c r="Q298" i="1" s="1"/>
  <c r="H298" i="1"/>
  <c r="I298" i="1" s="1"/>
  <c r="J298" i="1"/>
  <c r="K298" i="1" s="1"/>
  <c r="L298" i="1"/>
  <c r="M298" i="1" s="1"/>
  <c r="T298" i="1"/>
  <c r="U298" i="1" s="1"/>
  <c r="R298" i="1"/>
  <c r="S298" i="1" s="1"/>
  <c r="V298" i="1"/>
  <c r="W298" i="1" s="1"/>
  <c r="T303" i="1"/>
  <c r="U303" i="1" s="1"/>
  <c r="P303" i="1"/>
  <c r="Q303" i="1" s="1"/>
  <c r="L303" i="1"/>
  <c r="M303" i="1" s="1"/>
  <c r="J303" i="1"/>
  <c r="K303" i="1" s="1"/>
  <c r="H303" i="1"/>
  <c r="I303" i="1" s="1"/>
  <c r="V303" i="1"/>
  <c r="W303" i="1" s="1"/>
  <c r="R303" i="1"/>
  <c r="S303" i="1" s="1"/>
  <c r="N303" i="1"/>
  <c r="O303" i="1" s="1"/>
  <c r="V304" i="1"/>
  <c r="W304" i="1" s="1"/>
  <c r="P304" i="1"/>
  <c r="Q304" i="1" s="1"/>
  <c r="N304" i="1"/>
  <c r="O304" i="1" s="1"/>
  <c r="L304" i="1"/>
  <c r="M304" i="1" s="1"/>
  <c r="J304" i="1"/>
  <c r="K304" i="1" s="1"/>
  <c r="H304" i="1"/>
  <c r="I304" i="1" s="1"/>
  <c r="T304" i="1"/>
  <c r="U304" i="1" s="1"/>
  <c r="R304" i="1"/>
  <c r="S304" i="1" s="1"/>
  <c r="T349" i="1"/>
  <c r="U349" i="1" s="1"/>
  <c r="R349" i="1"/>
  <c r="S349" i="1" s="1"/>
  <c r="N349" i="1"/>
  <c r="O349" i="1" s="1"/>
  <c r="P349" i="1"/>
  <c r="Q349" i="1" s="1"/>
  <c r="L349" i="1"/>
  <c r="M349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V375" i="1"/>
  <c r="W375" i="1" s="1"/>
  <c r="T375" i="1"/>
  <c r="U375" i="1" s="1"/>
  <c r="R375" i="1"/>
  <c r="S375" i="1" s="1"/>
  <c r="P375" i="1"/>
  <c r="Q375" i="1" s="1"/>
  <c r="N375" i="1"/>
  <c r="O375" i="1" s="1"/>
  <c r="T172" i="1"/>
  <c r="V286" i="1" l="1"/>
  <c r="W286" i="1" s="1"/>
  <c r="P286" i="1"/>
  <c r="Q286" i="1" s="1"/>
  <c r="N286" i="1"/>
  <c r="O286" i="1" s="1"/>
  <c r="L286" i="1"/>
  <c r="M286" i="1" s="1"/>
  <c r="T286" i="1"/>
  <c r="U286" i="1" s="1"/>
  <c r="J286" i="1"/>
  <c r="K286" i="1" s="1"/>
  <c r="R286" i="1"/>
  <c r="S286" i="1" s="1"/>
  <c r="H286" i="1"/>
  <c r="I286" i="1" s="1"/>
  <c r="I287" i="1"/>
  <c r="F373" i="1"/>
  <c r="V373" i="1" l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F256" i="1"/>
  <c r="F255" i="1"/>
  <c r="F247" i="1"/>
  <c r="F244" i="1"/>
  <c r="F224" i="1"/>
  <c r="F204" i="1"/>
  <c r="V179" i="1"/>
  <c r="V178" i="1"/>
  <c r="V177" i="1"/>
  <c r="V176" i="1"/>
  <c r="T179" i="1"/>
  <c r="T178" i="1"/>
  <c r="T177" i="1"/>
  <c r="T176" i="1"/>
  <c r="R179" i="1"/>
  <c r="R178" i="1"/>
  <c r="R177" i="1"/>
  <c r="R176" i="1"/>
  <c r="P179" i="1"/>
  <c r="P178" i="1"/>
  <c r="P177" i="1"/>
  <c r="P176" i="1"/>
  <c r="N179" i="1"/>
  <c r="N178" i="1"/>
  <c r="N177" i="1"/>
  <c r="N176" i="1"/>
  <c r="F165" i="1"/>
  <c r="V246" i="1" l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H246" i="1"/>
  <c r="I246" i="1" s="1"/>
  <c r="J247" i="1"/>
  <c r="K247" i="1" s="1"/>
  <c r="H247" i="1"/>
  <c r="I247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H204" i="1"/>
  <c r="I204" i="1" s="1"/>
  <c r="V219" i="1"/>
  <c r="W219" i="1" s="1"/>
  <c r="T219" i="1"/>
  <c r="U219" i="1" s="1"/>
  <c r="R219" i="1"/>
  <c r="S219" i="1" s="1"/>
  <c r="P219" i="1"/>
  <c r="Q219" i="1" s="1"/>
  <c r="N219" i="1"/>
  <c r="O219" i="1" s="1"/>
  <c r="J219" i="1"/>
  <c r="K219" i="1" s="1"/>
  <c r="L219" i="1"/>
  <c r="M219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4" i="1"/>
  <c r="K224" i="1" s="1"/>
  <c r="H224" i="1"/>
  <c r="I224" i="1" s="1"/>
  <c r="R255" i="1"/>
  <c r="S255" i="1" s="1"/>
  <c r="P255" i="1"/>
  <c r="Q255" i="1" s="1"/>
  <c r="N255" i="1"/>
  <c r="O255" i="1" s="1"/>
  <c r="L255" i="1"/>
  <c r="M255" i="1" s="1"/>
  <c r="V255" i="1"/>
  <c r="W255" i="1" s="1"/>
  <c r="J255" i="1"/>
  <c r="K255" i="1" s="1"/>
  <c r="H255" i="1"/>
  <c r="I255" i="1" s="1"/>
  <c r="T255" i="1"/>
  <c r="U255" i="1" s="1"/>
  <c r="L244" i="1"/>
  <c r="M244" i="1" s="1"/>
  <c r="J244" i="1"/>
  <c r="K244" i="1" s="1"/>
  <c r="H244" i="1"/>
  <c r="I244" i="1" s="1"/>
  <c r="V244" i="1"/>
  <c r="W244" i="1" s="1"/>
  <c r="T244" i="1"/>
  <c r="U244" i="1" s="1"/>
  <c r="P244" i="1"/>
  <c r="Q244" i="1" s="1"/>
  <c r="R244" i="1"/>
  <c r="S244" i="1" s="1"/>
  <c r="N244" i="1"/>
  <c r="O244" i="1" s="1"/>
  <c r="L252" i="1"/>
  <c r="M252" i="1" s="1"/>
  <c r="J252" i="1"/>
  <c r="K252" i="1" s="1"/>
  <c r="H252" i="1"/>
  <c r="I252" i="1" s="1"/>
  <c r="V252" i="1"/>
  <c r="W252" i="1" s="1"/>
  <c r="T252" i="1"/>
  <c r="U252" i="1" s="1"/>
  <c r="R252" i="1"/>
  <c r="S252" i="1" s="1"/>
  <c r="P252" i="1"/>
  <c r="Q252" i="1" s="1"/>
  <c r="N252" i="1"/>
  <c r="O252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56" i="1"/>
  <c r="W256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L233" i="1"/>
  <c r="M233" i="1" s="1"/>
  <c r="J233" i="1"/>
  <c r="K233" i="1" s="1"/>
  <c r="H233" i="1"/>
  <c r="I233" i="1" s="1"/>
  <c r="V233" i="1"/>
  <c r="W233" i="1" s="1"/>
  <c r="T233" i="1"/>
  <c r="U233" i="1" s="1"/>
  <c r="R233" i="1"/>
  <c r="S233" i="1" s="1"/>
  <c r="P233" i="1"/>
  <c r="Q233" i="1" s="1"/>
  <c r="N233" i="1"/>
  <c r="O233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2" i="1"/>
  <c r="M222" i="1" s="1"/>
  <c r="J222" i="1"/>
  <c r="K222" i="1" s="1"/>
  <c r="V222" i="1"/>
  <c r="W222" i="1" s="1"/>
  <c r="T222" i="1"/>
  <c r="U222" i="1" s="1"/>
  <c r="R222" i="1"/>
  <c r="S222" i="1" s="1"/>
  <c r="P222" i="1"/>
  <c r="Q222" i="1" s="1"/>
  <c r="N222" i="1"/>
  <c r="O22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V235" i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L165" i="1"/>
  <c r="M165" i="1" s="1"/>
  <c r="J165" i="1"/>
  <c r="K165" i="1" s="1"/>
  <c r="P220" i="1"/>
  <c r="Q220" i="1" s="1"/>
  <c r="N220" i="1"/>
  <c r="O220" i="1" s="1"/>
  <c r="L220" i="1"/>
  <c r="M220" i="1" s="1"/>
  <c r="J220" i="1"/>
  <c r="K220" i="1" s="1"/>
  <c r="V220" i="1"/>
  <c r="W220" i="1" s="1"/>
  <c r="T220" i="1"/>
  <c r="U220" i="1" s="1"/>
  <c r="R220" i="1"/>
  <c r="S220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H243" i="1"/>
  <c r="I243" i="1" s="1"/>
  <c r="J243" i="1"/>
  <c r="K243" i="1" s="1"/>
  <c r="H143" i="1"/>
  <c r="T143" i="1"/>
  <c r="U143" i="1" s="1"/>
  <c r="P143" i="1"/>
  <c r="Q143" i="1" s="1"/>
  <c r="R143" i="1"/>
  <c r="S143" i="1" s="1"/>
  <c r="L143" i="1"/>
  <c r="M143" i="1" s="1"/>
  <c r="J143" i="1"/>
  <c r="K143" i="1" s="1"/>
  <c r="V143" i="1"/>
  <c r="W143" i="1" s="1"/>
  <c r="N143" i="1"/>
  <c r="O143" i="1" s="1"/>
  <c r="F125" i="1"/>
  <c r="F127" i="1"/>
  <c r="F633" i="1"/>
  <c r="F381" i="1"/>
  <c r="V125" i="1" l="1"/>
  <c r="W125" i="1" s="1"/>
  <c r="T125" i="1"/>
  <c r="U125" i="1" s="1"/>
  <c r="R125" i="1"/>
  <c r="S125" i="1" s="1"/>
  <c r="T353" i="1"/>
  <c r="U353" i="1" s="1"/>
  <c r="R353" i="1"/>
  <c r="S353" i="1" s="1"/>
  <c r="P353" i="1"/>
  <c r="Q353" i="1" s="1"/>
  <c r="N353" i="1"/>
  <c r="O353" i="1" s="1"/>
  <c r="L353" i="1"/>
  <c r="M353" i="1" s="1"/>
  <c r="P335" i="1"/>
  <c r="Q335" i="1" s="1"/>
  <c r="V335" i="1"/>
  <c r="W335" i="1" s="1"/>
  <c r="L335" i="1"/>
  <c r="M335" i="1" s="1"/>
  <c r="T335" i="1"/>
  <c r="U335" i="1" s="1"/>
  <c r="R335" i="1"/>
  <c r="S335" i="1" s="1"/>
  <c r="N335" i="1"/>
  <c r="O335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T381" i="1"/>
  <c r="U381" i="1" s="1"/>
  <c r="P381" i="1"/>
  <c r="Q381" i="1" s="1"/>
  <c r="L381" i="1"/>
  <c r="M381" i="1" s="1"/>
  <c r="R381" i="1"/>
  <c r="S381" i="1" s="1"/>
  <c r="V381" i="1"/>
  <c r="W381" i="1" s="1"/>
  <c r="N381" i="1"/>
  <c r="O381" i="1" s="1"/>
  <c r="P125" i="1"/>
  <c r="N125" i="1"/>
  <c r="L125" i="1"/>
  <c r="J125" i="1"/>
  <c r="V127" i="1"/>
  <c r="R127" i="1"/>
  <c r="T127" i="1"/>
  <c r="P127" i="1"/>
  <c r="Q127" i="1" s="1"/>
  <c r="N127" i="1"/>
  <c r="O127" i="1" s="1"/>
  <c r="L127" i="1"/>
  <c r="M127" i="1" s="1"/>
  <c r="J127" i="1"/>
  <c r="K127" i="1" s="1"/>
  <c r="G371" i="1"/>
  <c r="G379" i="1"/>
  <c r="F624" i="1"/>
  <c r="L624" i="1" s="1"/>
  <c r="V624" i="1" l="1"/>
  <c r="T624" i="1"/>
  <c r="R624" i="1"/>
  <c r="P624" i="1"/>
  <c r="N624" i="1"/>
  <c r="F414" i="1"/>
  <c r="F441" i="1"/>
  <c r="O648" i="1"/>
  <c r="L626" i="1"/>
  <c r="F554" i="1"/>
  <c r="N106" i="1" l="1"/>
  <c r="O106" i="1" s="1"/>
  <c r="L106" i="1"/>
  <c r="M106" i="1" s="1"/>
  <c r="J106" i="1"/>
  <c r="K106" i="1" s="1"/>
  <c r="T106" i="1"/>
  <c r="U106" i="1" s="1"/>
  <c r="R106" i="1"/>
  <c r="P106" i="1"/>
  <c r="Q106" i="1" s="1"/>
  <c r="H545" i="1"/>
  <c r="I545" i="1" s="1"/>
  <c r="V545" i="1"/>
  <c r="W545" i="1" s="1"/>
  <c r="T545" i="1"/>
  <c r="U545" i="1" s="1"/>
  <c r="J545" i="1"/>
  <c r="K545" i="1" s="1"/>
  <c r="L545" i="1"/>
  <c r="M545" i="1" s="1"/>
  <c r="R545" i="1"/>
  <c r="S545" i="1" s="1"/>
  <c r="N545" i="1"/>
  <c r="O545" i="1" s="1"/>
  <c r="P545" i="1"/>
  <c r="Q545" i="1" s="1"/>
  <c r="L439" i="1"/>
  <c r="M439" i="1" s="1"/>
  <c r="H439" i="1"/>
  <c r="I439" i="1" s="1"/>
  <c r="N439" i="1"/>
  <c r="O439" i="1" s="1"/>
  <c r="J439" i="1"/>
  <c r="K439" i="1" s="1"/>
  <c r="V439" i="1"/>
  <c r="W439" i="1" s="1"/>
  <c r="T439" i="1"/>
  <c r="U439" i="1" s="1"/>
  <c r="P439" i="1"/>
  <c r="Q439" i="1" s="1"/>
  <c r="R439" i="1"/>
  <c r="S439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4" i="1"/>
  <c r="O414" i="1" s="1"/>
  <c r="J414" i="1"/>
  <c r="K414" i="1" s="1"/>
  <c r="T414" i="1"/>
  <c r="U414" i="1" s="1"/>
  <c r="P414" i="1"/>
  <c r="Q414" i="1" s="1"/>
  <c r="L414" i="1"/>
  <c r="M414" i="1" s="1"/>
  <c r="V414" i="1"/>
  <c r="W414" i="1" s="1"/>
  <c r="R414" i="1"/>
  <c r="S414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8" i="1"/>
  <c r="U528" i="1" s="1"/>
  <c r="V528" i="1"/>
  <c r="W528" i="1" s="1"/>
  <c r="H528" i="1"/>
  <c r="I528" i="1" s="1"/>
  <c r="J528" i="1"/>
  <c r="K528" i="1" s="1"/>
  <c r="P528" i="1"/>
  <c r="Q528" i="1" s="1"/>
  <c r="L528" i="1"/>
  <c r="M528" i="1" s="1"/>
  <c r="N528" i="1"/>
  <c r="O528" i="1" s="1"/>
  <c r="R528" i="1"/>
  <c r="S528" i="1" s="1"/>
  <c r="T531" i="1"/>
  <c r="U531" i="1" s="1"/>
  <c r="V531" i="1"/>
  <c r="W531" i="1" s="1"/>
  <c r="R531" i="1"/>
  <c r="S531" i="1" s="1"/>
  <c r="H531" i="1"/>
  <c r="I531" i="1" s="1"/>
  <c r="P531" i="1"/>
  <c r="Q531" i="1" s="1"/>
  <c r="J531" i="1"/>
  <c r="K531" i="1" s="1"/>
  <c r="L531" i="1"/>
  <c r="M531" i="1" s="1"/>
  <c r="N531" i="1"/>
  <c r="O531" i="1" s="1"/>
  <c r="N554" i="1"/>
  <c r="O554" i="1" s="1"/>
  <c r="L554" i="1"/>
  <c r="M554" i="1" s="1"/>
  <c r="J554" i="1"/>
  <c r="K554" i="1" s="1"/>
  <c r="H554" i="1"/>
  <c r="I554" i="1" s="1"/>
  <c r="T554" i="1"/>
  <c r="U554" i="1" s="1"/>
  <c r="V554" i="1"/>
  <c r="W554" i="1" s="1"/>
  <c r="R554" i="1"/>
  <c r="S554" i="1" s="1"/>
  <c r="P554" i="1"/>
  <c r="Q554" i="1" s="1"/>
  <c r="L441" i="1"/>
  <c r="M441" i="1" s="1"/>
  <c r="J441" i="1"/>
  <c r="K441" i="1" s="1"/>
  <c r="H441" i="1"/>
  <c r="I441" i="1" s="1"/>
  <c r="N441" i="1"/>
  <c r="O441" i="1" s="1"/>
  <c r="V441" i="1"/>
  <c r="W441" i="1" s="1"/>
  <c r="T441" i="1"/>
  <c r="U441" i="1" s="1"/>
  <c r="R441" i="1"/>
  <c r="S441" i="1" s="1"/>
  <c r="P441" i="1"/>
  <c r="Q441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29" i="1"/>
  <c r="U529" i="1" s="1"/>
  <c r="V529" i="1"/>
  <c r="W529" i="1" s="1"/>
  <c r="H529" i="1"/>
  <c r="I529" i="1" s="1"/>
  <c r="J529" i="1"/>
  <c r="K529" i="1" s="1"/>
  <c r="L529" i="1"/>
  <c r="M529" i="1" s="1"/>
  <c r="N529" i="1"/>
  <c r="O529" i="1" s="1"/>
  <c r="P529" i="1"/>
  <c r="Q529" i="1" s="1"/>
  <c r="R529" i="1"/>
  <c r="S529" i="1" s="1"/>
  <c r="V546" i="1"/>
  <c r="W546" i="1" s="1"/>
  <c r="T546" i="1"/>
  <c r="U546" i="1" s="1"/>
  <c r="H546" i="1"/>
  <c r="I546" i="1" s="1"/>
  <c r="J546" i="1"/>
  <c r="K546" i="1" s="1"/>
  <c r="L546" i="1"/>
  <c r="M546" i="1" s="1"/>
  <c r="R546" i="1"/>
  <c r="S546" i="1" s="1"/>
  <c r="N546" i="1"/>
  <c r="O546" i="1" s="1"/>
  <c r="P546" i="1"/>
  <c r="Q546" i="1" s="1"/>
  <c r="V106" i="1"/>
  <c r="W106" i="1" s="1"/>
  <c r="S106" i="1"/>
  <c r="H106" i="1"/>
  <c r="I106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6" i="1"/>
  <c r="R626" i="1"/>
  <c r="P626" i="1"/>
  <c r="N626" i="1"/>
  <c r="G307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6" i="1"/>
  <c r="N345" i="1" l="1"/>
  <c r="O345" i="1" s="1"/>
  <c r="L345" i="1"/>
  <c r="M345" i="1" s="1"/>
  <c r="J345" i="1"/>
  <c r="K345" i="1" s="1"/>
  <c r="H345" i="1"/>
  <c r="I345" i="1" s="1"/>
  <c r="F343" i="1"/>
  <c r="P343" i="1" l="1"/>
  <c r="Q343" i="1" s="1"/>
  <c r="T343" i="1"/>
  <c r="U343" i="1" s="1"/>
  <c r="R343" i="1"/>
  <c r="S343" i="1" s="1"/>
  <c r="N343" i="1"/>
  <c r="O343" i="1" s="1"/>
  <c r="L343" i="1"/>
  <c r="M343" i="1" s="1"/>
  <c r="V343" i="1"/>
  <c r="W343" i="1" s="1"/>
  <c r="G634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50" i="1" l="1"/>
  <c r="G248" i="1"/>
  <c r="G235" i="1" l="1"/>
  <c r="G232" i="1"/>
  <c r="G553" i="1" l="1"/>
  <c r="G554" i="1"/>
  <c r="G471" i="1" l="1"/>
  <c r="G199" i="1" l="1"/>
  <c r="G198" i="1" l="1"/>
  <c r="G215" i="1"/>
  <c r="G532" i="1" l="1"/>
  <c r="G531" i="1"/>
  <c r="G530" i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U418" i="1" s="1"/>
  <c r="R418" i="1"/>
  <c r="S418" i="1" s="1"/>
  <c r="P418" i="1"/>
  <c r="Q418" i="1" s="1"/>
  <c r="N418" i="1"/>
  <c r="O418" i="1" s="1"/>
  <c r="L418" i="1"/>
  <c r="M418" i="1" s="1"/>
  <c r="T417" i="1"/>
  <c r="R417" i="1"/>
  <c r="P417" i="1"/>
  <c r="N417" i="1"/>
  <c r="L417" i="1"/>
  <c r="G552" i="1" l="1"/>
  <c r="G353" i="1" l="1"/>
  <c r="F409" i="1"/>
  <c r="R409" i="1" l="1"/>
  <c r="S409" i="1" s="1"/>
  <c r="V409" i="1"/>
  <c r="W409" i="1" s="1"/>
  <c r="P409" i="1"/>
  <c r="Q409" i="1" s="1"/>
  <c r="N409" i="1"/>
  <c r="O409" i="1" s="1"/>
  <c r="L409" i="1"/>
  <c r="M409" i="1" s="1"/>
  <c r="J409" i="1"/>
  <c r="K409" i="1" s="1"/>
  <c r="T409" i="1"/>
  <c r="U409" i="1" s="1"/>
  <c r="H409" i="1"/>
  <c r="I409" i="1" s="1"/>
  <c r="G234" i="1"/>
  <c r="G366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2" i="1" l="1"/>
  <c r="G300" i="1" l="1"/>
  <c r="G537" i="1" l="1"/>
  <c r="W556" i="1" l="1"/>
  <c r="U556" i="1"/>
  <c r="S556" i="1"/>
  <c r="Q556" i="1"/>
  <c r="O556" i="1"/>
  <c r="M556" i="1"/>
  <c r="K556" i="1"/>
  <c r="I556" i="1"/>
  <c r="W514" i="1" l="1"/>
  <c r="U514" i="1"/>
  <c r="S514" i="1"/>
  <c r="Q514" i="1"/>
  <c r="O514" i="1"/>
  <c r="M514" i="1"/>
  <c r="K514" i="1"/>
  <c r="I514" i="1"/>
  <c r="AA88" i="1" l="1"/>
  <c r="AA87" i="1"/>
  <c r="AA84" i="1"/>
  <c r="AA83" i="1"/>
  <c r="L27" i="1" l="1"/>
  <c r="M27" i="1" s="1"/>
  <c r="W38" i="1"/>
  <c r="U38" i="1"/>
  <c r="S38" i="1"/>
  <c r="Q38" i="1"/>
  <c r="O38" i="1"/>
  <c r="W59" i="1"/>
  <c r="U59" i="1"/>
  <c r="S59" i="1"/>
  <c r="Q59" i="1"/>
  <c r="O59" i="1"/>
  <c r="M59" i="1"/>
  <c r="J59" i="1"/>
  <c r="K59" i="1" s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J56" i="1"/>
  <c r="G63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30" i="1"/>
  <c r="Q30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T28" i="1"/>
  <c r="R28" i="1"/>
  <c r="P28" i="1"/>
  <c r="N28" i="1"/>
  <c r="L28" i="1"/>
  <c r="L29" i="1"/>
  <c r="T27" i="1" l="1"/>
  <c r="U27" i="1" s="1"/>
  <c r="N27" i="1"/>
  <c r="O27" i="1" s="1"/>
  <c r="P27" i="1"/>
  <c r="Q27" i="1" s="1"/>
  <c r="R27" i="1"/>
  <c r="S27" i="1" s="1"/>
  <c r="T30" i="1"/>
  <c r="U30" i="1" s="1"/>
  <c r="R30" i="1"/>
  <c r="S30" i="1" s="1"/>
  <c r="J30" i="1"/>
  <c r="K30" i="1" s="1"/>
  <c r="L30" i="1"/>
  <c r="M30" i="1" s="1"/>
  <c r="N30" i="1"/>
  <c r="O30" i="1" s="1"/>
  <c r="P29" i="1"/>
  <c r="T29" i="1"/>
  <c r="R29" i="1"/>
  <c r="N29" i="1"/>
  <c r="G281" i="1" l="1"/>
  <c r="G258" i="1" l="1"/>
  <c r="G409" i="1" l="1"/>
  <c r="G256" i="1"/>
  <c r="G246" i="1"/>
  <c r="G249" i="1" l="1"/>
  <c r="G493" i="1" l="1"/>
  <c r="G492" i="1" l="1"/>
  <c r="G185" i="1"/>
  <c r="G184" i="1"/>
  <c r="G181" i="1"/>
  <c r="G179" i="1"/>
  <c r="G178" i="1"/>
  <c r="G177" i="1"/>
  <c r="G176" i="1"/>
  <c r="W179" i="1"/>
  <c r="U179" i="1"/>
  <c r="S179" i="1"/>
  <c r="Q179" i="1"/>
  <c r="O179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I226" i="1"/>
  <c r="K616" i="1"/>
  <c r="K422" i="1"/>
  <c r="G183" i="1" l="1"/>
  <c r="G182" i="1"/>
  <c r="W181" i="1"/>
  <c r="G186" i="1"/>
  <c r="G540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50" i="1" l="1"/>
  <c r="O350" i="1"/>
  <c r="M350" i="1"/>
  <c r="U350" i="1"/>
  <c r="S350" i="1"/>
  <c r="K344" i="1"/>
  <c r="W344" i="1"/>
  <c r="Q344" i="1"/>
  <c r="I344" i="1"/>
  <c r="S344" i="1"/>
  <c r="M344" i="1"/>
  <c r="U344" i="1"/>
  <c r="O344" i="1"/>
  <c r="K312" i="1" l="1"/>
  <c r="H254" i="1" l="1"/>
  <c r="I254" i="1" s="1"/>
  <c r="Q125" i="1"/>
  <c r="O125" i="1"/>
  <c r="M125" i="1"/>
  <c r="K125" i="1"/>
  <c r="I143" i="1"/>
  <c r="S127" i="1"/>
  <c r="W127" i="1"/>
  <c r="U127" i="1"/>
  <c r="W225" i="1"/>
  <c r="U225" i="1"/>
  <c r="U310" i="1"/>
  <c r="Q310" i="1"/>
  <c r="K310" i="1"/>
  <c r="O310" i="1"/>
  <c r="S310" i="1"/>
  <c r="M310" i="1"/>
  <c r="W310" i="1"/>
  <c r="V470" i="1" l="1"/>
  <c r="T470" i="1"/>
  <c r="R470" i="1"/>
  <c r="P470" i="1"/>
  <c r="N470" i="1"/>
  <c r="L470" i="1"/>
  <c r="J470" i="1"/>
  <c r="H470" i="1"/>
  <c r="I470" i="1" s="1"/>
  <c r="W472" i="1"/>
  <c r="U472" i="1"/>
  <c r="S472" i="1"/>
  <c r="Q472" i="1"/>
  <c r="O472" i="1"/>
  <c r="M472" i="1"/>
  <c r="K472" i="1"/>
  <c r="I472" i="1"/>
  <c r="I565" i="1"/>
  <c r="G233" i="1" l="1"/>
  <c r="G538" i="1" l="1"/>
  <c r="G546" i="1" l="1"/>
  <c r="G543" i="1"/>
  <c r="G545" i="1"/>
  <c r="G524" i="1" l="1"/>
  <c r="S519" i="1" l="1"/>
  <c r="Q519" i="1"/>
  <c r="W519" i="1"/>
  <c r="O519" i="1"/>
  <c r="U519" i="1"/>
  <c r="M519" i="1"/>
  <c r="K519" i="1"/>
  <c r="G520" i="1"/>
  <c r="G529" i="1"/>
  <c r="G521" i="1" l="1"/>
  <c r="G528" i="1"/>
  <c r="G526" i="1"/>
  <c r="I519" i="1"/>
  <c r="G544" i="1"/>
  <c r="G542" i="1"/>
  <c r="G541" i="1"/>
  <c r="G536" i="1"/>
  <c r="G535" i="1"/>
  <c r="G534" i="1"/>
  <c r="G533" i="1"/>
  <c r="G523" i="1"/>
  <c r="G519" i="1"/>
  <c r="G283" i="1" l="1"/>
  <c r="G384" i="1" l="1"/>
  <c r="G362" i="1"/>
  <c r="G282" i="1" l="1"/>
  <c r="G308" i="1"/>
  <c r="G296" i="1"/>
  <c r="G294" i="1"/>
  <c r="G295" i="1"/>
  <c r="H17" i="1"/>
  <c r="I17" i="1" s="1"/>
  <c r="H18" i="1"/>
  <c r="I18" i="1" s="1"/>
  <c r="G18" i="1"/>
  <c r="G17" i="1"/>
  <c r="N18" i="1"/>
  <c r="G48" i="1"/>
  <c r="G47" i="1"/>
  <c r="W46" i="1"/>
  <c r="U46" i="1"/>
  <c r="S46" i="1"/>
  <c r="Q46" i="1"/>
  <c r="O46" i="1"/>
  <c r="G46" i="1"/>
  <c r="G124" i="1"/>
  <c r="G161" i="1" l="1"/>
  <c r="G222" i="1" l="1"/>
  <c r="G388" i="1" l="1"/>
  <c r="G632" i="1" l="1"/>
  <c r="U628" i="1" l="1"/>
  <c r="K628" i="1"/>
  <c r="S628" i="1"/>
  <c r="Q628" i="1"/>
  <c r="O628" i="1"/>
  <c r="M628" i="1"/>
  <c r="G628" i="1"/>
  <c r="U630" i="1"/>
  <c r="S630" i="1"/>
  <c r="Q630" i="1"/>
  <c r="O630" i="1"/>
  <c r="M630" i="1"/>
  <c r="K630" i="1"/>
  <c r="G630" i="1"/>
  <c r="G420" i="1" l="1"/>
  <c r="G419" i="1"/>
  <c r="M422" i="1" l="1"/>
  <c r="Q60" i="1" l="1"/>
  <c r="M60" i="1"/>
  <c r="K60" i="1"/>
  <c r="W60" i="1"/>
  <c r="U60" i="1"/>
  <c r="S60" i="1"/>
  <c r="O60" i="1"/>
  <c r="G60" i="1"/>
  <c r="G339" i="1" l="1"/>
  <c r="G224" i="1" l="1"/>
  <c r="G355" i="1" l="1"/>
  <c r="G293" i="1"/>
  <c r="G226" i="1" l="1"/>
  <c r="G227" i="1"/>
  <c r="G229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2" i="1" l="1"/>
  <c r="M120" i="1"/>
  <c r="M119" i="1"/>
  <c r="M117" i="1"/>
  <c r="M116" i="1"/>
  <c r="O111" i="1"/>
  <c r="O110" i="1"/>
  <c r="Q75" i="1" l="1"/>
  <c r="Q74" i="1"/>
  <c r="Q72" i="1"/>
  <c r="Q70" i="1"/>
  <c r="Q71" i="1"/>
  <c r="U629" i="1" l="1"/>
  <c r="S629" i="1"/>
  <c r="Q629" i="1"/>
  <c r="O629" i="1"/>
  <c r="M629" i="1"/>
  <c r="K629" i="1"/>
  <c r="W624" i="1"/>
  <c r="U624" i="1"/>
  <c r="S624" i="1"/>
  <c r="Q624" i="1"/>
  <c r="O624" i="1"/>
  <c r="M624" i="1"/>
  <c r="W470" i="1"/>
  <c r="U470" i="1"/>
  <c r="S470" i="1"/>
  <c r="Q470" i="1"/>
  <c r="O470" i="1"/>
  <c r="M470" i="1"/>
  <c r="K470" i="1"/>
  <c r="Q426" i="1"/>
  <c r="Q417" i="1"/>
  <c r="Q415" i="1"/>
  <c r="I403" i="1"/>
  <c r="Q403" i="1"/>
  <c r="G617" i="1" l="1"/>
  <c r="G616" i="1"/>
  <c r="O216" i="1" l="1"/>
  <c r="K216" i="1"/>
  <c r="Q180" i="1"/>
  <c r="W141" i="1" l="1"/>
  <c r="U141" i="1"/>
  <c r="S141" i="1"/>
  <c r="Q141" i="1"/>
  <c r="O141" i="1"/>
  <c r="M141" i="1"/>
  <c r="K141" i="1"/>
  <c r="Q122" i="1"/>
  <c r="Q120" i="1"/>
  <c r="Q119" i="1"/>
  <c r="Q117" i="1"/>
  <c r="Q116" i="1"/>
  <c r="Q113" i="1"/>
  <c r="Q112" i="1"/>
  <c r="Q111" i="1"/>
  <c r="Q110" i="1"/>
  <c r="Q109" i="1"/>
  <c r="Q108" i="1"/>
  <c r="K107" i="1"/>
  <c r="K56" i="1"/>
  <c r="Q56" i="1"/>
  <c r="Q123" i="1" l="1"/>
  <c r="Q49" i="1" l="1"/>
  <c r="Q43" i="1"/>
  <c r="Q41" i="1"/>
  <c r="Q40" i="1"/>
  <c r="Q37" i="1"/>
  <c r="Q32" i="1"/>
  <c r="Q29" i="1" l="1"/>
  <c r="Q28" i="1"/>
  <c r="G510" i="1" l="1"/>
  <c r="G223" i="1"/>
  <c r="G242" i="1" l="1"/>
  <c r="G208" i="1"/>
  <c r="G441" i="1" l="1"/>
  <c r="G382" i="1" l="1"/>
  <c r="G414" i="1"/>
  <c r="G290" i="1"/>
  <c r="G360" i="1"/>
  <c r="G359" i="1"/>
  <c r="Q140" i="1"/>
  <c r="Q139" i="1"/>
  <c r="W41" i="1"/>
  <c r="W403" i="1"/>
  <c r="W113" i="1" l="1"/>
  <c r="U113" i="1"/>
  <c r="S113" i="1"/>
  <c r="O113" i="1"/>
  <c r="G127" i="1" l="1"/>
  <c r="G253" i="1" l="1"/>
  <c r="G189" i="1"/>
  <c r="G285" i="1" l="1"/>
  <c r="G381" i="1"/>
  <c r="G288" i="1" l="1"/>
  <c r="O72" i="1" l="1"/>
  <c r="G203" i="1"/>
  <c r="G291" i="1" l="1"/>
  <c r="W70" i="1" l="1"/>
  <c r="U70" i="1"/>
  <c r="S70" i="1"/>
  <c r="O70" i="1"/>
  <c r="G286" i="1"/>
  <c r="U29" i="1" l="1"/>
  <c r="S29" i="1"/>
  <c r="O29" i="1"/>
  <c r="M29" i="1"/>
  <c r="G373" i="1" l="1"/>
  <c r="G164" i="1" l="1"/>
  <c r="G343" i="1" l="1"/>
  <c r="G633" i="1"/>
  <c r="G635" i="1"/>
  <c r="G424" i="1" l="1"/>
  <c r="G495" i="1" l="1"/>
  <c r="G42" i="1" l="1"/>
  <c r="U41" i="1"/>
  <c r="S41" i="1"/>
  <c r="O41" i="1"/>
  <c r="G41" i="1"/>
  <c r="G287" i="1" l="1"/>
  <c r="I564" i="1" l="1"/>
  <c r="G244" i="1" l="1"/>
  <c r="G247" i="1" l="1"/>
  <c r="G245" i="1"/>
  <c r="G165" i="1" l="1"/>
  <c r="G573" i="1" l="1"/>
  <c r="G572" i="1"/>
  <c r="G571" i="1"/>
  <c r="V99" i="1" l="1"/>
  <c r="T99" i="1"/>
  <c r="R99" i="1"/>
  <c r="N99" i="1"/>
  <c r="K99" i="1"/>
  <c r="G393" i="1" l="1"/>
  <c r="G298" i="1" l="1"/>
  <c r="G503" i="1" l="1"/>
  <c r="G204" i="1" l="1"/>
  <c r="G459" i="1" l="1"/>
  <c r="G401" i="1"/>
  <c r="I675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3" i="1" l="1"/>
  <c r="W123" i="1" l="1"/>
  <c r="G512" i="1" l="1"/>
  <c r="G511" i="1"/>
  <c r="G498" i="1"/>
  <c r="G500" i="1"/>
  <c r="G508" i="1"/>
  <c r="G507" i="1"/>
  <c r="G452" i="1" l="1"/>
  <c r="G387" i="1" l="1"/>
  <c r="G289" i="1" l="1"/>
  <c r="G305" i="1"/>
  <c r="G292" i="1"/>
  <c r="G304" i="1" l="1"/>
  <c r="G303" i="1"/>
  <c r="G221" i="1" l="1"/>
  <c r="G11" i="1"/>
  <c r="G210" i="1" l="1"/>
  <c r="G624" i="1" l="1"/>
  <c r="U403" i="1" l="1"/>
  <c r="S403" i="1"/>
  <c r="O403" i="1"/>
  <c r="M403" i="1"/>
  <c r="K403" i="1"/>
  <c r="G211" i="1"/>
  <c r="O37" i="1"/>
  <c r="G188" i="1" l="1"/>
  <c r="G273" i="1" l="1"/>
  <c r="G275" i="1"/>
  <c r="G274" i="1"/>
  <c r="G385" i="1" l="1"/>
  <c r="G386" i="1"/>
  <c r="S43" i="1" l="1"/>
  <c r="G113" i="1" l="1"/>
  <c r="G439" i="1" l="1"/>
  <c r="G631" i="1" l="1"/>
  <c r="G629" i="1"/>
  <c r="G272" i="1"/>
  <c r="G212" i="1"/>
  <c r="G209" i="1"/>
  <c r="G207" i="1"/>
  <c r="G201" i="1"/>
  <c r="G202" i="1"/>
  <c r="G200" i="1"/>
  <c r="G107" i="1"/>
  <c r="G65" i="1"/>
  <c r="G64" i="1"/>
  <c r="G25" i="1"/>
  <c r="G23" i="1"/>
  <c r="G24" i="1"/>
  <c r="G378" i="1" l="1"/>
  <c r="U415" i="1" l="1"/>
  <c r="S415" i="1"/>
  <c r="M415" i="1"/>
  <c r="O415" i="1"/>
  <c r="G415" i="1"/>
  <c r="J457" i="1" l="1"/>
  <c r="J455" i="1"/>
  <c r="J454" i="1"/>
  <c r="J453" i="1"/>
  <c r="J456" i="1"/>
  <c r="J452" i="1"/>
  <c r="W112" i="1" l="1"/>
  <c r="U112" i="1"/>
  <c r="S112" i="1"/>
  <c r="O112" i="1"/>
  <c r="G22" i="1"/>
  <c r="K21" i="1"/>
  <c r="G417" i="1"/>
  <c r="M417" i="1"/>
  <c r="O417" i="1"/>
  <c r="S417" i="1"/>
  <c r="U417" i="1"/>
  <c r="W350" i="1"/>
  <c r="G155" i="1"/>
  <c r="G262" i="1" l="1"/>
  <c r="G265" i="1" l="1"/>
  <c r="G27" i="1" l="1"/>
  <c r="G502" i="1" l="1"/>
  <c r="G57" i="1" l="1"/>
  <c r="G59" i="1"/>
  <c r="O32" i="1"/>
  <c r="G61" i="1"/>
  <c r="U32" i="1" l="1"/>
  <c r="G197" i="1"/>
  <c r="W562" i="1" l="1"/>
  <c r="U562" i="1"/>
  <c r="S562" i="1"/>
  <c r="Q562" i="1"/>
  <c r="O562" i="1"/>
  <c r="M562" i="1"/>
  <c r="K562" i="1"/>
  <c r="G30" i="1"/>
  <c r="G309" i="1"/>
  <c r="O123" i="1"/>
  <c r="S123" i="1"/>
  <c r="U123" i="1"/>
  <c r="G302" i="1" l="1"/>
  <c r="G569" i="1" l="1"/>
  <c r="G14" i="1" l="1"/>
  <c r="G472" i="1" l="1"/>
  <c r="G143" i="1" l="1"/>
  <c r="G115" i="1"/>
  <c r="G114" i="1"/>
  <c r="G13" i="1"/>
  <c r="G21" i="1"/>
  <c r="J27" i="1"/>
  <c r="M28" i="1"/>
  <c r="O28" i="1"/>
  <c r="S28" i="1"/>
  <c r="U28" i="1"/>
  <c r="G29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6" i="1"/>
  <c r="G216" i="1"/>
  <c r="G217" i="1"/>
  <c r="M217" i="1"/>
  <c r="P217" i="1"/>
  <c r="G218" i="1"/>
  <c r="G219" i="1"/>
  <c r="G220" i="1"/>
  <c r="G225" i="1"/>
  <c r="G243" i="1"/>
  <c r="G252" i="1"/>
  <c r="G254" i="1"/>
  <c r="G255" i="1"/>
  <c r="G257" i="1"/>
  <c r="G259" i="1"/>
  <c r="G260" i="1"/>
  <c r="G261" i="1"/>
  <c r="G263" i="1"/>
  <c r="G264" i="1"/>
  <c r="G276" i="1"/>
  <c r="G277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40" i="1"/>
  <c r="G341" i="1"/>
  <c r="G342" i="1"/>
  <c r="G344" i="1"/>
  <c r="G345" i="1"/>
  <c r="G349" i="1"/>
  <c r="G350" i="1"/>
  <c r="G351" i="1"/>
  <c r="G352" i="1"/>
  <c r="G356" i="1"/>
  <c r="G357" i="1"/>
  <c r="G358" i="1"/>
  <c r="G361" i="1"/>
  <c r="G368" i="1"/>
  <c r="G369" i="1"/>
  <c r="G370" i="1"/>
  <c r="G372" i="1"/>
  <c r="G374" i="1"/>
  <c r="G375" i="1"/>
  <c r="G376" i="1"/>
  <c r="G377" i="1"/>
  <c r="G389" i="1"/>
  <c r="G391" i="1"/>
  <c r="G395" i="1"/>
  <c r="G402" i="1"/>
  <c r="G403" i="1"/>
  <c r="G418" i="1"/>
  <c r="G421" i="1"/>
  <c r="G425" i="1"/>
  <c r="G426" i="1"/>
  <c r="O426" i="1"/>
  <c r="S426" i="1"/>
  <c r="U426" i="1"/>
  <c r="W426" i="1"/>
  <c r="G427" i="1"/>
  <c r="G428" i="1"/>
  <c r="G429" i="1"/>
  <c r="G430" i="1"/>
  <c r="G437" i="1"/>
  <c r="G438" i="1"/>
  <c r="G440" i="1"/>
  <c r="G453" i="1"/>
  <c r="G454" i="1"/>
  <c r="G455" i="1"/>
  <c r="G456" i="1"/>
  <c r="G457" i="1"/>
  <c r="G460" i="1"/>
  <c r="G461" i="1"/>
  <c r="G462" i="1"/>
  <c r="G464" i="1"/>
  <c r="G465" i="1"/>
  <c r="G467" i="1"/>
  <c r="G468" i="1"/>
  <c r="G470" i="1"/>
  <c r="G506" i="1"/>
  <c r="G626" i="1"/>
  <c r="M626" i="1"/>
  <c r="O626" i="1"/>
  <c r="Q626" i="1"/>
  <c r="S626" i="1"/>
  <c r="U626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<sst xmlns="http://schemas.openxmlformats.org/spreadsheetml/2006/main" count="1108" uniqueCount="921">
  <si>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</si>
  <si>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</si>
  <si>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</si>
  <si>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</si>
  <si>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</si>
  <si>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</si>
  <si>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</si>
  <si>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</si>
  <si>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</si>
  <si>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</si>
  <si>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</si>
  <si>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</si>
  <si>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</si>
  <si>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</si>
  <si>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</si>
  <si>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</si>
  <si>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</si>
  <si>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</si>
  <si>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</si>
  <si>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</si>
  <si>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</si>
  <si>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</si>
  <si>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</si>
  <si>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</si>
  <si>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</si>
  <si>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</si>
  <si>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</si>
  <si>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</si>
  <si>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</si>
  <si>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</si>
  <si>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</si>
  <si>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</si>
  <si>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</si>
  <si>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</si>
  <si>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</si>
  <si>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</si>
  <si>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</si>
  <si>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</si>
  <si>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</si>
  <si>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</si>
  <si>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</si>
  <si>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</si>
  <si>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</si>
  <si>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</si>
  <si>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</si>
  <si>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</si>
  <si>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</si>
  <si>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</si>
  <si>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</si>
  <si>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</si>
  <si>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</si>
  <si>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</si>
  <si>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</si>
  <si>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</si>
  <si>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</si>
  <si>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</si>
  <si>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</si>
  <si>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</si>
  <si>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</si>
  <si>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</si>
  <si>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</si>
  <si>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</si>
  <si>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</si>
  <si>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</si>
  <si>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</si>
  <si>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</si>
  <si>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</si>
  <si>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</si>
  <si>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</si>
  <si>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</si>
  <si>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</si>
  <si>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</si>
  <si>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</si>
  <si>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</si>
  <si>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</si>
  <si>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</si>
  <si>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</si>
  <si>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</si>
  <si>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</si>
  <si>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</si>
  <si>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</si>
  <si>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</si>
  <si>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</si>
  <si>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</si>
  <si>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</si>
  <si>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</si>
  <si>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</si>
  <si>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</si>
  <si>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</si>
  <si>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</si>
  <si>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</si>
  <si>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</si>
  <si>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</si>
  <si>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</si>
  <si>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</si>
  <si>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</si>
  <si>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</si>
  <si>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</si>
  <si>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</si>
  <si>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</si>
  <si>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</si>
  <si>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</si>
  <si>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</si>
  <si>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</si>
  <si>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</si>
  <si>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</si>
  <si>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</si>
  <si>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</si>
  <si>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</si>
  <si>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</si>
  <si>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</si>
  <si>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</si>
  <si>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</si>
  <si>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</si>
  <si>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</si>
  <si>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</si>
  <si>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</si>
  <si>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</si>
  <si>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</si>
  <si>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</si>
  <si>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</si>
  <si>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</si>
  <si>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</si>
  <si>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</si>
  <si>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</si>
  <si>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</si>
  <si>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</si>
  <si>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</si>
  <si>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</si>
  <si>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</si>
  <si>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</si>
  <si>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</si>
  <si>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</si>
  <si>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</si>
  <si>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</si>
  <si>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</si>
  <si>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</si>
  <si>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</si>
  <si>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</si>
  <si>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</si>
  <si>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</si>
  <si>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</si>
  <si>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</si>
  <si>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</si>
  <si>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</si>
  <si>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</si>
  <si>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</si>
  <si>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</si>
  <si>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</si>
  <si>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</si>
  <si>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</si>
  <si>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</si>
  <si>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</si>
  <si>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</si>
  <si>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</si>
  <si>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</si>
  <si>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</si>
  <si>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</si>
  <si>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</si>
  <si>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</si>
  <si>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</si>
  <si>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</si>
  <si>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</si>
  <si>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</si>
  <si>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</si>
  <si>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</si>
  <si>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</si>
  <si>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</si>
  <si>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</si>
  <si>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</si>
  <si>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</si>
  <si>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</si>
  <si>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</si>
  <si>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</si>
  <si>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</si>
  <si>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</si>
  <si>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</si>
  <si>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</si>
  <si>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</si>
  <si>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</si>
  <si>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</si>
  <si>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</si>
  <si>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</si>
  <si>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</si>
  <si>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</si>
  <si>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</si>
  <si>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</si>
  <si>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</si>
  <si>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</si>
  <si>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</si>
  <si>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</si>
  <si>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</si>
  <si>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</si>
  <si>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</si>
  <si>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</si>
  <si>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</si>
  <si>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</si>
  <si>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</si>
  <si>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</si>
  <si>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</si>
  <si>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</si>
  <si>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</si>
  <si>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</si>
  <si>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</si>
  <si>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</si>
  <si>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</si>
  <si>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</si>
  <si>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</si>
  <si>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</si>
  <si>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</si>
  <si>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</si>
  <si>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</si>
  <si>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</si>
  <si>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</si>
  <si>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</si>
  <si>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</si>
  <si>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</si>
  <si>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</si>
  <si>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</si>
  <si>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</si>
  <si>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</si>
  <si>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</si>
  <si>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</si>
  <si>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</si>
  <si>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</si>
  <si>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</si>
  <si>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</si>
  <si>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</si>
  <si>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</si>
  <si>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</si>
  <si>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</si>
  <si>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</si>
  <si>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</si>
  <si>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</si>
  <si>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</si>
  <si>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</si>
  <si>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</si>
  <si>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</si>
  <si>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</si>
  <si>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</si>
  <si>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</si>
  <si>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</si>
  <si>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</si>
  <si>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</si>
  <si>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</si>
  <si>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</si>
  <si>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</si>
  <si>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</si>
  <si>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</si>
  <si>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</si>
  <si>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</si>
  <si>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</si>
  <si>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</si>
  <si>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</si>
  <si>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</si>
  <si>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</si>
  <si>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</si>
  <si>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</si>
  <si>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</si>
  <si>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</si>
  <si>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</si>
  <si>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</si>
  <si>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</si>
  <si>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</si>
  <si>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</si>
  <si>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</si>
  <si>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</si>
  <si>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</si>
  <si>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</si>
  <si>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</si>
  <si>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</si>
  <si>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</si>
  <si>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</si>
  <si>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</si>
  <si>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</si>
  <si>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</si>
  <si>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</si>
  <si>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</si>
  <si>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</si>
  <si>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</si>
  <si>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</si>
  <si>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</si>
  <si>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</si>
  <si>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</si>
  <si>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</si>
  <si>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</si>
  <si>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</si>
  <si>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</si>
  <si>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</si>
  <si>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</si>
  <si>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</si>
  <si>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</si>
  <si>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</si>
  <si>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</si>
  <si>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</si>
  <si>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</si>
  <si>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</si>
  <si>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</si>
  <si>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</si>
  <si>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</si>
  <si>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</si>
  <si>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</si>
  <si>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</si>
  <si>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</si>
  <si>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</si>
  <si>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</si>
  <si>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</si>
  <si>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</si>
  <si>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</si>
  <si>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</si>
  <si>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</si>
  <si>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</si>
  <si>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</si>
  <si>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</si>
  <si>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</si>
  <si>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</si>
  <si>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</si>
  <si>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</si>
  <si>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</si>
  <si>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</si>
  <si>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</si>
  <si>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</si>
  <si>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</si>
  <si>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</si>
  <si>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</si>
  <si>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</si>
  <si>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</si>
  <si>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</si>
  <si>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</si>
  <si>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</si>
  <si>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</si>
  <si>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</si>
  <si>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</si>
  <si>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</si>
  <si>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</si>
  <si>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</si>
  <si>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</si>
  <si>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</si>
  <si>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</si>
  <si>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</si>
  <si>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</si>
  <si>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</si>
  <si>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</si>
  <si>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</si>
  <si>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</si>
  <si>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</si>
  <si>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</si>
  <si>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</si>
  <si>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</si>
  <si>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</si>
  <si>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</si>
  <si>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</si>
  <si>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</si>
  <si>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</si>
  <si>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</si>
  <si>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</si>
  <si>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</si>
  <si>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</si>
  <si>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</si>
  <si>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</si>
  <si>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</si>
  <si>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</si>
  <si>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</si>
  <si>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</si>
  <si>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</si>
  <si>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</si>
  <si>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</si>
  <si>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</si>
  <si>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</si>
  <si>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</si>
  <si>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</si>
  <si>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</si>
  <si>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</si>
  <si>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</si>
  <si>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</si>
  <si>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</si>
  <si>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</si>
  <si>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</si>
  <si>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</si>
  <si>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</si>
  <si>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</si>
  <si>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</si>
  <si>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</si>
  <si>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</si>
  <si>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</si>
  <si>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</si>
  <si>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</si>
  <si>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</si>
  <si>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</si>
  <si>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</si>
  <si>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</si>
  <si>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</si>
  <si>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</si>
  <si>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</si>
  <si>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</si>
  <si>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</si>
  <si>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</si>
  <si>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</si>
  <si>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</si>
  <si>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</si>
  <si>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</si>
  <si>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</si>
  <si>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</si>
  <si>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</si>
  <si>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</si>
  <si>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</si>
  <si>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</si>
  <si>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</si>
  <si>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</si>
  <si>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</si>
  <si>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</si>
  <si>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</si>
  <si>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</si>
  <si>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</si>
  <si>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</si>
  <si>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</si>
  <si>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</si>
  <si>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</si>
  <si>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</si>
  <si>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</si>
  <si>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</si>
  <si>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</si>
  <si>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</si>
  <si>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</si>
  <si>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</si>
  <si>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</si>
  <si>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</si>
  <si>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</si>
  <si>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</si>
  <si>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</si>
  <si>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</si>
  <si>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</si>
  <si>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</si>
  <si>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</si>
  <si>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</si>
  <si>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</si>
  <si>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</si>
  <si>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</si>
  <si>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</si>
  <si>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</si>
  <si>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</si>
  <si>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</si>
  <si>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</si>
  <si>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</si>
  <si>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</si>
  <si>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</si>
  <si>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</si>
  <si>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</si>
  <si>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</si>
  <si>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</si>
  <si>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</si>
  <si>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</si>
  <si>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</si>
  <si>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</si>
  <si>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</si>
  <si>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</si>
  <si>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</si>
  <si>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</si>
  <si>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</si>
  <si>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</si>
  <si>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</si>
  <si>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</si>
  <si>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</si>
  <si>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</si>
  <si>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</si>
  <si>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</si>
  <si>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</si>
  <si>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</si>
  <si>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</si>
  <si>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</si>
  <si>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</si>
  <si>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</si>
  <si>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</si>
  <si>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</si>
  <si>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</si>
  <si>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</si>
  <si>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</si>
  <si>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</si>
  <si>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</si>
  <si>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</si>
  <si>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</si>
  <si>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</si>
  <si>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</si>
  <si>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</si>
  <si>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</si>
  <si>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</si>
  <si>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</si>
  <si>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</si>
  <si>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</si>
  <si>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</si>
  <si>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</si>
  <si>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</si>
  <si>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</si>
  <si>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</si>
  <si>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</si>
  <si>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</si>
  <si>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</si>
  <si>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</si>
  <si>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</si>
  <si>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</si>
  <si>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</si>
  <si>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</si>
  <si>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</si>
  <si>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</si>
  <si>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</si>
  <si>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</si>
  <si>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</si>
  <si>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</si>
  <si>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</si>
  <si>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</si>
  <si>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</si>
  <si>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</si>
  <si>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</si>
  <si>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</si>
  <si>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</si>
  <si>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</si>
  <si>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</si>
  <si>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</si>
  <si>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</si>
  <si>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</si>
  <si>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</si>
  <si>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</si>
  <si>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</si>
  <si>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</si>
  <si>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</si>
  <si>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</si>
  <si>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</si>
  <si>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</si>
  <si>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</si>
  <si>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</si>
  <si>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</si>
  <si>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</si>
  <si>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</si>
  <si>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</si>
  <si>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</si>
  <si>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</si>
  <si>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</si>
  <si>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</si>
  <si>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</si>
  <si>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</si>
  <si>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</si>
  <si>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</si>
  <si>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</si>
  <si>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</si>
  <si>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</si>
  <si>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</si>
  <si>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</si>
  <si>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</si>
  <si>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</si>
  <si>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</si>
  <si>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</si>
  <si>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</si>
  <si>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</si>
  <si>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</si>
  <si>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</si>
  <si>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</si>
  <si>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</si>
  <si>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</si>
  <si>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</si>
  <si>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</si>
  <si>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</si>
  <si>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</si>
  <si>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</si>
  <si>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</si>
  <si>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</si>
  <si>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</si>
  <si>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</si>
  <si>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</si>
  <si>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</si>
  <si>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</si>
  <si>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</si>
  <si>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</si>
  <si>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</si>
  <si>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</si>
  <si>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</si>
  <si>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</si>
  <si>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</si>
  <si>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</si>
  <si>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</si>
  <si>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</si>
  <si>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</si>
  <si>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</si>
  <si>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</si>
  <si>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</si>
  <si>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</si>
  <si>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</si>
  <si>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</si>
  <si>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</si>
  <si>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</si>
  <si>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</si>
  <si>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</si>
  <si>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</si>
  <si>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</si>
  <si>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</si>
  <si>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</si>
  <si>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</si>
  <si>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</si>
  <si>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</si>
  <si>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</si>
  <si>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</si>
  <si>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</si>
  <si>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</si>
  <si>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</si>
  <si>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</si>
  <si>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</si>
  <si>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</si>
  <si>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</si>
  <si>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</si>
  <si>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</si>
  <si>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</si>
  <si>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</si>
  <si>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</si>
  <si>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</si>
  <si>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</si>
  <si>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</si>
  <si>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</si>
  <si>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</si>
  <si>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</si>
  <si>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</si>
  <si>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</si>
  <si>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</si>
  <si>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</si>
  <si>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</si>
  <si>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</si>
  <si>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</si>
  <si>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</si>
  <si>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</si>
  <si>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</si>
  <si>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</si>
  <si>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</si>
  <si>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</si>
  <si>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</si>
  <si>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</si>
  <si>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</si>
  <si>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</si>
  <si>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</si>
  <si>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</si>
  <si>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</si>
  <si>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</si>
  <si>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</si>
  <si>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</si>
  <si>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</si>
  <si>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</si>
  <si>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</si>
  <si>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</si>
  <si>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</si>
  <si>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</si>
  <si>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</si>
  <si>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</si>
  <si>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</si>
  <si>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</si>
  <si>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</si>
  <si>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</si>
  <si>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</si>
  <si>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</si>
  <si>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</si>
  <si>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</si>
  <si>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</si>
  <si>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</si>
  <si>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</si>
  <si>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</si>
  <si>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</si>
  <si>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</si>
  <si>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</si>
  <si>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</si>
  <si>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</si>
  <si>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</si>
  <si>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</si>
  <si>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</si>
  <si>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</si>
  <si>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</si>
  <si>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</si>
  <si>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</si>
  <si>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</si>
  <si>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</si>
  <si>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</si>
  <si>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</si>
  <si>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</si>
  <si>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</si>
  <si>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</si>
  <si>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</si>
  <si>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</si>
  <si>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</si>
  <si>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</si>
  <si>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</si>
  <si>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</si>
  <si>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</si>
  <si>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</si>
  <si>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</si>
  <si>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</si>
  <si>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</si>
  <si>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</si>
  <si>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</si>
  <si>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</si>
  <si>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</si>
  <si>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</si>
  <si>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</si>
  <si>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</si>
  <si>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</si>
  <si>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</si>
  <si>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</si>
  <si>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</si>
  <si>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</si>
  <si>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</si>
  <si>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</si>
  <si>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</si>
  <si>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</si>
  <si>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</si>
  <si>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</si>
  <si>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</si>
  <si>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</si>
  <si>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</si>
  <si>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</si>
  <si>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</si>
  <si>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</si>
  <si>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</si>
  <si>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</si>
  <si>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</si>
  <si>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</si>
  <si>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</si>
  <si>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</si>
  <si>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</si>
  <si>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</si>
  <si>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</si>
  <si>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</si>
  <si>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</si>
  <si>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</si>
  <si>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</si>
  <si>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</si>
  <si>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</si>
  <si>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</si>
  <si>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</si>
  <si>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</si>
  <si>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</si>
  <si>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</si>
  <si>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</si>
  <si>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</si>
  <si>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</si>
  <si>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</si>
  <si>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</si>
  <si>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</si>
  <si>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</si>
  <si>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</si>
  <si>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</si>
  <si>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</si>
  <si>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</si>
  <si>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</si>
  <si>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</si>
  <si>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</si>
  <si>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</si>
  <si>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</si>
  <si>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</si>
  <si>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</si>
  <si>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</si>
  <si>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</si>
  <si>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</si>
  <si>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</si>
  <si>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</si>
  <si>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</si>
  <si>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</si>
  <si>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</si>
  <si>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</si>
  <si>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</si>
  <si>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</si>
  <si>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</si>
  <si>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</si>
  <si>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</si>
  <si>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</si>
  <si>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</si>
  <si>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</si>
  <si>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</si>
  <si>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</si>
  <si>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</si>
  <si>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</si>
  <si>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</si>
  <si>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</si>
  <si>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</si>
  <si>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</si>
  <si>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</si>
  <si>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</si>
  <si>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</si>
  <si>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</si>
  <si>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</si>
  <si>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</si>
  <si>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</si>
  <si>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</si>
  <si>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</si>
  <si>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</si>
  <si>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</si>
  <si>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</si>
  <si>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</si>
  <si>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</si>
  <si>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</si>
  <si>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</si>
  <si>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</si>
  <si>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</si>
  <si>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</si>
  <si>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</si>
  <si>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</si>
  <si>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</si>
  <si>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</si>
  <si>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</si>
  <si>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</si>
  <si>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</si>
  <si>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</si>
  <si>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</si>
  <si>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</si>
  <si>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</si>
  <si>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</si>
  <si>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</si>
  <si>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</si>
  <si>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</si>
  <si>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</si>
  <si>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</si>
  <si>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</si>
  <si>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</si>
  <si>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</si>
  <si>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</si>
  <si>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</si>
  <si>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</si>
  <si>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</si>
  <si>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</si>
  <si>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</si>
  <si>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</si>
  <si>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</si>
  <si>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</si>
  <si>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</si>
  <si>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</si>
  <si>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</si>
  <si>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</si>
  <si>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</si>
  <si>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</si>
  <si>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</si>
  <si>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</si>
  <si>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</si>
  <si>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</si>
  <si>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</si>
  <si>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</si>
  <si>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</si>
  <si>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</si>
  <si>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</si>
  <si>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</si>
  <si>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</si>
  <si>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</si>
  <si>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</si>
  <si>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</si>
  <si>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</si>
  <si>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</si>
  <si>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</si>
  <si>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</si>
  <si>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</si>
  <si>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</si>
  <si>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</si>
  <si>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</si>
  <si>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</si>
  <si>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</si>
  <si>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</si>
  <si>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</si>
  <si>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</si>
  <si>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</si>
  <si>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</si>
  <si>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</si>
  <si>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</si>
  <si>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</si>
  <si>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</si>
  <si>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</si>
  <si>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</si>
  <si>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</si>
  <si>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</si>
  <si>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</si>
  <si>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</si>
  <si>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</si>
  <si>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</si>
  <si>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</si>
  <si>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</si>
  <si>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</si>
  <si>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</si>
  <si>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</si>
  <si>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</si>
  <si>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</si>
  <si>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</si>
  <si>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</si>
  <si>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</si>
  <si>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</si>
  <si>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</si>
  <si>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</si>
  <si>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</si>
  <si>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</si>
  <si>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</si>
  <si>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</si>
  <si>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</si>
  <si>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</si>
  <si>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</si>
  <si>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</si>
  <si>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</si>
  <si>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</si>
  <si>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</si>
  <si>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</si>
  <si>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</si>
  <si>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</si>
  <si>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</si>
  <si>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</si>
  <si>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</si>
  <si>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</si>
  <si>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</si>
  <si>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</si>
  <si>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</si>
  <si>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</si>
  <si>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</si>
  <si>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</si>
  <si>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</si>
  <si>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</si>
  <si>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t>LISTA DE PRECIOS Nº 5 / 2024 (En Pesos)  -  NO INCLUYE I.V.A.  -  MAYO 2024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</si>
  <si>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</si>
  <si>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</si>
  <si>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</si>
  <si>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01032 - Jarro térmico acero 500ml negro</t>
  </si>
  <si>
    <t>00266 - Reloj de bambú 30cm diám agujas de metal</t>
  </si>
  <si>
    <t>00266</t>
  </si>
  <si>
    <t>00873B</t>
  </si>
  <si>
    <t>00608 - Mochila NOMAWALK® Free Flow 12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</si>
</sst>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7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u/>
      <sz val="10"/>
      <color theme="5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3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7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7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0" fontId="70" fillId="10" borderId="0" xfId="0" applyFont="1" applyFill="1" applyBorder="1" applyAlignment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3" fillId="5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8" borderId="61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left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left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4" fillId="5" borderId="14" xfId="0" applyNumberFormat="1" applyFont="1" applyFill="1" applyBorder="1" applyAlignment="1">
      <alignment horizontal="center" vertical="center"/>
    </xf>
    <xf numFmtId="2" fontId="64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2" fontId="69" fillId="8" borderId="1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1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7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4" fillId="8" borderId="68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64" fillId="8" borderId="28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9" fontId="77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4" fillId="8" borderId="3" xfId="0" applyNumberFormat="1" applyFont="1" applyFill="1" applyBorder="1" applyAlignment="1">
      <alignment horizontal="center" vertical="center"/>
    </xf>
    <xf numFmtId="169" fontId="64" fillId="8" borderId="7" xfId="0" applyNumberFormat="1" applyFont="1" applyFill="1" applyBorder="1" applyAlignment="1">
      <alignment horizontal="center" vertical="center"/>
    </xf>
    <xf numFmtId="169" fontId="64" fillId="8" borderId="21" xfId="0" applyNumberFormat="1" applyFont="1" applyFill="1" applyBorder="1" applyAlignment="1">
      <alignment horizontal="center" vertical="center"/>
    </xf>
    <xf numFmtId="169" fontId="64" fillId="5" borderId="3" xfId="0" applyNumberFormat="1" applyFont="1" applyFill="1" applyBorder="1" applyAlignment="1">
      <alignment horizontal="center" vertical="center"/>
    </xf>
    <xf numFmtId="169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1" fontId="76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4" xfId="0" applyNumberFormat="1" applyFont="1" applyFill="1" applyBorder="1" applyAlignment="1">
      <alignment horizontal="center" vertical="center"/>
    </xf>
    <xf numFmtId="1" fontId="64" fillId="5" borderId="64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6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9" fontId="64" fillId="5" borderId="7" xfId="0" applyNumberFormat="1" applyFont="1" applyFill="1" applyBorder="1" applyAlignment="1">
      <alignment horizontal="center" vertical="center"/>
    </xf>
    <xf numFmtId="169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9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9" fontId="64" fillId="5" borderId="10" xfId="0" applyNumberFormat="1" applyFont="1" applyFill="1" applyBorder="1" applyAlignment="1">
      <alignment horizontal="center" vertical="center"/>
    </xf>
    <xf numFmtId="169" fontId="64" fillId="5" borderId="59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9" fontId="64" fillId="5" borderId="69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9" fontId="64" fillId="5" borderId="31" xfId="0" applyNumberFormat="1" applyFont="1" applyFill="1" applyBorder="1" applyAlignment="1">
      <alignment horizontal="center" vertical="center"/>
    </xf>
    <xf numFmtId="169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1" fontId="76" fillId="8" borderId="4" xfId="0" applyNumberFormat="1" applyFont="1" applyFill="1" applyBorder="1" applyAlignment="1">
      <alignment horizontal="center" vertical="center"/>
    </xf>
    <xf numFmtId="1" fontId="76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7" fontId="85" fillId="2" borderId="3" xfId="2" applyNumberFormat="1" applyFont="1" applyFill="1" applyBorder="1" applyAlignment="1" applyProtection="1">
      <alignment horizontal="center" vertical="center"/>
    </xf>
    <xf numFmtId="167" fontId="85" fillId="2" borderId="5" xfId="2" applyNumberFormat="1" applyFont="1" applyFill="1" applyBorder="1" applyAlignment="1" applyProtection="1">
      <alignment horizontal="center"/>
    </xf>
    <xf numFmtId="167" fontId="11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7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7" fontId="85" fillId="2" borderId="4" xfId="2" applyNumberFormat="1" applyFont="1" applyFill="1" applyBorder="1" applyAlignment="1" applyProtection="1">
      <alignment horizontal="center" vertical="center"/>
    </xf>
    <xf numFmtId="167" fontId="85" fillId="2" borderId="4" xfId="2" applyNumberFormat="1" applyFont="1" applyFill="1" applyBorder="1" applyAlignment="1" applyProtection="1">
      <alignment horizont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21" borderId="27" xfId="0" applyFont="1" applyFill="1" applyBorder="1" applyAlignment="1">
      <alignment horizontal="left" vertical="center"/>
    </xf>
    <xf numFmtId="0" fontId="5" fillId="21" borderId="42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7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5" fillId="2" borderId="5" xfId="2" applyNumberFormat="1" applyFont="1" applyFill="1" applyBorder="1" applyAlignment="1" applyProtection="1">
      <alignment horizontal="center" vertical="center"/>
    </xf>
    <xf numFmtId="167" fontId="70" fillId="2" borderId="4" xfId="0" applyNumberFormat="1" applyFont="1" applyFill="1" applyBorder="1" applyAlignment="1">
      <alignment horizontal="center"/>
    </xf>
    <xf numFmtId="167" fontId="70" fillId="2" borderId="3" xfId="0" applyNumberFormat="1" applyFont="1" applyFill="1" applyBorder="1" applyAlignment="1">
      <alignment horizontal="center"/>
    </xf>
    <xf numFmtId="167" fontId="85" fillId="5" borderId="3" xfId="2" applyNumberFormat="1" applyFont="1" applyFill="1" applyBorder="1" applyAlignment="1" applyProtection="1">
      <alignment horizontal="center"/>
    </xf>
    <xf numFmtId="167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8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76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7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67" fontId="126" fillId="2" borderId="3" xfId="2" applyNumberFormat="1" applyFont="1" applyFill="1" applyBorder="1" applyAlignment="1" applyProtection="1">
      <alignment horizontal="center"/>
    </xf>
    <xf numFmtId="0" fontId="1" fillId="2" borderId="0" xfId="0" applyFont="1" applyFill="1" applyBorder="1"/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1" fontId="76" fillId="5" borderId="4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7" borderId="3" xfId="0" applyFont="1" applyFill="1" applyBorder="1" applyAlignment="1"/>
    <xf numFmtId="0" fontId="5" fillId="7" borderId="19" xfId="0" applyFont="1" applyFill="1" applyBorder="1" applyAlignment="1"/>
    <xf numFmtId="0" fontId="0" fillId="7" borderId="19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40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5" borderId="13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18" fillId="5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5" borderId="3" xfId="0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13" xfId="0" applyNumberFormat="1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18" fillId="8" borderId="3" xfId="0" applyFont="1" applyFill="1" applyBorder="1" applyAlignment="1"/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13" xfId="0" applyNumberFormat="1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17" fillId="5" borderId="13" xfId="0" applyNumberFormat="1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/>
    <xf numFmtId="0" fontId="5" fillId="8" borderId="5" xfId="0" applyFont="1" applyFill="1" applyBorder="1" applyAlignment="1"/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" fillId="8" borderId="3" xfId="0" applyFont="1" applyFill="1" applyBorder="1" applyAlignment="1"/>
    <xf numFmtId="0" fontId="36" fillId="10" borderId="0" xfId="0" applyFont="1" applyFill="1" applyBorder="1" applyAlignment="1"/>
    <xf numFmtId="0" fontId="36" fillId="10" borderId="0" xfId="0" applyFont="1" applyFill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5" fillId="5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71" fillId="13" borderId="22" xfId="0" applyFont="1" applyFill="1" applyBorder="1" applyAlignment="1">
      <alignment horizontal="center" vertical="center" wrapText="1"/>
    </xf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1" fillId="5" borderId="3" xfId="0" applyFont="1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5" fillId="8" borderId="13" xfId="0" applyFont="1" applyFill="1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18" fillId="5" borderId="5" xfId="0" applyFont="1" applyFill="1" applyBorder="1" applyAlignment="1"/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18" fillId="8" borderId="5" xfId="0" applyFont="1" applyFill="1" applyBorder="1" applyAlignment="1"/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9" fillId="8" borderId="44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2" fillId="17" borderId="45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left" wrapText="1"/>
    </xf>
    <xf numFmtId="2" fontId="83" fillId="17" borderId="45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82" fillId="17" borderId="65" xfId="0" applyNumberFormat="1" applyFont="1" applyFill="1" applyBorder="1" applyAlignment="1">
      <alignment horizontal="center" vertical="center" wrapText="1"/>
    </xf>
    <xf numFmtId="0" fontId="111" fillId="17" borderId="66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71" fillId="10" borderId="1" xfId="0" applyFont="1" applyFill="1" applyBorder="1" applyAlignment="1">
      <alignment vertical="center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40" xfId="0" applyFont="1" applyFill="1" applyBorder="1" applyAlignment="1">
      <alignment horizontal="center" vertical="center" wrapText="1"/>
    </xf>
    <xf numFmtId="0" fontId="5" fillId="21" borderId="43" xfId="0" applyFont="1" applyFill="1" applyBorder="1" applyAlignment="1">
      <alignment horizontal="center" vertical="center" wrapText="1"/>
    </xf>
    <xf numFmtId="0" fontId="5" fillId="21" borderId="56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2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39" xfId="0" applyFill="1" applyBorder="1" applyAlignment="1"/>
    <xf numFmtId="2" fontId="4" fillId="8" borderId="46" xfId="0" applyNumberFormat="1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18" fillId="8" borderId="54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18" fillId="5" borderId="7" xfId="0" applyFont="1" applyFill="1" applyBorder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79" fillId="10" borderId="1" xfId="0" applyFont="1" applyFill="1" applyBorder="1" applyAlignment="1"/>
    <xf numFmtId="0" fontId="0" fillId="0" borderId="0" xfId="0" applyBorder="1" applyAlignment="1"/>
    <xf numFmtId="0" fontId="0" fillId="0" borderId="29" xfId="0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0" fontId="71" fillId="10" borderId="0" xfId="0" applyFont="1" applyFill="1" applyBorder="1" applyAlignment="1"/>
    <xf numFmtId="0" fontId="70" fillId="0" borderId="0" xfId="0" applyFont="1" applyAlignment="1"/>
    <xf numFmtId="0" fontId="70" fillId="0" borderId="29" xfId="0" applyFont="1" applyBorder="1" applyAlignment="1"/>
    <xf numFmtId="0" fontId="14" fillId="0" borderId="0" xfId="0" applyFont="1" applyAlignment="1"/>
    <xf numFmtId="0" fontId="14" fillId="0" borderId="29" xfId="0" applyFont="1" applyBorder="1" applyAlignment="1"/>
    <xf numFmtId="0" fontId="78" fillId="5" borderId="0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5" fillId="5" borderId="0" xfId="2" applyFont="1" applyFill="1" applyAlignment="1" applyProtection="1"/>
    <xf numFmtId="0" fontId="55" fillId="0" borderId="0" xfId="2" applyFont="1" applyAlignment="1" applyProtection="1"/>
    <xf numFmtId="2" fontId="5" fillId="8" borderId="7" xfId="0" applyNumberFormat="1" applyFont="1" applyFill="1" applyBorder="1" applyAlignment="1"/>
    <xf numFmtId="0" fontId="18" fillId="8" borderId="7" xfId="0" applyFont="1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0" fontId="0" fillId="8" borderId="7" xfId="0" applyFill="1" applyBorder="1" applyAlignment="1"/>
    <xf numFmtId="0" fontId="62" fillId="2" borderId="0" xfId="2" applyFont="1" applyFill="1" applyAlignment="1" applyProtection="1"/>
    <xf numFmtId="0" fontId="0" fillId="0" borderId="0" xfId="0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0" fontId="0" fillId="5" borderId="13" xfId="0" applyFill="1" applyBorder="1" applyAlignment="1"/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0" fillId="8" borderId="13" xfId="0" applyFill="1" applyBorder="1" applyAlignment="1"/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0" fontId="29" fillId="5" borderId="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9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166" fontId="5" fillId="8" borderId="3" xfId="0" applyNumberFormat="1" applyFont="1" applyFill="1" applyBorder="1" applyAlignment="1"/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8" borderId="44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9" fillId="5" borderId="5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40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40" xfId="0" applyFont="1" applyFill="1" applyBorder="1" applyAlignment="1">
      <alignment horizontal="left" vertical="center" wrapText="1"/>
    </xf>
    <xf numFmtId="0" fontId="9" fillId="21" borderId="40" xfId="0" applyFont="1" applyFill="1" applyBorder="1" applyAlignment="1">
      <alignment wrapText="1"/>
    </xf>
    <xf numFmtId="0" fontId="9" fillId="21" borderId="41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2" xfId="0" applyFill="1" applyBorder="1" applyAlignment="1">
      <alignment wrapText="1"/>
    </xf>
    <xf numFmtId="0" fontId="15" fillId="2" borderId="5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2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5" borderId="3" xfId="0" applyFont="1" applyFill="1" applyBorder="1" applyAlignment="1"/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4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2" fontId="4" fillId="5" borderId="47" xfId="0" applyNumberFormat="1" applyFont="1" applyFill="1" applyBorder="1" applyAlignment="1">
      <alignment vertical="center" wrapText="1"/>
    </xf>
    <xf numFmtId="0" fontId="0" fillId="5" borderId="48" xfId="0" applyFill="1" applyBorder="1" applyAlignment="1">
      <alignment vertical="center" wrapText="1"/>
    </xf>
    <xf numFmtId="0" fontId="54" fillId="8" borderId="50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8" borderId="51" xfId="0" applyFont="1" applyFill="1" applyBorder="1" applyAlignment="1">
      <alignment horizontal="center" vertical="center" wrapText="1"/>
    </xf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2" xfId="2" applyFont="1" applyFill="1" applyBorder="1" applyAlignment="1" applyProtection="1">
      <alignment horizontal="center" vertical="center" wrapText="1"/>
    </xf>
    <xf numFmtId="0" fontId="66" fillId="21" borderId="62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2" fontId="90" fillId="8" borderId="13" xfId="0" applyNumberFormat="1" applyFont="1" applyFill="1" applyBorder="1" applyAlignment="1"/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8" fillId="21" borderId="40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47" fillId="21" borderId="41" xfId="0" applyFont="1" applyFill="1" applyBorder="1" applyAlignment="1">
      <alignment horizontal="center" vertical="center" wrapText="1"/>
    </xf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41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2" xfId="0" applyFont="1" applyFill="1" applyBorder="1" applyAlignment="1">
      <alignment horizontal="center" vertical="center" wrapText="1"/>
    </xf>
    <xf numFmtId="0" fontId="66" fillId="21" borderId="58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4" fillId="21" borderId="57" xfId="2" applyFont="1" applyFill="1" applyBorder="1" applyAlignment="1" applyProtection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left"/>
    </xf>
    <xf numFmtId="2" fontId="1" fillId="9" borderId="5" xfId="0" applyNumberFormat="1" applyFont="1" applyFill="1" applyBorder="1" applyAlignment="1"/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0</xdr:rowOff>
    </xdr:from>
    <xdr:to>
      <xdr:col>0</xdr:col>
      <xdr:colOff>285750</xdr:colOff>
      <xdr:row>465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456</xdr:row>
      <xdr:rowOff>19050</xdr:rowOff>
    </xdr:from>
    <xdr:to>
      <xdr:col>0</xdr:col>
      <xdr:colOff>285750</xdr:colOff>
      <xdr:row>456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463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19050</xdr:rowOff>
    </xdr:from>
    <xdr:to>
      <xdr:col>1</xdr:col>
      <xdr:colOff>0</xdr:colOff>
      <xdr:row>602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28575</xdr:rowOff>
    </xdr:from>
    <xdr:to>
      <xdr:col>1</xdr:col>
      <xdr:colOff>0</xdr:colOff>
      <xdr:row>344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28575</xdr:rowOff>
    </xdr:from>
    <xdr:to>
      <xdr:col>1</xdr:col>
      <xdr:colOff>0</xdr:colOff>
      <xdr:row>424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28575</xdr:rowOff>
    </xdr:from>
    <xdr:to>
      <xdr:col>1</xdr:col>
      <xdr:colOff>0</xdr:colOff>
      <xdr:row>439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465</xdr:row>
      <xdr:rowOff>19050</xdr:rowOff>
    </xdr:from>
    <xdr:to>
      <xdr:col>0</xdr:col>
      <xdr:colOff>161925</xdr:colOff>
      <xdr:row>466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28575</xdr:rowOff>
    </xdr:from>
    <xdr:to>
      <xdr:col>1</xdr:col>
      <xdr:colOff>0</xdr:colOff>
      <xdr:row>54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28575</xdr:rowOff>
    </xdr:from>
    <xdr:to>
      <xdr:col>1</xdr:col>
      <xdr:colOff>0</xdr:colOff>
      <xdr:row>348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54</xdr:row>
      <xdr:rowOff>19050</xdr:rowOff>
    </xdr:from>
    <xdr:to>
      <xdr:col>13</xdr:col>
      <xdr:colOff>9524</xdr:colOff>
      <xdr:row>54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465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28575</xdr:rowOff>
    </xdr:from>
    <xdr:to>
      <xdr:col>26</xdr:col>
      <xdr:colOff>9524</xdr:colOff>
      <xdr:row>242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246</xdr:row>
      <xdr:rowOff>19050</xdr:rowOff>
    </xdr:from>
    <xdr:to>
      <xdr:col>26</xdr:col>
      <xdr:colOff>9524</xdr:colOff>
      <xdr:row>246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429</xdr:row>
      <xdr:rowOff>19050</xdr:rowOff>
    </xdr:from>
    <xdr:to>
      <xdr:col>25</xdr:col>
      <xdr:colOff>380999</xdr:colOff>
      <xdr:row>429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428</xdr:row>
      <xdr:rowOff>19050</xdr:rowOff>
    </xdr:from>
    <xdr:to>
      <xdr:col>25</xdr:col>
      <xdr:colOff>380999</xdr:colOff>
      <xdr:row>428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271</xdr:row>
      <xdr:rowOff>19050</xdr:rowOff>
    </xdr:from>
    <xdr:to>
      <xdr:col>26</xdr:col>
      <xdr:colOff>9524</xdr:colOff>
      <xdr:row>271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19</xdr:row>
      <xdr:rowOff>19050</xdr:rowOff>
    </xdr:from>
    <xdr:to>
      <xdr:col>8</xdr:col>
      <xdr:colOff>393838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313</xdr:row>
      <xdr:rowOff>19050</xdr:rowOff>
    </xdr:from>
    <xdr:to>
      <xdr:col>26</xdr:col>
      <xdr:colOff>9524</xdr:colOff>
      <xdr:row>313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270</xdr:row>
      <xdr:rowOff>19050</xdr:rowOff>
    </xdr:from>
    <xdr:to>
      <xdr:col>10</xdr:col>
      <xdr:colOff>1</xdr:colOff>
      <xdr:row>270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361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459</xdr:row>
      <xdr:rowOff>19050</xdr:rowOff>
    </xdr:from>
    <xdr:to>
      <xdr:col>24</xdr:col>
      <xdr:colOff>75821</xdr:colOff>
      <xdr:row>459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257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365</xdr:row>
      <xdr:rowOff>19050</xdr:rowOff>
    </xdr:from>
    <xdr:to>
      <xdr:col>26</xdr:col>
      <xdr:colOff>9524</xdr:colOff>
      <xdr:row>365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233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465</xdr:row>
      <xdr:rowOff>19050</xdr:rowOff>
    </xdr:from>
    <xdr:to>
      <xdr:col>10</xdr:col>
      <xdr:colOff>1</xdr:colOff>
      <xdr:row>465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15</xdr:row>
      <xdr:rowOff>19050</xdr:rowOff>
    </xdr:from>
    <xdr:to>
      <xdr:col>8</xdr:col>
      <xdr:colOff>162118</xdr:colOff>
      <xdr:row>15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378</xdr:row>
      <xdr:rowOff>16566</xdr:rowOff>
    </xdr:from>
    <xdr:to>
      <xdr:col>24</xdr:col>
      <xdr:colOff>46383</xdr:colOff>
      <xdr:row>378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370</xdr:row>
      <xdr:rowOff>16566</xdr:rowOff>
    </xdr:from>
    <xdr:to>
      <xdr:col>24</xdr:col>
      <xdr:colOff>46383</xdr:colOff>
      <xdr:row>370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353</xdr:row>
      <xdr:rowOff>16566</xdr:rowOff>
    </xdr:from>
    <xdr:to>
      <xdr:col>24</xdr:col>
      <xdr:colOff>46383</xdr:colOff>
      <xdr:row>353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296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296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279</xdr:row>
      <xdr:rowOff>16566</xdr:rowOff>
    </xdr:from>
    <xdr:to>
      <xdr:col>25</xdr:col>
      <xdr:colOff>82577</xdr:colOff>
      <xdr:row>279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366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364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104</xdr:row>
      <xdr:rowOff>19050</xdr:rowOff>
    </xdr:from>
    <xdr:to>
      <xdr:col>8</xdr:col>
      <xdr:colOff>181170</xdr:colOff>
      <xdr:row>104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25</xdr:row>
      <xdr:rowOff>19050</xdr:rowOff>
    </xdr:from>
    <xdr:to>
      <xdr:col>8</xdr:col>
      <xdr:colOff>393838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369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446</xdr:row>
      <xdr:rowOff>19050</xdr:rowOff>
    </xdr:from>
    <xdr:to>
      <xdr:col>8</xdr:col>
      <xdr:colOff>181170</xdr:colOff>
      <xdr:row>446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86657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410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385</xdr:row>
      <xdr:rowOff>28575</xdr:rowOff>
    </xdr:from>
    <xdr:to>
      <xdr:col>1</xdr:col>
      <xdr:colOff>0</xdr:colOff>
      <xdr:row>385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278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472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379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230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406</xdr:row>
      <xdr:rowOff>28575</xdr:rowOff>
    </xdr:from>
    <xdr:ext cx="342900" cy="104775"/>
    <xdr:pic>
      <xdr:nvPicPr>
        <xdr:cNvPr id="13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554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407</xdr:row>
      <xdr:rowOff>19050</xdr:rowOff>
    </xdr:from>
    <xdr:to>
      <xdr:col>8</xdr:col>
      <xdr:colOff>181170</xdr:colOff>
      <xdr:row>407</xdr:row>
      <xdr:rowOff>142875</xdr:rowOff>
    </xdr:to>
    <xdr:pic>
      <xdr:nvPicPr>
        <xdr:cNvPr id="12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8745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468</xdr:row>
      <xdr:rowOff>19050</xdr:rowOff>
    </xdr:from>
    <xdr:to>
      <xdr:col>8</xdr:col>
      <xdr:colOff>181170</xdr:colOff>
      <xdr:row>468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391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495</xdr:row>
      <xdr:rowOff>19050</xdr:rowOff>
    </xdr:from>
    <xdr:to>
      <xdr:col>8</xdr:col>
      <xdr:colOff>181170</xdr:colOff>
      <xdr:row>495</xdr:row>
      <xdr:rowOff>142875</xdr:rowOff>
    </xdr:to>
    <xdr:pic>
      <xdr:nvPicPr>
        <xdr:cNvPr id="124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58952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496</xdr:row>
      <xdr:rowOff>19050</xdr:rowOff>
    </xdr:from>
    <xdr:to>
      <xdr:col>8</xdr:col>
      <xdr:colOff>181170</xdr:colOff>
      <xdr:row>496</xdr:row>
      <xdr:rowOff>142875</xdr:rowOff>
    </xdr:to>
    <xdr:pic>
      <xdr:nvPicPr>
        <xdr:cNvPr id="12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6047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19050</xdr:rowOff>
    </xdr:from>
    <xdr:to>
      <xdr:col>24</xdr:col>
      <xdr:colOff>49180</xdr:colOff>
      <xdr:row>591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49180</xdr:colOff>
      <xdr:row>602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60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325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142875</xdr:rowOff>
    </xdr:to>
    <xdr:pic>
      <xdr:nvPicPr>
        <xdr:cNvPr id="146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478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49180</xdr:colOff>
      <xdr:row>610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49180</xdr:colOff>
      <xdr:row>628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47624</xdr:colOff>
      <xdr:row>624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39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298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4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6028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8</xdr:col>
      <xdr:colOff>181170</xdr:colOff>
      <xdr:row>213</xdr:row>
      <xdr:rowOff>142875</xdr:rowOff>
    </xdr:to>
    <xdr:pic>
      <xdr:nvPicPr>
        <xdr:cNvPr id="94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330231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449</xdr:row>
      <xdr:rowOff>19050</xdr:rowOff>
    </xdr:from>
    <xdr:to>
      <xdr:col>8</xdr:col>
      <xdr:colOff>181170</xdr:colOff>
      <xdr:row>449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524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07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57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70" name="Imagen 116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3576875"/>
          <a:ext cx="502919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283</xdr:row>
      <xdr:rowOff>19050</xdr:rowOff>
    </xdr:from>
    <xdr:ext cx="342900" cy="104775"/>
    <xdr:pic>
      <xdr:nvPicPr>
        <xdr:cNvPr id="12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29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590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49" TargetMode="External"/><Relationship Id="rId531" Type="http://schemas.openxmlformats.org/officeDocument/2006/relationships/hyperlink" Target="https://www.jivi.com.ar/ficha.php?id=1708" TargetMode="External"/><Relationship Id="rId170" Type="http://schemas.openxmlformats.org/officeDocument/2006/relationships/hyperlink" Target="https://www.jivi.com.ar/ficha.php?id=1061" TargetMode="External"/><Relationship Id="rId268" Type="http://schemas.openxmlformats.org/officeDocument/2006/relationships/hyperlink" Target="https://www.jivi.com.ar/ficha.php?id=1389" TargetMode="External"/><Relationship Id="rId475" Type="http://schemas.openxmlformats.org/officeDocument/2006/relationships/hyperlink" Target="https://www.jivi.com.ar/ficha.php?id=1617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1466" TargetMode="External"/><Relationship Id="rId542" Type="http://schemas.openxmlformats.org/officeDocument/2006/relationships/hyperlink" Target="https://www.jivi.com.ar/ficha.php?id=1732" TargetMode="External"/><Relationship Id="rId181" Type="http://schemas.openxmlformats.org/officeDocument/2006/relationships/hyperlink" Target="https://www.jivi.com.ar/ficha.php?id=297" TargetMode="External"/><Relationship Id="rId402" Type="http://schemas.openxmlformats.org/officeDocument/2006/relationships/hyperlink" Target="https://www.jivi.com.ar/ficha.php?id=1558" TargetMode="External"/><Relationship Id="rId279" Type="http://schemas.openxmlformats.org/officeDocument/2006/relationships/hyperlink" Target="https://www.jivi.com.ar/ficha.php?id=1400" TargetMode="External"/><Relationship Id="rId486" Type="http://schemas.openxmlformats.org/officeDocument/2006/relationships/hyperlink" Target="https://www.jivi.com.ar/ficha.php?id=265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1479" TargetMode="External"/><Relationship Id="rId553" Type="http://schemas.openxmlformats.org/officeDocument/2006/relationships/hyperlink" Target="https://www.jivi.com.ar/ficha.php?id=1744" TargetMode="External"/><Relationship Id="rId192" Type="http://schemas.openxmlformats.org/officeDocument/2006/relationships/hyperlink" Target="https://www.jivi.com.ar/ficha.php?id=1158" TargetMode="External"/><Relationship Id="rId206" Type="http://schemas.openxmlformats.org/officeDocument/2006/relationships/hyperlink" Target="https://www.jivi.com.ar/ficha.php?id=1185" TargetMode="External"/><Relationship Id="rId413" Type="http://schemas.openxmlformats.org/officeDocument/2006/relationships/hyperlink" Target="https://www.jivi.com.ar/ficha.php?id=1408" TargetMode="External"/><Relationship Id="rId497" Type="http://schemas.openxmlformats.org/officeDocument/2006/relationships/hyperlink" Target="https://www.jivi.com.ar/ficha.php?id=1655" TargetMode="External"/><Relationship Id="rId357" Type="http://schemas.openxmlformats.org/officeDocument/2006/relationships/hyperlink" Target="https://www.jivi.com.ar/ficha.php?id=1497" TargetMode="External"/><Relationship Id="rId54" Type="http://schemas.openxmlformats.org/officeDocument/2006/relationships/hyperlink" Target="https://www.jivi.com.ar/ficha.php?id=409" TargetMode="External"/><Relationship Id="rId217" Type="http://schemas.openxmlformats.org/officeDocument/2006/relationships/hyperlink" Target="https://www.jivi.com.ar/ficha.php?id=904" TargetMode="External"/><Relationship Id="rId564" Type="http://schemas.openxmlformats.org/officeDocument/2006/relationships/comments" Target="../comments1.xml"/><Relationship Id="rId424" Type="http://schemas.openxmlformats.org/officeDocument/2006/relationships/hyperlink" Target="https://www.jivi.com.ar/ficha.php?id=1572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270" Type="http://schemas.openxmlformats.org/officeDocument/2006/relationships/hyperlink" Target="https://www.jivi.com.ar/ficha.php?id=1391" TargetMode="External"/><Relationship Id="rId326" Type="http://schemas.openxmlformats.org/officeDocument/2006/relationships/hyperlink" Target="https://www.jivi.com.ar/ficha.php?id=1451" TargetMode="External"/><Relationship Id="rId533" Type="http://schemas.openxmlformats.org/officeDocument/2006/relationships/hyperlink" Target="https://www.jivi.com.ar/ficha.php?id=1721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09" TargetMode="External"/><Relationship Id="rId172" Type="http://schemas.openxmlformats.org/officeDocument/2006/relationships/hyperlink" Target="https://www.jivi.com.ar/ficha.php?id=364" TargetMode="External"/><Relationship Id="rId228" Type="http://schemas.openxmlformats.org/officeDocument/2006/relationships/hyperlink" Target="https://www.jivi.com.ar/ficha.php?id=1253" TargetMode="External"/><Relationship Id="rId435" Type="http://schemas.openxmlformats.org/officeDocument/2006/relationships/hyperlink" Target="https://www.jivi.com.ar/ficha.php?id=1581" TargetMode="External"/><Relationship Id="rId477" Type="http://schemas.openxmlformats.org/officeDocument/2006/relationships/hyperlink" Target="https://www.jivi.com.ar/ficha.php?id=1619" TargetMode="External"/><Relationship Id="rId281" Type="http://schemas.openxmlformats.org/officeDocument/2006/relationships/hyperlink" Target="https://www.jivi.com.ar/ficha.php?id=1392" TargetMode="External"/><Relationship Id="rId337" Type="http://schemas.openxmlformats.org/officeDocument/2006/relationships/hyperlink" Target="https://www.jivi.com.ar/ficha.php?id=1468" TargetMode="External"/><Relationship Id="rId502" Type="http://schemas.openxmlformats.org/officeDocument/2006/relationships/hyperlink" Target="https://www.jivi.com.ar/ficha.php?id=1660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532" TargetMode="External"/><Relationship Id="rId544" Type="http://schemas.openxmlformats.org/officeDocument/2006/relationships/hyperlink" Target="https://www.jivi.com.ar/ficha.php?id=465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8" TargetMode="External"/><Relationship Id="rId239" Type="http://schemas.openxmlformats.org/officeDocument/2006/relationships/hyperlink" Target="https://www.jivi.com.ar/ficha.php?id=1302" TargetMode="External"/><Relationship Id="rId390" Type="http://schemas.openxmlformats.org/officeDocument/2006/relationships/hyperlink" Target="https://www.jivi.com.ar/ficha.php?id=1547" TargetMode="External"/><Relationship Id="rId404" Type="http://schemas.openxmlformats.org/officeDocument/2006/relationships/hyperlink" Target="https://www.jivi.com.ar/ficha.php?id=1561" TargetMode="External"/><Relationship Id="rId446" Type="http://schemas.openxmlformats.org/officeDocument/2006/relationships/hyperlink" Target="https://www.jivi.com.ar/ficha.php?id=1592" TargetMode="External"/><Relationship Id="rId250" Type="http://schemas.openxmlformats.org/officeDocument/2006/relationships/hyperlink" Target="https://www.jivi.com.ar/ficha.php?id=1333" TargetMode="External"/><Relationship Id="rId292" Type="http://schemas.openxmlformats.org/officeDocument/2006/relationships/hyperlink" Target="https://www.jivi.com.ar/ficha.php?id=1415" TargetMode="External"/><Relationship Id="rId306" Type="http://schemas.openxmlformats.org/officeDocument/2006/relationships/hyperlink" Target="https://www.jivi.com.ar/ficha.php?id=1431" TargetMode="External"/><Relationship Id="rId488" Type="http://schemas.openxmlformats.org/officeDocument/2006/relationships/hyperlink" Target="https://www.jivi.com.ar/ficha.php?id=1643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1481" TargetMode="External"/><Relationship Id="rId513" Type="http://schemas.openxmlformats.org/officeDocument/2006/relationships/hyperlink" Target="https://www.jivi.com.ar/ficha.php?id=1691" TargetMode="External"/><Relationship Id="rId555" Type="http://schemas.openxmlformats.org/officeDocument/2006/relationships/hyperlink" Target="https://www.jivi.com.ar/ficha.php?id=1746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https://www.jivi.com.ar/ficha.php?id=1155" TargetMode="External"/><Relationship Id="rId208" Type="http://schemas.openxmlformats.org/officeDocument/2006/relationships/hyperlink" Target="https://www.jivi.com.ar/ficha.php?id=1190" TargetMode="External"/><Relationship Id="rId415" Type="http://schemas.openxmlformats.org/officeDocument/2006/relationships/hyperlink" Target="https://www.jivi.com.ar/ficha.php?id=1565" TargetMode="External"/><Relationship Id="rId457" Type="http://schemas.openxmlformats.org/officeDocument/2006/relationships/hyperlink" Target="https://www.jivi.com.ar/ficha.php?id=1606" TargetMode="External"/><Relationship Id="rId261" Type="http://schemas.openxmlformats.org/officeDocument/2006/relationships/hyperlink" Target="https://www.jivi.com.ar/ficha.php?id=1378" TargetMode="External"/><Relationship Id="rId499" Type="http://schemas.openxmlformats.org/officeDocument/2006/relationships/hyperlink" Target="https://www.jivi.com.ar/ficha.php?id=1656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334" TargetMode="External"/><Relationship Id="rId359" Type="http://schemas.openxmlformats.org/officeDocument/2006/relationships/hyperlink" Target="https://www.jivi.com.ar/ficha.php?id=1499" TargetMode="External"/><Relationship Id="rId524" Type="http://schemas.openxmlformats.org/officeDocument/2006/relationships/hyperlink" Target="https://www.jivi.com.ar/ficha.php?id=1531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4" TargetMode="External"/><Relationship Id="rId219" Type="http://schemas.openxmlformats.org/officeDocument/2006/relationships/hyperlink" Target="https://www.jivi.com.ar/ficha.php?id=1225" TargetMode="External"/><Relationship Id="rId370" Type="http://schemas.openxmlformats.org/officeDocument/2006/relationships/hyperlink" Target="https://www.jivi.com.ar/ficha.php?id=1513" TargetMode="External"/><Relationship Id="rId426" Type="http://schemas.openxmlformats.org/officeDocument/2006/relationships/hyperlink" Target="https://www.jivi.com.ar/ficha.php?id=1294" TargetMode="External"/><Relationship Id="rId230" Type="http://schemas.openxmlformats.org/officeDocument/2006/relationships/hyperlink" Target="https://www.jivi.com.ar/ficha.php?id=1261" TargetMode="External"/><Relationship Id="rId468" Type="http://schemas.openxmlformats.org/officeDocument/2006/relationships/hyperlink" Target="https://www.jivi.com.ar/ficha.php?id=1612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236" TargetMode="External"/><Relationship Id="rId328" Type="http://schemas.openxmlformats.org/officeDocument/2006/relationships/hyperlink" Target="https://www.jivi.com.ar/ficha.php?id=1064" TargetMode="External"/><Relationship Id="rId535" Type="http://schemas.openxmlformats.org/officeDocument/2006/relationships/hyperlink" Target="https://www.jivi.com.ar/ficha.php?id=1723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79" TargetMode="External"/><Relationship Id="rId381" Type="http://schemas.openxmlformats.org/officeDocument/2006/relationships/hyperlink" Target="https://www.jivi.com.ar/ficha.php?id=1535" TargetMode="External"/><Relationship Id="rId241" Type="http://schemas.openxmlformats.org/officeDocument/2006/relationships/hyperlink" Target="https://www.jivi.com.ar/ficha.php?id=1305" TargetMode="External"/><Relationship Id="rId437" Type="http://schemas.openxmlformats.org/officeDocument/2006/relationships/hyperlink" Target="https://www.jivi.com.ar/ficha.php?id=1584" TargetMode="External"/><Relationship Id="rId479" Type="http://schemas.openxmlformats.org/officeDocument/2006/relationships/hyperlink" Target="https://www.jivi.com.ar/ficha.php?id=1355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110" TargetMode="External"/><Relationship Id="rId339" Type="http://schemas.openxmlformats.org/officeDocument/2006/relationships/hyperlink" Target="https://www.jivi.com.ar/ficha.php?id=1471" TargetMode="External"/><Relationship Id="rId490" Type="http://schemas.openxmlformats.org/officeDocument/2006/relationships/hyperlink" Target="https://www.jivi.com.ar/ficha.php?id=1644" TargetMode="External"/><Relationship Id="rId504" Type="http://schemas.openxmlformats.org/officeDocument/2006/relationships/hyperlink" Target="https://www.jivi.com.ar/ficha.php?id=440" TargetMode="External"/><Relationship Id="rId546" Type="http://schemas.openxmlformats.org/officeDocument/2006/relationships/hyperlink" Target="https://www.jivi.com.ar/ficha.php?id=1077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4" TargetMode="External"/><Relationship Id="rId350" Type="http://schemas.openxmlformats.org/officeDocument/2006/relationships/hyperlink" Target="https://www.jivi.com.ar/ficha.php?id=1486" TargetMode="External"/><Relationship Id="rId406" Type="http://schemas.openxmlformats.org/officeDocument/2006/relationships/hyperlink" Target="https://www.jivi.com.ar/ficha.php?id=1066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81" TargetMode="External"/><Relationship Id="rId392" Type="http://schemas.openxmlformats.org/officeDocument/2006/relationships/hyperlink" Target="https://www.jivi.com.ar/ficha.php?id=1548" TargetMode="External"/><Relationship Id="rId448" Type="http://schemas.openxmlformats.org/officeDocument/2006/relationships/hyperlink" Target="https://www.jivi.com.ar/ficha.php?id=1594" TargetMode="External"/><Relationship Id="rId252" Type="http://schemas.openxmlformats.org/officeDocument/2006/relationships/hyperlink" Target="https://www.jivi.com.ar/ficha.php?id=1347" TargetMode="External"/><Relationship Id="rId294" Type="http://schemas.openxmlformats.org/officeDocument/2006/relationships/hyperlink" Target="https://www.jivi.com.ar/ficha.php?id=1084" TargetMode="External"/><Relationship Id="rId308" Type="http://schemas.openxmlformats.org/officeDocument/2006/relationships/hyperlink" Target="https://www.jivi.com.ar/ficha.php?id=1433" TargetMode="External"/><Relationship Id="rId515" Type="http://schemas.openxmlformats.org/officeDocument/2006/relationships/hyperlink" Target="https://www.jivi.com.ar/ficha.php?id=1438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308" TargetMode="External"/><Relationship Id="rId361" Type="http://schemas.openxmlformats.org/officeDocument/2006/relationships/hyperlink" Target="https://www.jivi.com.ar/ficha.php?id=1502" TargetMode="External"/><Relationship Id="rId557" Type="http://schemas.openxmlformats.org/officeDocument/2006/relationships/hyperlink" Target="https://www.jivi.com.ar/ficha.php?id=1747" TargetMode="External"/><Relationship Id="rId196" Type="http://schemas.openxmlformats.org/officeDocument/2006/relationships/hyperlink" Target="https://www.jivi.com.ar/ficha.php?id=1153" TargetMode="External"/><Relationship Id="rId417" Type="http://schemas.openxmlformats.org/officeDocument/2006/relationships/hyperlink" Target="https://www.jivi.com.ar/ficha.php?id=1567" TargetMode="External"/><Relationship Id="rId459" Type="http://schemas.openxmlformats.org/officeDocument/2006/relationships/hyperlink" Target="https://www.jivi.com.ar/ficha.php?id=1270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919" TargetMode="External"/><Relationship Id="rId263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443" TargetMode="External"/><Relationship Id="rId470" Type="http://schemas.openxmlformats.org/officeDocument/2006/relationships/hyperlink" Target="https://www.jivi.com.ar/ficha.php?id=1614" TargetMode="External"/><Relationship Id="rId526" Type="http://schemas.openxmlformats.org/officeDocument/2006/relationships/hyperlink" Target="https://www.jivi.com.ar/ficha.php?id=1704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54" TargetMode="External"/><Relationship Id="rId165" Type="http://schemas.openxmlformats.org/officeDocument/2006/relationships/hyperlink" Target="https://www.jivi.com.ar/ficha.php?id=647" TargetMode="External"/><Relationship Id="rId372" Type="http://schemas.openxmlformats.org/officeDocument/2006/relationships/hyperlink" Target="https://www.jivi.com.ar/ficha.php?id=1516" TargetMode="External"/><Relationship Id="rId428" Type="http://schemas.openxmlformats.org/officeDocument/2006/relationships/hyperlink" Target="https://www.jivi.com.ar/ficha.php?id=1296" TargetMode="External"/><Relationship Id="rId232" Type="http://schemas.openxmlformats.org/officeDocument/2006/relationships/hyperlink" Target="https://www.jivi.com.ar/ficha.php?id=1268" TargetMode="External"/><Relationship Id="rId274" Type="http://schemas.openxmlformats.org/officeDocument/2006/relationships/hyperlink" Target="https://www.jivi.com.ar/ficha.php?id=1394" TargetMode="External"/><Relationship Id="rId481" Type="http://schemas.openxmlformats.org/officeDocument/2006/relationships/hyperlink" Target="https://www.jivi.com.ar/ficha.php?id=1204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27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89" TargetMode="External"/><Relationship Id="rId341" Type="http://schemas.openxmlformats.org/officeDocument/2006/relationships/hyperlink" Target="htthttps://www.jivi.com.ar/ficha.php?id=1476" TargetMode="External"/><Relationship Id="rId383" Type="http://schemas.openxmlformats.org/officeDocument/2006/relationships/hyperlink" Target="https://www.jivi.com.ar/ficha.php?id=1539" TargetMode="External"/><Relationship Id="rId439" Type="http://schemas.openxmlformats.org/officeDocument/2006/relationships/hyperlink" Target="https://www.jivi.com.ar/ficha.php?id=1587" TargetMode="External"/><Relationship Id="rId201" Type="http://schemas.openxmlformats.org/officeDocument/2006/relationships/hyperlink" Target="https://www.jivi.com.ar/ficha.php?id=488" TargetMode="External"/><Relationship Id="rId243" Type="http://schemas.openxmlformats.org/officeDocument/2006/relationships/hyperlink" Target="https://www.jivi.com.ar/ficha.php?id=1295" TargetMode="External"/><Relationship Id="rId285" Type="http://schemas.openxmlformats.org/officeDocument/2006/relationships/hyperlink" Target="https://www.jivi.com.ar/ficha.php?id=477" TargetMode="External"/><Relationship Id="rId450" Type="http://schemas.openxmlformats.org/officeDocument/2006/relationships/hyperlink" Target="https://www.jivi.com.ar/ficha.php?id=1596" TargetMode="External"/><Relationship Id="rId506" Type="http://schemas.openxmlformats.org/officeDocument/2006/relationships/hyperlink" Target="https://www.jivi.com.ar/ficha.php?id=1666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7" TargetMode="External"/><Relationship Id="rId492" Type="http://schemas.openxmlformats.org/officeDocument/2006/relationships/hyperlink" Target="https://www.jivi.com.ar/ficha.php?id=1639" TargetMode="External"/><Relationship Id="rId548" Type="http://schemas.openxmlformats.org/officeDocument/2006/relationships/hyperlink" Target="https://www.jivi.com.ar/ficha.php?id=1739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6" TargetMode="External"/><Relationship Id="rId352" Type="http://schemas.openxmlformats.org/officeDocument/2006/relationships/hyperlink" Target="https://www.jivi.com.ar/ficha.php?id=1492" TargetMode="External"/><Relationship Id="rId394" Type="http://schemas.openxmlformats.org/officeDocument/2006/relationships/hyperlink" Target="https://www.jivi.com.ar/ficha.php?id=1551" TargetMode="External"/><Relationship Id="rId408" Type="http://schemas.openxmlformats.org/officeDocument/2006/relationships/hyperlink" Target="https://www.jivi.com.ar/ficha.php?id=1563" TargetMode="External"/><Relationship Id="rId212" Type="http://schemas.openxmlformats.org/officeDocument/2006/relationships/hyperlink" Target="https://www.jivi.com.ar/ficha.php?id=1218" TargetMode="External"/><Relationship Id="rId254" Type="http://schemas.openxmlformats.org/officeDocument/2006/relationships/hyperlink" Target="https://www.jivi.com.ar/ficha.php?id=1359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419" TargetMode="External"/><Relationship Id="rId461" Type="http://schemas.openxmlformats.org/officeDocument/2006/relationships/hyperlink" Target="https://www.jivi.com.ar/ficha.php?id=1459" TargetMode="External"/><Relationship Id="rId517" Type="http://schemas.openxmlformats.org/officeDocument/2006/relationships/hyperlink" Target="https://www.jivi.com.ar/ficha.php?id=36" TargetMode="External"/><Relationship Id="rId559" Type="http://schemas.openxmlformats.org/officeDocument/2006/relationships/hyperlink" Target="https://www.jivi.com.ar/ficha.php?id=1749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73" TargetMode="External"/><Relationship Id="rId198" Type="http://schemas.openxmlformats.org/officeDocument/2006/relationships/hyperlink" Target="https://www.jivi.com.ar/ficha.php?id=1168" TargetMode="External"/><Relationship Id="rId321" Type="http://schemas.openxmlformats.org/officeDocument/2006/relationships/hyperlink" Target="https://www.jivi.com.ar/ficha.php?id=1446" TargetMode="External"/><Relationship Id="rId363" Type="http://schemas.openxmlformats.org/officeDocument/2006/relationships/hyperlink" Target="https://www.jivi.com.ar/ficha.php?id=1504" TargetMode="External"/><Relationship Id="rId419" Type="http://schemas.openxmlformats.org/officeDocument/2006/relationships/hyperlink" Target="https://www.jivi.com.ar/ficha.php?id=1569" TargetMode="External"/><Relationship Id="rId223" Type="http://schemas.openxmlformats.org/officeDocument/2006/relationships/hyperlink" Target="https://www.jivi.com.ar/ficha.php?id=1232" TargetMode="External"/><Relationship Id="rId430" Type="http://schemas.openxmlformats.org/officeDocument/2006/relationships/hyperlink" Target="https://www.jivi.com.ar/ficha.php?id=1249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428" TargetMode="External"/><Relationship Id="rId472" Type="http://schemas.openxmlformats.org/officeDocument/2006/relationships/hyperlink" Target="https://www.jivi.com.ar/ficha.php?id=608" TargetMode="External"/><Relationship Id="rId528" Type="http://schemas.openxmlformats.org/officeDocument/2006/relationships/hyperlink" Target="https://www.jivi.com.ar/ficha.php?id=1457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52" TargetMode="External"/><Relationship Id="rId332" Type="http://schemas.openxmlformats.org/officeDocument/2006/relationships/hyperlink" Target="https://www.jivi.com.ar/ficha.php?id=1463" TargetMode="External"/><Relationship Id="rId374" Type="http://schemas.openxmlformats.org/officeDocument/2006/relationships/hyperlink" Target="https://www.jivi.com.ar/ficha.php?id=1523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7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8" TargetMode="External"/><Relationship Id="rId441" Type="http://schemas.openxmlformats.org/officeDocument/2006/relationships/hyperlink" Target="https://www.jivi.com.ar/ficha.php?id=1588" TargetMode="External"/><Relationship Id="rId483" Type="http://schemas.openxmlformats.org/officeDocument/2006/relationships/hyperlink" Target="https://www.jivi.com.ar/ficha.php?id=139" TargetMode="External"/><Relationship Id="rId539" Type="http://schemas.openxmlformats.org/officeDocument/2006/relationships/hyperlink" Target="https://www.jivi.com.ar/ficha.php?id=1729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1" TargetMode="External"/><Relationship Id="rId301" Type="http://schemas.openxmlformats.org/officeDocument/2006/relationships/hyperlink" Target="https://www.jivi.com.ar/ficha.php?id=1422" TargetMode="External"/><Relationship Id="rId343" Type="http://schemas.openxmlformats.org/officeDocument/2006/relationships/hyperlink" Target="https://www.jivi.com.ar/ficha.php?id=996" TargetMode="External"/><Relationship Id="rId550" Type="http://schemas.openxmlformats.org/officeDocument/2006/relationships/hyperlink" Target="https://www.jivi.com.ar/ficha.php?id=1742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915" TargetMode="External"/><Relationship Id="rId385" Type="http://schemas.openxmlformats.org/officeDocument/2006/relationships/hyperlink" Target="https://www.jivi.com.ar/ficha.php?id=1541" TargetMode="External"/><Relationship Id="rId245" Type="http://schemas.openxmlformats.org/officeDocument/2006/relationships/hyperlink" Target="https://www.jivi.com.ar/ficha.php?id=1290" TargetMode="External"/><Relationship Id="rId287" Type="http://schemas.openxmlformats.org/officeDocument/2006/relationships/hyperlink" Target="https://www.jivi.com.ar/ficha.php?id=1402" TargetMode="External"/><Relationship Id="rId410" Type="http://schemas.openxmlformats.org/officeDocument/2006/relationships/hyperlink" Target="https://www.jivi.com.ar/ficha.php?id=790" TargetMode="External"/><Relationship Id="rId452" Type="http://schemas.openxmlformats.org/officeDocument/2006/relationships/hyperlink" Target="https://www.jivi.com.ar/ficha.php?id=1599" TargetMode="External"/><Relationship Id="rId494" Type="http://schemas.openxmlformats.org/officeDocument/2006/relationships/hyperlink" Target="https://www.jivi.com.ar/ficha.php?id=1654" TargetMode="External"/><Relationship Id="rId508" Type="http://schemas.openxmlformats.org/officeDocument/2006/relationships/hyperlink" Target="https://www.jivi.com.ar/ficha.php?id=1684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39" TargetMode="External"/><Relationship Id="rId354" Type="http://schemas.openxmlformats.org/officeDocument/2006/relationships/hyperlink" Target="https://www.jivi.com.ar/ficha.php?id=1494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20" TargetMode="External"/><Relationship Id="rId396" Type="http://schemas.openxmlformats.org/officeDocument/2006/relationships/hyperlink" Target="https://www.jivi.com.ar/ficha.php?id=1311" TargetMode="External"/><Relationship Id="rId561" Type="http://schemas.openxmlformats.org/officeDocument/2006/relationships/printerSettings" Target="../printerSettings/printerSettings1.bin"/><Relationship Id="rId214" Type="http://schemas.openxmlformats.org/officeDocument/2006/relationships/hyperlink" Target="https://www.jivi.com.ar/ficha.php?id=1220" TargetMode="External"/><Relationship Id="rId256" Type="http://schemas.openxmlformats.org/officeDocument/2006/relationships/hyperlink" Target="https://www.jivi.com.ar/ficha.php?id=1365" TargetMode="External"/><Relationship Id="rId298" Type="http://schemas.openxmlformats.org/officeDocument/2006/relationships/hyperlink" Target="https://www.jivi.com.ar/ficha.php?id=1281" TargetMode="External"/><Relationship Id="rId421" Type="http://schemas.openxmlformats.org/officeDocument/2006/relationships/hyperlink" Target="https://www.jivi.com.ar/ficha.php?id=1571" TargetMode="External"/><Relationship Id="rId463" Type="http://schemas.openxmlformats.org/officeDocument/2006/relationships/hyperlink" Target="https://www.jivi.com.ar/ficha.php?id=1609" TargetMode="External"/><Relationship Id="rId519" Type="http://schemas.openxmlformats.org/officeDocument/2006/relationships/hyperlink" Target="https://www.jivi.com.ar/ficha.php?id=1698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1006" TargetMode="External"/><Relationship Id="rId323" Type="http://schemas.openxmlformats.org/officeDocument/2006/relationships/hyperlink" Target="https://www.jivi.com.ar/ficha.php?id=1448" TargetMode="External"/><Relationship Id="rId530" Type="http://schemas.openxmlformats.org/officeDocument/2006/relationships/hyperlink" Target="https://www.jivi.com.ar/ficha.php?id=1707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6" TargetMode="External"/><Relationship Id="rId225" Type="http://schemas.openxmlformats.org/officeDocument/2006/relationships/hyperlink" Target="https://www.jivi.com.ar/ficha.php?id=920" TargetMode="External"/><Relationship Id="rId267" Type="http://schemas.openxmlformats.org/officeDocument/2006/relationships/hyperlink" Target="https://www.jivi.com.ar/ficha.php?id=1387" TargetMode="External"/><Relationship Id="rId432" Type="http://schemas.openxmlformats.org/officeDocument/2006/relationships/hyperlink" Target="https://www.jivi.com.ar/ficha.php?id=1576" TargetMode="External"/><Relationship Id="rId474" Type="http://schemas.openxmlformats.org/officeDocument/2006/relationships/hyperlink" Target="https://www.jivi.com.ar/ficha.php?id=1616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59" TargetMode="External"/><Relationship Id="rId334" Type="http://schemas.openxmlformats.org/officeDocument/2006/relationships/hyperlink" Target="https://www.jivi.com.ar/ficha.php?id=1465" TargetMode="External"/><Relationship Id="rId376" Type="http://schemas.openxmlformats.org/officeDocument/2006/relationships/hyperlink" Target="https://www.jivi.com.ar/ficha.php?id=1524" TargetMode="External"/><Relationship Id="rId541" Type="http://schemas.openxmlformats.org/officeDocument/2006/relationships/hyperlink" Target="https://www.jivi.com.ar/ficha.php?id=1731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4" TargetMode="External"/><Relationship Id="rId236" Type="http://schemas.openxmlformats.org/officeDocument/2006/relationships/hyperlink" Target="https://www.jivi.com.ar/ficha.php?id=991" TargetMode="External"/><Relationship Id="rId278" Type="http://schemas.openxmlformats.org/officeDocument/2006/relationships/hyperlink" Target="https://www.jivi.com.ar/ficha.php?id=1262" TargetMode="External"/><Relationship Id="rId401" Type="http://schemas.openxmlformats.org/officeDocument/2006/relationships/hyperlink" Target="https://www.jivi.com.ar/ficha.php?id=1557" TargetMode="External"/><Relationship Id="rId443" Type="http://schemas.openxmlformats.org/officeDocument/2006/relationships/hyperlink" Target="https://www.jivi.com.ar/ficha.php?id=1589" TargetMode="External"/><Relationship Id="rId303" Type="http://schemas.openxmlformats.org/officeDocument/2006/relationships/hyperlink" Target="https://www.jivi.com.ar/ficha.php?id=1425" TargetMode="External"/><Relationship Id="rId485" Type="http://schemas.openxmlformats.org/officeDocument/2006/relationships/hyperlink" Target="https://www.jivi.com.ar/ficha.php?id=1635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ps://www.jivi.com.ar/ficha.php?id=1478" TargetMode="External"/><Relationship Id="rId387" Type="http://schemas.openxmlformats.org/officeDocument/2006/relationships/hyperlink" Target="https://www.jivi.com.ar/ficha.php?id=1363" TargetMode="External"/><Relationship Id="rId510" Type="http://schemas.openxmlformats.org/officeDocument/2006/relationships/hyperlink" Target="https://www.jivi.com.ar/ficha.php?id=1687" TargetMode="External"/><Relationship Id="rId552" Type="http://schemas.openxmlformats.org/officeDocument/2006/relationships/hyperlink" Target="https://www.jivi.com.ar/ficha.php?id=1743" TargetMode="External"/><Relationship Id="rId191" Type="http://schemas.openxmlformats.org/officeDocument/2006/relationships/hyperlink" Target="https://www.jivi.com.ar/ficha.php?id=1157" TargetMode="External"/><Relationship Id="rId205" Type="http://schemas.openxmlformats.org/officeDocument/2006/relationships/hyperlink" Target="https://www.jivi.com.ar/ficha.php?id=1183" TargetMode="External"/><Relationship Id="rId247" Type="http://schemas.openxmlformats.org/officeDocument/2006/relationships/hyperlink" Target="https://www.jivi.com.ar/ficha.php?id=1314" TargetMode="External"/><Relationship Id="rId412" Type="http://schemas.openxmlformats.org/officeDocument/2006/relationships/hyperlink" Target="https://www.jivi.com.ar/ficha.php?id=1409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405" TargetMode="External"/><Relationship Id="rId454" Type="http://schemas.openxmlformats.org/officeDocument/2006/relationships/hyperlink" Target="https://www.jivi.com.ar/ficha.php?id=1603" TargetMode="External"/><Relationship Id="rId496" Type="http://schemas.openxmlformats.org/officeDocument/2006/relationships/hyperlink" Target="https://www.jivi.com.ar/ficha.php?id=1652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427" TargetMode="External"/><Relationship Id="rId356" Type="http://schemas.openxmlformats.org/officeDocument/2006/relationships/hyperlink" Target="https://www.jivi.com.ar/ficha.php?id=1496" TargetMode="External"/><Relationship Id="rId398" Type="http://schemas.openxmlformats.org/officeDocument/2006/relationships/hyperlink" Target="https://www.jivi.com.ar/ficha.php?id=1554" TargetMode="External"/><Relationship Id="rId521" Type="http://schemas.openxmlformats.org/officeDocument/2006/relationships/hyperlink" Target="https://www.jivi.com.ar/ficha.php?id=1700" TargetMode="External"/><Relationship Id="rId563" Type="http://schemas.openxmlformats.org/officeDocument/2006/relationships/vmlDrawing" Target="../drawings/vmlDrawing1.vm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251" TargetMode="External"/><Relationship Id="rId216" Type="http://schemas.openxmlformats.org/officeDocument/2006/relationships/hyperlink" Target="https://www.jivi.com.ar/ficha.php?id=1223" TargetMode="External"/><Relationship Id="rId423" Type="http://schemas.openxmlformats.org/officeDocument/2006/relationships/hyperlink" Target="https://www.jivi.com.ar/ficha.php?id=218" TargetMode="External"/><Relationship Id="rId258" Type="http://schemas.openxmlformats.org/officeDocument/2006/relationships/hyperlink" Target="https://www.jivi.com.ar/registro.php" TargetMode="External"/><Relationship Id="rId465" Type="http://schemas.openxmlformats.org/officeDocument/2006/relationships/hyperlink" Target="https://www.jivi.com.ar/ficha.php?id=1610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450" TargetMode="External"/><Relationship Id="rId367" Type="http://schemas.openxmlformats.org/officeDocument/2006/relationships/hyperlink" Target="https://www.jivi.com.ar/ficha.php?id=1508" TargetMode="External"/><Relationship Id="rId532" Type="http://schemas.openxmlformats.org/officeDocument/2006/relationships/hyperlink" Target="https://www.jivi.com.ar/ficha.php?id=1720" TargetMode="External"/><Relationship Id="rId171" Type="http://schemas.openxmlformats.org/officeDocument/2006/relationships/hyperlink" Target="https://www.jivi.com.ar/ficha.php?id=1062" TargetMode="External"/><Relationship Id="rId227" Type="http://schemas.openxmlformats.org/officeDocument/2006/relationships/hyperlink" Target="https://www.jivi.com.ar/ficha.php?id=1248" TargetMode="External"/><Relationship Id="rId269" Type="http://schemas.openxmlformats.org/officeDocument/2006/relationships/hyperlink" Target="https://www.jivi.com.ar/ficha.php?id=1390" TargetMode="External"/><Relationship Id="rId434" Type="http://schemas.openxmlformats.org/officeDocument/2006/relationships/hyperlink" Target="https://www.jivi.com.ar/ficha.php?id=1580" TargetMode="External"/><Relationship Id="rId476" Type="http://schemas.openxmlformats.org/officeDocument/2006/relationships/hyperlink" Target="https://www.jivi.com.ar/ficha.php?id=1618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401" TargetMode="External"/><Relationship Id="rId336" Type="http://schemas.openxmlformats.org/officeDocument/2006/relationships/hyperlink" Target="https://www.jivi.com.ar/ficha.php?id=1467" TargetMode="External"/><Relationship Id="rId501" Type="http://schemas.openxmlformats.org/officeDocument/2006/relationships/hyperlink" Target="https://www.jivi.com.ar/ficha.php?id=1658" TargetMode="External"/><Relationship Id="rId543" Type="http://schemas.openxmlformats.org/officeDocument/2006/relationships/hyperlink" Target="https://www.jivi.com.ar/ficha.php?id=1733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7" TargetMode="External"/><Relationship Id="rId378" Type="http://schemas.openxmlformats.org/officeDocument/2006/relationships/hyperlink" Target="https://www.jivi.com.ar/ficha.php?id=1527" TargetMode="External"/><Relationship Id="rId403" Type="http://schemas.openxmlformats.org/officeDocument/2006/relationships/hyperlink" Target="https://www.jivi.com.ar/ficha.php?id=518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607" TargetMode="External"/><Relationship Id="rId445" Type="http://schemas.openxmlformats.org/officeDocument/2006/relationships/hyperlink" Target="https://www.jivi.com.ar/ficha.php?id=1591" TargetMode="External"/><Relationship Id="rId487" Type="http://schemas.openxmlformats.org/officeDocument/2006/relationships/hyperlink" Target="https://www.jivi.com.ar/ficha.php?id=968" TargetMode="External"/><Relationship Id="rId291" Type="http://schemas.openxmlformats.org/officeDocument/2006/relationships/hyperlink" Target="https://www.jivi.com.ar/ficha.php?id=1416" TargetMode="External"/><Relationship Id="rId305" Type="http://schemas.openxmlformats.org/officeDocument/2006/relationships/hyperlink" Target="https://www.jivi.com.ar/ficha.php?id=1429" TargetMode="External"/><Relationship Id="rId347" Type="http://schemas.openxmlformats.org/officeDocument/2006/relationships/hyperlink" Target="https://www.jivi.com.ar/ficha.php?id=1480" TargetMode="External"/><Relationship Id="rId512" Type="http://schemas.openxmlformats.org/officeDocument/2006/relationships/hyperlink" Target="https://www.jivi.com.ar/ficha.php?id=1690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1546" TargetMode="External"/><Relationship Id="rId554" Type="http://schemas.openxmlformats.org/officeDocument/2006/relationships/hyperlink" Target="https://www.jivi.com.ar/ficha.php?id=1745" TargetMode="External"/><Relationship Id="rId193" Type="http://schemas.openxmlformats.org/officeDocument/2006/relationships/hyperlink" Target="https://www.jivi.com.ar/ficha.php?id=1141" TargetMode="External"/><Relationship Id="rId207" Type="http://schemas.openxmlformats.org/officeDocument/2006/relationships/hyperlink" Target="https://www.jivi.com.ar/ficha.php?id=349" TargetMode="External"/><Relationship Id="rId249" Type="http://schemas.openxmlformats.org/officeDocument/2006/relationships/hyperlink" Target="https://www.jivi.com.ar/ficha.php?id=1344" TargetMode="External"/><Relationship Id="rId414" Type="http://schemas.openxmlformats.org/officeDocument/2006/relationships/hyperlink" Target="https://www.jivi.com.ar/ficha.php?id=1564" TargetMode="External"/><Relationship Id="rId456" Type="http://schemas.openxmlformats.org/officeDocument/2006/relationships/hyperlink" Target="https://www.jivi.com.ar/ficha.php?id=1604" TargetMode="External"/><Relationship Id="rId498" Type="http://schemas.openxmlformats.org/officeDocument/2006/relationships/hyperlink" Target="https://www.jivi.com.ar/ficha.php?id=1640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72" TargetMode="External"/><Relationship Id="rId316" Type="http://schemas.openxmlformats.org/officeDocument/2006/relationships/hyperlink" Target="https://www.jivi.com.ar/ficha.php?id=1056" TargetMode="External"/><Relationship Id="rId523" Type="http://schemas.openxmlformats.org/officeDocument/2006/relationships/hyperlink" Target="https://www.jivi.com.ar/ficha.php?id=1462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https://www.jivi.com.ar/ficha.php?id=1498" TargetMode="External"/><Relationship Id="rId162" Type="http://schemas.openxmlformats.org/officeDocument/2006/relationships/hyperlink" Target="https://www.jivi.com.ar/ficha.php?id=1023" TargetMode="External"/><Relationship Id="rId218" Type="http://schemas.openxmlformats.org/officeDocument/2006/relationships/hyperlink" Target="https://www.jivi.com.ar/ficha.php?id=1224" TargetMode="External"/><Relationship Id="rId425" Type="http://schemas.openxmlformats.org/officeDocument/2006/relationships/hyperlink" Target="https://www.jivi.com.ar/ficha.php?id=1573" TargetMode="External"/><Relationship Id="rId467" Type="http://schemas.openxmlformats.org/officeDocument/2006/relationships/hyperlink" Target="https://www.jivi.com.ar/ficha.php?id=1611" TargetMode="External"/><Relationship Id="rId271" Type="http://schemas.openxmlformats.org/officeDocument/2006/relationships/hyperlink" Target="https://www.jivi.com.ar/ficha.php?id=36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560" TargetMode="External"/><Relationship Id="rId369" Type="http://schemas.openxmlformats.org/officeDocument/2006/relationships/hyperlink" Target="https://www.jivi.com.ar/ficha.php?id=1511" TargetMode="External"/><Relationship Id="rId534" Type="http://schemas.openxmlformats.org/officeDocument/2006/relationships/hyperlink" Target="https://www.jivi.com.ar/ficha.php?id=1722" TargetMode="External"/><Relationship Id="rId173" Type="http://schemas.openxmlformats.org/officeDocument/2006/relationships/hyperlink" Target="https://www.jivi.com.ar/ficha.php?id=1080" TargetMode="External"/><Relationship Id="rId229" Type="http://schemas.openxmlformats.org/officeDocument/2006/relationships/hyperlink" Target="https://www.jivi.com.ar/ficha.php?id=1124" TargetMode="External"/><Relationship Id="rId380" Type="http://schemas.openxmlformats.org/officeDocument/2006/relationships/hyperlink" Target="https://www.jivi.com.ar/ficha.php?id=1534" TargetMode="External"/><Relationship Id="rId436" Type="http://schemas.openxmlformats.org/officeDocument/2006/relationships/hyperlink" Target="https://www.jivi.com.ar/ficha.php?id=1583" TargetMode="External"/><Relationship Id="rId240" Type="http://schemas.openxmlformats.org/officeDocument/2006/relationships/hyperlink" Target="https://www.jivi.com.ar/ficha.php?id=1303" TargetMode="External"/><Relationship Id="rId478" Type="http://schemas.openxmlformats.org/officeDocument/2006/relationships/hyperlink" Target="https://www.jivi.com.ar/ficha.php?id=1620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230" TargetMode="External"/><Relationship Id="rId338" Type="http://schemas.openxmlformats.org/officeDocument/2006/relationships/hyperlink" Target="https://www.jivi.com.ar/ficha.php?id=1470" TargetMode="External"/><Relationship Id="rId503" Type="http://schemas.openxmlformats.org/officeDocument/2006/relationships/hyperlink" Target="https://www.jivi.com.ar/ficha.php?id=1663" TargetMode="External"/><Relationship Id="rId545" Type="http://schemas.openxmlformats.org/officeDocument/2006/relationships/hyperlink" Target="https://www.jivi.com.ar/ficha.php?id=1734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885" TargetMode="External"/><Relationship Id="rId391" Type="http://schemas.openxmlformats.org/officeDocument/2006/relationships/hyperlink" Target="https://www.jivi.com.ar/ficha.php?id=981" TargetMode="External"/><Relationship Id="rId405" Type="http://schemas.openxmlformats.org/officeDocument/2006/relationships/hyperlink" Target="https://www.jivi.com.ar/ficha.php?id=26" TargetMode="External"/><Relationship Id="rId447" Type="http://schemas.openxmlformats.org/officeDocument/2006/relationships/hyperlink" Target="https://www.jivi.com.ar/ficha.php?id=1593" TargetMode="External"/><Relationship Id="rId251" Type="http://schemas.openxmlformats.org/officeDocument/2006/relationships/hyperlink" Target="https://www.jivi.com.ar/ficha.php?id=1346" TargetMode="External"/><Relationship Id="rId489" Type="http://schemas.openxmlformats.org/officeDocument/2006/relationships/hyperlink" Target="https://www.jivi.com.ar/ficha.php?id=1642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356" TargetMode="External"/><Relationship Id="rId307" Type="http://schemas.openxmlformats.org/officeDocument/2006/relationships/hyperlink" Target="https://www.jivi.com.ar/ficha.php?id=1432" TargetMode="External"/><Relationship Id="rId349" Type="http://schemas.openxmlformats.org/officeDocument/2006/relationships/hyperlink" Target="https://www.jivi.com.ar/ficha.php?id=1483" TargetMode="External"/><Relationship Id="rId514" Type="http://schemas.openxmlformats.org/officeDocument/2006/relationships/hyperlink" Target="https://www.jivi.com.ar/ficha.php?id=1692" TargetMode="External"/><Relationship Id="rId556" Type="http://schemas.openxmlformats.org/officeDocument/2006/relationships/hyperlink" Target="https://www.jivi.com.ar/ficha.php?id=1559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6" TargetMode="External"/><Relationship Id="rId209" Type="http://schemas.openxmlformats.org/officeDocument/2006/relationships/hyperlink" Target="https://www.jivi.com.ar/ficha.php?id=1192" TargetMode="External"/><Relationship Id="rId360" Type="http://schemas.openxmlformats.org/officeDocument/2006/relationships/hyperlink" Target="https://www.jivi.com.ar/ficha.php?id=1500" TargetMode="External"/><Relationship Id="rId416" Type="http://schemas.openxmlformats.org/officeDocument/2006/relationships/hyperlink" Target="https://www.jivi.com.ar/ficha.php?id=1434" TargetMode="External"/><Relationship Id="rId220" Type="http://schemas.openxmlformats.org/officeDocument/2006/relationships/hyperlink" Target="https://www.jivi.com.ar/ficha.php?id=1226" TargetMode="External"/><Relationship Id="rId458" Type="http://schemas.openxmlformats.org/officeDocument/2006/relationships/hyperlink" Target="https://www.jivi.com.ar/ficha.php?id=1424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2" TargetMode="External"/><Relationship Id="rId318" Type="http://schemas.openxmlformats.org/officeDocument/2006/relationships/hyperlink" Target="https://www.jivi.com.ar/ficha.php?id=1335" TargetMode="External"/><Relationship Id="rId525" Type="http://schemas.openxmlformats.org/officeDocument/2006/relationships/hyperlink" Target="https://www.jivi.com.ar/ficha.php?id=1528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1025" TargetMode="External"/><Relationship Id="rId371" Type="http://schemas.openxmlformats.org/officeDocument/2006/relationships/hyperlink" Target="https://www.jivi.com.ar/ficha.php?id=1515" TargetMode="External"/><Relationship Id="rId427" Type="http://schemas.openxmlformats.org/officeDocument/2006/relationships/hyperlink" Target="https://www.jivi.com.ar/ficha.php?id=1271" TargetMode="External"/><Relationship Id="rId469" Type="http://schemas.openxmlformats.org/officeDocument/2006/relationships/hyperlink" Target="https://www.jivi.com.ar/ficha.php?id=1613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7" TargetMode="External"/><Relationship Id="rId273" Type="http://schemas.openxmlformats.org/officeDocument/2006/relationships/hyperlink" Target="https://www.jivi.com.ar/ficha.php?id=1343" TargetMode="External"/><Relationship Id="rId329" Type="http://schemas.openxmlformats.org/officeDocument/2006/relationships/hyperlink" Target="https://www.jivi.com.ar/ficha.php?id=1063" TargetMode="External"/><Relationship Id="rId480" Type="http://schemas.openxmlformats.org/officeDocument/2006/relationships/hyperlink" Target="https://www.jivi.com.ar/ficha.php?id=998" TargetMode="External"/><Relationship Id="rId536" Type="http://schemas.openxmlformats.org/officeDocument/2006/relationships/hyperlink" Target="https://www.jivi.com.ar/ficha.php?id=1725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8" TargetMode="External"/><Relationship Id="rId340" Type="http://schemas.openxmlformats.org/officeDocument/2006/relationships/hyperlink" Target="https://www.jivi.com.ar/ficha.php?id=1472" TargetMode="External"/><Relationship Id="rId200" Type="http://schemas.openxmlformats.org/officeDocument/2006/relationships/hyperlink" Target="https://www.jivi.com.ar/ficha.php?id=975" TargetMode="External"/><Relationship Id="rId382" Type="http://schemas.openxmlformats.org/officeDocument/2006/relationships/hyperlink" Target="https://www.jivi.com.ar/ficha.php?id=1536" TargetMode="External"/><Relationship Id="rId438" Type="http://schemas.openxmlformats.org/officeDocument/2006/relationships/hyperlink" Target="https://www.jivi.com.ar/ficha.php?id=1586" TargetMode="External"/><Relationship Id="rId242" Type="http://schemas.openxmlformats.org/officeDocument/2006/relationships/hyperlink" Target="https://www.jivi.com.ar/ficha.php?id=1306" TargetMode="External"/><Relationship Id="rId284" Type="http://schemas.openxmlformats.org/officeDocument/2006/relationships/hyperlink" Target="https://www.jivi.com.ar/ficha.php?id=1111" TargetMode="External"/><Relationship Id="rId491" Type="http://schemas.openxmlformats.org/officeDocument/2006/relationships/hyperlink" Target="https://www.jivi.com.ar/ficha.php?id=1641" TargetMode="External"/><Relationship Id="rId505" Type="http://schemas.openxmlformats.org/officeDocument/2006/relationships/hyperlink" Target="https://www.jivi.com.ar/ficha.php?id=1664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hyperlink" Target="https://www.jivi.com.ar/ficha.php?id=1738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08" TargetMode="External"/><Relationship Id="rId351" Type="http://schemas.openxmlformats.org/officeDocument/2006/relationships/hyperlink" Target="https://www.jivi.com.ar/ficha.php?id=1488" TargetMode="External"/><Relationship Id="rId393" Type="http://schemas.openxmlformats.org/officeDocument/2006/relationships/hyperlink" Target="https://www.jivi.com.ar/ficha.php?id=1549" TargetMode="External"/><Relationship Id="rId407" Type="http://schemas.openxmlformats.org/officeDocument/2006/relationships/hyperlink" Target="https://www.jivi.com.ar/ficha.php?id=1562" TargetMode="External"/><Relationship Id="rId449" Type="http://schemas.openxmlformats.org/officeDocument/2006/relationships/hyperlink" Target="https://www.jivi.com.ar/ficha.php?id=1595" TargetMode="External"/><Relationship Id="rId211" Type="http://schemas.openxmlformats.org/officeDocument/2006/relationships/hyperlink" Target="https://www.jivi.com.ar/ficha.php?id=1209" TargetMode="External"/><Relationship Id="rId253" Type="http://schemas.openxmlformats.org/officeDocument/2006/relationships/hyperlink" Target="https://www.jivi.com.ar/ficha.php?id=1348" TargetMode="External"/><Relationship Id="rId295" Type="http://schemas.openxmlformats.org/officeDocument/2006/relationships/hyperlink" Target="https://www.jivi.com.ar/ficha.php?id=1353" TargetMode="External"/><Relationship Id="rId309" Type="http://schemas.openxmlformats.org/officeDocument/2006/relationships/hyperlink" Target="https://www.jivi.com.ar/ficha.php?id=1436" TargetMode="External"/><Relationship Id="rId460" Type="http://schemas.openxmlformats.org/officeDocument/2006/relationships/hyperlink" Target="https://www.jivi.com.ar/ficha.php?id=1520" TargetMode="External"/><Relationship Id="rId516" Type="http://schemas.openxmlformats.org/officeDocument/2006/relationships/hyperlink" Target="https://www.jivi.com.ar/ficha.php?id=1695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354" TargetMode="External"/><Relationship Id="rId558" Type="http://schemas.openxmlformats.org/officeDocument/2006/relationships/hyperlink" Target="https://www.jivi.com.ar/ficha.php?id=1748" TargetMode="External"/><Relationship Id="rId155" Type="http://schemas.openxmlformats.org/officeDocument/2006/relationships/hyperlink" Target="https://www.jivi.com.ar/ficha.php?id=967" TargetMode="External"/><Relationship Id="rId197" Type="http://schemas.openxmlformats.org/officeDocument/2006/relationships/hyperlink" Target="https://www.jivi.com.ar/ficha.php?id=1152" TargetMode="External"/><Relationship Id="rId362" Type="http://schemas.openxmlformats.org/officeDocument/2006/relationships/hyperlink" Target="https://www.jivi.com.ar/ficha.php?id=1503" TargetMode="External"/><Relationship Id="rId418" Type="http://schemas.openxmlformats.org/officeDocument/2006/relationships/hyperlink" Target="https://www.jivi.com.ar/ficha.php?id=1568" TargetMode="External"/><Relationship Id="rId222" Type="http://schemas.openxmlformats.org/officeDocument/2006/relationships/hyperlink" Target="https://www.jivi.com.ar/ficha.php?id=1060" TargetMode="External"/><Relationship Id="rId264" Type="http://schemas.openxmlformats.org/officeDocument/2006/relationships/hyperlink" Target="https://www.jivi.com.ar/ficha.php?id=1384" TargetMode="External"/><Relationship Id="rId471" Type="http://schemas.openxmlformats.org/officeDocument/2006/relationships/hyperlink" Target="https://www.jivi.com.ar/ficha.php?id=1452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977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49" TargetMode="External"/><Relationship Id="rId331" Type="http://schemas.openxmlformats.org/officeDocument/2006/relationships/hyperlink" Target="https://www.jivi.com.ar/ficha.php?id=969" TargetMode="External"/><Relationship Id="rId373" Type="http://schemas.openxmlformats.org/officeDocument/2006/relationships/hyperlink" Target="https://www.jivi.com.ar/ficha.php?id=1517" TargetMode="External"/><Relationship Id="rId429" Type="http://schemas.openxmlformats.org/officeDocument/2006/relationships/hyperlink" Target="https://www.jivi.com.ar/ficha.php?id=1139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7" TargetMode="External"/><Relationship Id="rId440" Type="http://schemas.openxmlformats.org/officeDocument/2006/relationships/hyperlink" Target="https://www.jivi.com.ar/ficha.php?id=122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872" TargetMode="External"/><Relationship Id="rId300" Type="http://schemas.openxmlformats.org/officeDocument/2006/relationships/hyperlink" Target="https://www.jivi.com.ar/ficha.php?id=1421" TargetMode="External"/><Relationship Id="rId482" Type="http://schemas.openxmlformats.org/officeDocument/2006/relationships/hyperlink" Target="https://www.jivi.com.ar/ficha.php?id=1621" TargetMode="External"/><Relationship Id="rId538" Type="http://schemas.openxmlformats.org/officeDocument/2006/relationships/hyperlink" Target="https://www.jivi.com.ar/ficha.php?id=1728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0" TargetMode="External"/><Relationship Id="rId342" Type="http://schemas.openxmlformats.org/officeDocument/2006/relationships/hyperlink" Target="https://www.jivi.com.ar/ficha.php?id=995" TargetMode="External"/><Relationship Id="rId384" Type="http://schemas.openxmlformats.org/officeDocument/2006/relationships/hyperlink" Target="https://www.jivi.com.ar/ficha.php?id=1540" TargetMode="External"/><Relationship Id="rId202" Type="http://schemas.openxmlformats.org/officeDocument/2006/relationships/hyperlink" Target="https://www.jivi.com.ar/ficha.php?id=1175" TargetMode="External"/><Relationship Id="rId244" Type="http://schemas.openxmlformats.org/officeDocument/2006/relationships/hyperlink" Target="https://www.jivi.com.ar/ficha.php?id=1287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376" TargetMode="External"/><Relationship Id="rId451" Type="http://schemas.openxmlformats.org/officeDocument/2006/relationships/hyperlink" Target="https://www.jivi.com.ar/ficha.php?id=1598" TargetMode="External"/><Relationship Id="rId493" Type="http://schemas.openxmlformats.org/officeDocument/2006/relationships/hyperlink" Target="https://www.jivi.com.ar/ficha.php?id=1638" TargetMode="External"/><Relationship Id="rId507" Type="http://schemas.openxmlformats.org/officeDocument/2006/relationships/hyperlink" Target="https://www.jivi.com.ar/ficha.php?id=1667" TargetMode="External"/><Relationship Id="rId549" Type="http://schemas.openxmlformats.org/officeDocument/2006/relationships/hyperlink" Target="https://www.jivi.com.ar/ficha.php?id=1740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19" TargetMode="External"/><Relationship Id="rId311" Type="http://schemas.openxmlformats.org/officeDocument/2006/relationships/hyperlink" Target="https://www.jivi.com.ar/ficha.php?id=1702" TargetMode="External"/><Relationship Id="rId353" Type="http://schemas.openxmlformats.org/officeDocument/2006/relationships/hyperlink" Target="https://www.jivi.com.ar/ficha.php?id=1493" TargetMode="External"/><Relationship Id="rId395" Type="http://schemas.openxmlformats.org/officeDocument/2006/relationships/hyperlink" Target="https://www.jivi.com.ar/ficha.php?id=1552" TargetMode="External"/><Relationship Id="rId409" Type="http://schemas.openxmlformats.org/officeDocument/2006/relationships/hyperlink" Target="https://www.jivi.com.ar/ficha.php?id=1414" TargetMode="External"/><Relationship Id="rId560" Type="http://schemas.openxmlformats.org/officeDocument/2006/relationships/hyperlink" Target="https://www.jivi.com.ar/ficha.php?id=1579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19" TargetMode="External"/><Relationship Id="rId420" Type="http://schemas.openxmlformats.org/officeDocument/2006/relationships/hyperlink" Target="https://www.jivi.com.ar/ficha.php?id=1570" TargetMode="External"/><Relationship Id="rId255" Type="http://schemas.openxmlformats.org/officeDocument/2006/relationships/hyperlink" Target="https://www.jivi.com.ar/ficha.php?id=1360" TargetMode="External"/><Relationship Id="rId297" Type="http://schemas.openxmlformats.org/officeDocument/2006/relationships/hyperlink" Target="https://www.jivi.com.ar/ficha.php?id=1418" TargetMode="External"/><Relationship Id="rId462" Type="http://schemas.openxmlformats.org/officeDocument/2006/relationships/hyperlink" Target="https://www.jivi.com.ar/ficha.php?id=1608" TargetMode="External"/><Relationship Id="rId518" Type="http://schemas.openxmlformats.org/officeDocument/2006/relationships/hyperlink" Target="https://www.jivi.com.ar/ficha.php?id=1697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850" TargetMode="External"/><Relationship Id="rId322" Type="http://schemas.openxmlformats.org/officeDocument/2006/relationships/hyperlink" Target="https://www.jivi.com.ar/ficha.php?id=1447" TargetMode="External"/><Relationship Id="rId364" Type="http://schemas.openxmlformats.org/officeDocument/2006/relationships/hyperlink" Target="https://www.jivi.com.ar/ficha.php?id=1505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72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883" TargetMode="External"/><Relationship Id="rId266" Type="http://schemas.openxmlformats.org/officeDocument/2006/relationships/hyperlink" Target="https://www.jivi.com.ar/ficha.php?id=1385" TargetMode="External"/><Relationship Id="rId431" Type="http://schemas.openxmlformats.org/officeDocument/2006/relationships/hyperlink" Target="https://www.jivi.com.ar/ficha.php?id=1574" TargetMode="External"/><Relationship Id="rId473" Type="http://schemas.openxmlformats.org/officeDocument/2006/relationships/hyperlink" Target="https://www.jivi.com.ar/ficha.php?id=1615" TargetMode="External"/><Relationship Id="rId529" Type="http://schemas.openxmlformats.org/officeDocument/2006/relationships/hyperlink" Target="https://www.jivi.com.ar/ficha.php?id=1456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46" TargetMode="External"/><Relationship Id="rId333" Type="http://schemas.openxmlformats.org/officeDocument/2006/relationships/hyperlink" Target="https://www.jivi.com.ar/ficha.php?id=1464" TargetMode="External"/><Relationship Id="rId540" Type="http://schemas.openxmlformats.org/officeDocument/2006/relationships/hyperlink" Target="https://www.jivi.com.ar/ficha.php?id=1730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665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80" TargetMode="External"/><Relationship Id="rId277" Type="http://schemas.openxmlformats.org/officeDocument/2006/relationships/hyperlink" Target="https://www.jivi.com.ar/ficha.php?id=1399" TargetMode="External"/><Relationship Id="rId400" Type="http://schemas.openxmlformats.org/officeDocument/2006/relationships/hyperlink" Target="https://www.jivi.com.ar/ficha.php?id=1555" TargetMode="External"/><Relationship Id="rId442" Type="http://schemas.openxmlformats.org/officeDocument/2006/relationships/hyperlink" Target="https://www.jivi.com.ar/ficha.php?id=1411" TargetMode="External"/><Relationship Id="rId484" Type="http://schemas.openxmlformats.org/officeDocument/2006/relationships/hyperlink" Target="https://www.jivi.com.ar/ficha.php?id=1634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3" TargetMode="External"/><Relationship Id="rId344" Type="http://schemas.openxmlformats.org/officeDocument/2006/relationships/hyperlink" Target="https://www.jivi.com.ar/ficha.php?id=835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5" TargetMode="External"/><Relationship Id="rId386" Type="http://schemas.openxmlformats.org/officeDocument/2006/relationships/hyperlink" Target="https://www.jivi.com.ar/ficha.php?id=1542" TargetMode="External"/><Relationship Id="rId551" Type="http://schemas.openxmlformats.org/officeDocument/2006/relationships/hyperlink" Target="https://www.jivi.com.ar/ficha.php?id=1575" TargetMode="External"/><Relationship Id="rId190" Type="http://schemas.openxmlformats.org/officeDocument/2006/relationships/hyperlink" Target="https://www.jivi.com.ar/ficha.php?id=1154" TargetMode="External"/><Relationship Id="rId204" Type="http://schemas.openxmlformats.org/officeDocument/2006/relationships/hyperlink" Target="https://www.jivi.com.ar/ficha.php?id=1182" TargetMode="External"/><Relationship Id="rId246" Type="http://schemas.openxmlformats.org/officeDocument/2006/relationships/hyperlink" Target="https://www.jivi.com.ar/ficha.php?id=1316" TargetMode="External"/><Relationship Id="rId288" Type="http://schemas.openxmlformats.org/officeDocument/2006/relationships/hyperlink" Target="https://www.jivi.com.ar/ficha.php?id=1393" TargetMode="External"/><Relationship Id="rId411" Type="http://schemas.openxmlformats.org/officeDocument/2006/relationships/hyperlink" Target="https://www.jivi.com.ar/ficha.php?id=1407" TargetMode="External"/><Relationship Id="rId453" Type="http://schemas.openxmlformats.org/officeDocument/2006/relationships/hyperlink" Target="https://www.jivi.com.ar/ficha.php?id=1602" TargetMode="External"/><Relationship Id="rId509" Type="http://schemas.openxmlformats.org/officeDocument/2006/relationships/hyperlink" Target="https://www.jivi.com.ar/ficha.php?id=1272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1442" TargetMode="External"/><Relationship Id="rId495" Type="http://schemas.openxmlformats.org/officeDocument/2006/relationships/hyperlink" Target="https://www.jivi.com.ar/ficha.php?id=1637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95" TargetMode="External"/><Relationship Id="rId397" Type="http://schemas.openxmlformats.org/officeDocument/2006/relationships/hyperlink" Target="https://www.jivi.com.ar/ficha.php?id=1553" TargetMode="External"/><Relationship Id="rId520" Type="http://schemas.openxmlformats.org/officeDocument/2006/relationships/hyperlink" Target="https://www.jivi.com.ar/ficha.php?id=1699" TargetMode="External"/><Relationship Id="rId562" Type="http://schemas.openxmlformats.org/officeDocument/2006/relationships/drawing" Target="../drawings/drawing1.xml"/><Relationship Id="rId215" Type="http://schemas.openxmlformats.org/officeDocument/2006/relationships/hyperlink" Target="https://www.jivi.com.ar/ficha.php?id=1222" TargetMode="External"/><Relationship Id="rId257" Type="http://schemas.openxmlformats.org/officeDocument/2006/relationships/hyperlink" Target="https://www.jivi.com.ar/ficha.php?id=1366" TargetMode="External"/><Relationship Id="rId422" Type="http://schemas.openxmlformats.org/officeDocument/2006/relationships/hyperlink" Target="https://www.jivi.com.ar/ficha.php?id=1518" TargetMode="External"/><Relationship Id="rId464" Type="http://schemas.openxmlformats.org/officeDocument/2006/relationships/hyperlink" Target="https://www.jivi.com.ar/ficha.php?id=1274" TargetMode="External"/><Relationship Id="rId299" Type="http://schemas.openxmlformats.org/officeDocument/2006/relationships/hyperlink" Target="https://www.jivi.com.ar/ficha.php?id=1420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0" TargetMode="External"/><Relationship Id="rId366" Type="http://schemas.openxmlformats.org/officeDocument/2006/relationships/hyperlink" Target="https://www.jivi.com.ar/ficha.php?id=1507" TargetMode="External"/><Relationship Id="rId226" Type="http://schemas.openxmlformats.org/officeDocument/2006/relationships/hyperlink" Target="https://www.jivi.com.ar/ficha.php?id=1055" TargetMode="External"/><Relationship Id="rId433" Type="http://schemas.openxmlformats.org/officeDocument/2006/relationships/hyperlink" Target="https://www.jivi.com.ar/ficha.php?id=1577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26" TargetMode="External"/><Relationship Id="rId500" Type="http://schemas.openxmlformats.org/officeDocument/2006/relationships/hyperlink" Target="https://www.jivi.com.ar/ficha.php?id=1657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378" TargetMode="External"/><Relationship Id="rId444" Type="http://schemas.openxmlformats.org/officeDocument/2006/relationships/hyperlink" Target="https://www.jivi.com.ar/ficha.php?id=1590" TargetMode="External"/><Relationship Id="rId290" Type="http://schemas.openxmlformats.org/officeDocument/2006/relationships/hyperlink" Target="https://www.jivi.com.ar/ficha.php?id=1413" TargetMode="External"/><Relationship Id="rId304" Type="http://schemas.openxmlformats.org/officeDocument/2006/relationships/hyperlink" Target="https://www.jivi.com.ar/ficha.php?id=1426" TargetMode="External"/><Relationship Id="rId388" Type="http://schemas.openxmlformats.org/officeDocument/2006/relationships/hyperlink" Target="https://www.jivi.com.ar/ficha.php?id=1545" TargetMode="External"/><Relationship Id="rId511" Type="http://schemas.openxmlformats.org/officeDocument/2006/relationships/hyperlink" Target="https://www.jivi.com.ar/ficha.php?id=1672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248" Type="http://schemas.openxmlformats.org/officeDocument/2006/relationships/hyperlink" Target="https://www.jivi.com.ar/ficha.php?id=1336" TargetMode="External"/><Relationship Id="rId455" Type="http://schemas.openxmlformats.org/officeDocument/2006/relationships/hyperlink" Target="https://www.jivi.com.ar/ficha.php?id=1224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216" TargetMode="External"/><Relationship Id="rId522" Type="http://schemas.openxmlformats.org/officeDocument/2006/relationships/hyperlink" Target="https://www.jivi.com.ar/ficha.php?id=1510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17" TargetMode="External"/><Relationship Id="rId399" Type="http://schemas.openxmlformats.org/officeDocument/2006/relationships/hyperlink" Target="https://www.jivi.com.ar/ficha.php?id=1397" TargetMode="External"/><Relationship Id="rId259" Type="http://schemas.openxmlformats.org/officeDocument/2006/relationships/hyperlink" Target="https://www.jivi.com.ar/ficha.php?id=864" TargetMode="External"/><Relationship Id="rId466" Type="http://schemas.openxmlformats.org/officeDocument/2006/relationships/hyperlink" Target="https://www.jivi.com.ar/ficha.php?id=1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1228" t="s">
        <v>0</v>
      </c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30"/>
      <c r="X1" s="178">
        <v>1</v>
      </c>
      <c r="Y1" s="1209" t="s">
        <v>1</v>
      </c>
      <c r="Z1" s="1210"/>
      <c r="AA1" s="1210"/>
      <c r="AB1" s="1210"/>
      <c r="AC1" s="1210"/>
      <c r="AD1" s="1211"/>
      <c r="AE1" s="1206" t="s">
        <v>2</v>
      </c>
      <c r="AF1" s="1207"/>
      <c r="AG1" s="1207"/>
      <c r="AH1" s="1207"/>
      <c r="AI1" s="1208"/>
      <c r="AJ1" s="1204" t="s">
        <v>3</v>
      </c>
      <c r="AK1" s="59"/>
      <c r="AL1" s="59"/>
      <c r="AM1" s="57"/>
    </row>
    <row r="2" spans="1:39" ht="14.25" customHeight="1" thickBot="1" x14ac:dyDescent="0.25">
      <c r="A2" s="20"/>
      <c r="B2" s="1257" t="s">
        <v>912</v>
      </c>
      <c r="C2" s="1258"/>
      <c r="D2" s="1258"/>
      <c r="E2" s="1258"/>
      <c r="F2" s="1258"/>
      <c r="G2" s="1258"/>
      <c r="H2" s="1258"/>
      <c r="I2" s="1258"/>
      <c r="J2" s="1258"/>
      <c r="K2" s="1258"/>
      <c r="L2" s="1258"/>
      <c r="M2" s="1258"/>
      <c r="N2" s="1258"/>
      <c r="O2" s="1258"/>
      <c r="P2" s="1258"/>
      <c r="Q2" s="1258"/>
      <c r="R2" s="1258"/>
      <c r="S2" s="1258"/>
      <c r="T2" s="1258"/>
      <c r="U2" s="1258"/>
      <c r="V2" s="1259"/>
      <c r="W2" s="1260"/>
      <c r="X2" s="497">
        <v>908</v>
      </c>
      <c r="Y2" s="1255" t="s">
        <v>4</v>
      </c>
      <c r="Z2" s="1255"/>
      <c r="AA2" s="1255"/>
      <c r="AB2" s="1255"/>
      <c r="AC2" s="1255"/>
      <c r="AD2" s="1256"/>
      <c r="AE2" s="1214" t="s">
        <v>5</v>
      </c>
      <c r="AF2" s="1215"/>
      <c r="AG2" s="1215"/>
      <c r="AH2" s="554"/>
      <c r="AI2" s="555"/>
      <c r="AJ2" s="1205"/>
      <c r="AK2" s="189"/>
      <c r="AL2" s="189"/>
      <c r="AM2" s="57"/>
    </row>
    <row r="3" spans="1:39" ht="15.75" customHeight="1" thickBot="1" x14ac:dyDescent="0.25">
      <c r="A3" s="20"/>
      <c r="B3" s="1231"/>
      <c r="C3" s="1232"/>
      <c r="D3" s="1233"/>
      <c r="E3" s="1248" t="s">
        <v>6</v>
      </c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  <c r="V3" s="1250"/>
      <c r="W3" s="1251"/>
      <c r="X3" s="1241" t="s">
        <v>445</v>
      </c>
      <c r="Y3" s="908"/>
      <c r="Z3" s="908"/>
      <c r="AA3" s="908"/>
      <c r="AB3" s="908"/>
      <c r="AC3" s="908"/>
      <c r="AD3" s="909"/>
      <c r="AE3" s="1212"/>
      <c r="AF3" s="1213"/>
      <c r="AG3" s="1213"/>
      <c r="AH3" s="1213"/>
      <c r="AI3" s="1213"/>
      <c r="AJ3" s="15"/>
      <c r="AK3" s="15"/>
      <c r="AL3" s="15"/>
      <c r="AM3" s="58"/>
    </row>
    <row r="4" spans="1:39" ht="21.75" customHeight="1" thickBot="1" x14ac:dyDescent="0.25">
      <c r="A4" s="20"/>
      <c r="B4" s="1234"/>
      <c r="C4" s="1232"/>
      <c r="D4" s="1233"/>
      <c r="E4" s="1252" t="s">
        <v>7</v>
      </c>
      <c r="F4" s="1253"/>
      <c r="G4" s="1253"/>
      <c r="H4" s="1253"/>
      <c r="I4" s="1253"/>
      <c r="J4" s="1253"/>
      <c r="K4" s="1253"/>
      <c r="L4" s="1253"/>
      <c r="M4" s="1253"/>
      <c r="N4" s="1253"/>
      <c r="O4" s="1253"/>
      <c r="P4" s="1253"/>
      <c r="Q4" s="1253"/>
      <c r="R4" s="1253"/>
      <c r="S4" s="1253"/>
      <c r="T4" s="1253"/>
      <c r="U4" s="1253"/>
      <c r="V4" s="1253"/>
      <c r="W4" s="1254"/>
      <c r="X4" s="1242"/>
      <c r="Y4" s="910"/>
      <c r="Z4" s="910"/>
      <c r="AA4" s="910"/>
      <c r="AB4" s="910"/>
      <c r="AC4" s="910"/>
      <c r="AD4" s="911"/>
      <c r="AE4" s="1213"/>
      <c r="AF4" s="1213"/>
      <c r="AG4" s="1213"/>
      <c r="AH4" s="1213"/>
      <c r="AI4" s="1213"/>
      <c r="AJ4" s="15"/>
      <c r="AK4" s="15"/>
      <c r="AL4" s="15"/>
      <c r="AM4" s="58"/>
    </row>
    <row r="5" spans="1:39" ht="23.25" customHeight="1" thickBot="1" x14ac:dyDescent="0.25">
      <c r="A5" s="20"/>
      <c r="B5" s="1235"/>
      <c r="C5" s="1236"/>
      <c r="D5" s="1237"/>
      <c r="E5" s="1238" t="s">
        <v>8</v>
      </c>
      <c r="F5" s="1239"/>
      <c r="G5" s="1239"/>
      <c r="H5" s="1239"/>
      <c r="I5" s="1239"/>
      <c r="J5" s="1239"/>
      <c r="K5" s="1239"/>
      <c r="L5" s="1239"/>
      <c r="M5" s="1239"/>
      <c r="N5" s="1239"/>
      <c r="O5" s="1239"/>
      <c r="P5" s="1239"/>
      <c r="Q5" s="1239"/>
      <c r="R5" s="1239"/>
      <c r="S5" s="1239"/>
      <c r="T5" s="1239"/>
      <c r="U5" s="1239"/>
      <c r="V5" s="1239"/>
      <c r="W5" s="1240"/>
      <c r="X5" s="1216"/>
      <c r="Y5" s="1217"/>
      <c r="Z5" s="1217"/>
      <c r="AA5" s="1217"/>
      <c r="AB5" s="1217"/>
      <c r="AC5" s="1217"/>
      <c r="AD5" s="1218"/>
      <c r="AE5" s="1190"/>
      <c r="AF5" s="1190"/>
      <c r="AG5" s="1190"/>
      <c r="AH5" s="1190"/>
      <c r="AI5" s="1190"/>
      <c r="AJ5" s="15"/>
      <c r="AK5" s="15"/>
      <c r="AL5" s="15"/>
      <c r="AM5" s="58"/>
    </row>
    <row r="6" spans="1:39" ht="12" customHeight="1" thickBot="1" x14ac:dyDescent="0.25">
      <c r="A6" s="20"/>
      <c r="B6" s="1200" t="s">
        <v>9</v>
      </c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2"/>
      <c r="X6" s="1219"/>
      <c r="Y6" s="1220"/>
      <c r="Z6" s="1220"/>
      <c r="AA6" s="1220"/>
      <c r="AB6" s="1220"/>
      <c r="AC6" s="1220"/>
      <c r="AD6" s="1221"/>
      <c r="AE6" s="1190"/>
      <c r="AF6" s="1190"/>
      <c r="AG6" s="1190"/>
      <c r="AH6" s="1190"/>
      <c r="AI6" s="1190"/>
      <c r="AJ6" s="15"/>
      <c r="AK6" s="15"/>
      <c r="AL6" s="15"/>
      <c r="AM6" s="58"/>
    </row>
    <row r="7" spans="1:39" ht="13.5" customHeight="1" thickBot="1" x14ac:dyDescent="0.25">
      <c r="A7" s="20"/>
      <c r="B7" s="1187" t="s">
        <v>10</v>
      </c>
      <c r="C7" s="1188"/>
      <c r="D7" s="1188"/>
      <c r="E7" s="1188"/>
      <c r="F7" s="1188"/>
      <c r="G7" s="1188"/>
      <c r="H7" s="1188"/>
      <c r="I7" s="1188"/>
      <c r="J7" s="1188"/>
      <c r="K7" s="1188"/>
      <c r="L7" s="1188"/>
      <c r="M7" s="1188"/>
      <c r="N7" s="1188"/>
      <c r="O7" s="1188"/>
      <c r="P7" s="1188"/>
      <c r="Q7" s="1188"/>
      <c r="R7" s="1188"/>
      <c r="S7" s="1188"/>
      <c r="T7" s="1188"/>
      <c r="U7" s="1188"/>
      <c r="V7" s="1188"/>
      <c r="W7" s="1189"/>
      <c r="X7" s="1222"/>
      <c r="Y7" s="1223"/>
      <c r="Z7" s="1223"/>
      <c r="AA7" s="1223"/>
      <c r="AB7" s="1223"/>
      <c r="AC7" s="1224"/>
      <c r="AD7" s="1225"/>
      <c r="AE7" s="1190"/>
      <c r="AF7" s="1190"/>
      <c r="AG7" s="1190"/>
      <c r="AH7" s="1190"/>
      <c r="AI7" s="1190"/>
    </row>
    <row r="8" spans="1:39" ht="14.25" customHeight="1" x14ac:dyDescent="0.2">
      <c r="A8" s="20"/>
      <c r="B8" s="768" t="s">
        <v>11</v>
      </c>
      <c r="C8" s="754" t="s">
        <v>12</v>
      </c>
      <c r="D8" s="755"/>
      <c r="E8" s="755"/>
      <c r="F8" s="780" t="s">
        <v>13</v>
      </c>
      <c r="G8" s="780" t="s">
        <v>13</v>
      </c>
      <c r="H8" s="1061" t="s">
        <v>14</v>
      </c>
      <c r="I8" s="1061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5"/>
      <c r="X8" s="770" t="s">
        <v>15</v>
      </c>
      <c r="Y8" s="771"/>
      <c r="Z8" s="771"/>
      <c r="AA8" s="1243"/>
      <c r="AB8" s="1226" t="s">
        <v>16</v>
      </c>
      <c r="AC8" s="1192" t="s">
        <v>17</v>
      </c>
      <c r="AD8" s="1193"/>
      <c r="AE8" s="1193"/>
      <c r="AF8" s="1193"/>
      <c r="AG8" s="1193"/>
      <c r="AH8" s="1193"/>
      <c r="AI8" s="1194"/>
    </row>
    <row r="9" spans="1:39" ht="11.25" customHeight="1" thickBot="1" x14ac:dyDescent="0.25">
      <c r="A9" s="20"/>
      <c r="B9" s="769"/>
      <c r="C9" s="756"/>
      <c r="D9" s="756"/>
      <c r="E9" s="756"/>
      <c r="F9" s="781"/>
      <c r="G9" s="781"/>
      <c r="H9" s="299"/>
      <c r="I9" s="295" t="s">
        <v>312</v>
      </c>
      <c r="J9" s="299"/>
      <c r="K9" s="295" t="s">
        <v>18</v>
      </c>
      <c r="L9" s="300"/>
      <c r="M9" s="300" t="s">
        <v>19</v>
      </c>
      <c r="N9" s="300"/>
      <c r="O9" s="295" t="s">
        <v>20</v>
      </c>
      <c r="P9" s="300"/>
      <c r="Q9" s="300" t="s">
        <v>314</v>
      </c>
      <c r="R9" s="300"/>
      <c r="S9" s="300" t="s">
        <v>21</v>
      </c>
      <c r="T9" s="300"/>
      <c r="U9" s="300" t="s">
        <v>22</v>
      </c>
      <c r="V9" s="300"/>
      <c r="W9" s="302" t="s">
        <v>23</v>
      </c>
      <c r="X9" s="772"/>
      <c r="Y9" s="773"/>
      <c r="Z9" s="773"/>
      <c r="AA9" s="1244"/>
      <c r="AB9" s="1227"/>
      <c r="AC9" s="1195"/>
      <c r="AD9" s="1196"/>
      <c r="AE9" s="1196"/>
      <c r="AF9" s="1196"/>
      <c r="AG9" s="1196"/>
      <c r="AH9" s="1196"/>
      <c r="AI9" s="1197"/>
    </row>
    <row r="10" spans="1:39" ht="12.6" customHeight="1" x14ac:dyDescent="0.2">
      <c r="A10" s="20"/>
      <c r="B10" s="775" t="s">
        <v>494</v>
      </c>
      <c r="C10" s="748"/>
      <c r="D10" s="748"/>
      <c r="E10" s="748"/>
      <c r="F10" s="391"/>
      <c r="G10" s="381"/>
      <c r="H10" s="366"/>
      <c r="I10" s="471"/>
      <c r="J10" s="108"/>
      <c r="K10" s="374"/>
      <c r="L10" s="108"/>
      <c r="M10" s="374"/>
      <c r="N10" s="108"/>
      <c r="O10" s="391"/>
      <c r="P10" s="366"/>
      <c r="Q10" s="471"/>
      <c r="R10" s="108"/>
      <c r="S10" s="391"/>
      <c r="T10" s="108"/>
      <c r="U10" s="391"/>
      <c r="V10" s="108"/>
      <c r="W10" s="391"/>
      <c r="X10" s="142"/>
      <c r="Y10" s="142"/>
      <c r="Z10" s="142"/>
      <c r="AA10" s="142"/>
      <c r="AB10" s="541">
        <v>11</v>
      </c>
      <c r="AE10" s="65"/>
      <c r="AF10" s="1191" t="s">
        <v>493</v>
      </c>
      <c r="AG10" s="1191"/>
      <c r="AH10" s="1191"/>
    </row>
    <row r="11" spans="1:39" ht="12.6" customHeight="1" x14ac:dyDescent="0.2">
      <c r="A11" s="20"/>
      <c r="B11" s="757" t="s">
        <v>847</v>
      </c>
      <c r="C11" s="758"/>
      <c r="D11" s="758"/>
      <c r="E11" s="759"/>
      <c r="F11" s="404">
        <v>557</v>
      </c>
      <c r="G11" s="382">
        <f t="shared" ref="G11" si="0">+F11*$X$1</f>
        <v>557</v>
      </c>
      <c r="H11" s="338"/>
      <c r="I11" s="424"/>
      <c r="J11" s="75">
        <f>F11+120</f>
        <v>677</v>
      </c>
      <c r="K11" s="348"/>
      <c r="L11" s="386"/>
      <c r="M11" s="348"/>
      <c r="N11" s="386">
        <f>F11+46</f>
        <v>603</v>
      </c>
      <c r="O11" s="348">
        <f t="shared" ref="O11" si="1">+N11*$X$1</f>
        <v>603</v>
      </c>
      <c r="P11" s="386">
        <f>F11+42</f>
        <v>599</v>
      </c>
      <c r="Q11" s="348">
        <f t="shared" ref="Q11" si="2">+P11*$X$1</f>
        <v>599</v>
      </c>
      <c r="R11" s="386">
        <f>F11+35</f>
        <v>592</v>
      </c>
      <c r="S11" s="348">
        <f t="shared" ref="S11" si="3">+R11*$X$1</f>
        <v>592</v>
      </c>
      <c r="T11" s="386">
        <f>F11+29</f>
        <v>586</v>
      </c>
      <c r="U11" s="348">
        <f t="shared" ref="U11" si="4">+T11*$X$1</f>
        <v>586</v>
      </c>
      <c r="V11" s="386">
        <f>F11+24</f>
        <v>581</v>
      </c>
      <c r="W11" s="348">
        <f t="shared" ref="W11" si="5">+V11*$X$1</f>
        <v>581</v>
      </c>
      <c r="X11" s="142"/>
      <c r="Y11" s="142"/>
      <c r="Z11" s="142"/>
      <c r="AA11" s="142"/>
      <c r="AB11" s="541">
        <v>13</v>
      </c>
      <c r="AE11" s="65"/>
      <c r="AF11" s="1191" t="s">
        <v>24</v>
      </c>
      <c r="AG11" s="1191"/>
      <c r="AH11" s="1191"/>
    </row>
    <row r="12" spans="1:39" ht="12.6" customHeight="1" x14ac:dyDescent="0.2">
      <c r="A12" s="20"/>
      <c r="B12" s="833" t="s">
        <v>848</v>
      </c>
      <c r="C12" s="701"/>
      <c r="D12" s="701"/>
      <c r="E12" s="702"/>
      <c r="F12" s="403">
        <v>639</v>
      </c>
      <c r="G12" s="381">
        <f t="shared" ref="G12" si="6">+F12*$X$1</f>
        <v>639</v>
      </c>
      <c r="H12" s="337"/>
      <c r="I12" s="425"/>
      <c r="J12" s="94">
        <f>F12+120</f>
        <v>759</v>
      </c>
      <c r="K12" s="349"/>
      <c r="L12" s="634"/>
      <c r="M12" s="349"/>
      <c r="N12" s="634">
        <f>F12+46</f>
        <v>685</v>
      </c>
      <c r="O12" s="349">
        <f t="shared" ref="O12" si="7">+N12*$X$1</f>
        <v>685</v>
      </c>
      <c r="P12" s="634">
        <f>F12+42</f>
        <v>681</v>
      </c>
      <c r="Q12" s="349">
        <f t="shared" ref="Q12" si="8">+P12*$X$1</f>
        <v>681</v>
      </c>
      <c r="R12" s="634">
        <f>F12+35</f>
        <v>674</v>
      </c>
      <c r="S12" s="349">
        <f t="shared" ref="S12" si="9">+R12*$X$1</f>
        <v>674</v>
      </c>
      <c r="T12" s="634">
        <f>F12+29</f>
        <v>668</v>
      </c>
      <c r="U12" s="349">
        <f t="shared" ref="U12" si="10">+T12*$X$1</f>
        <v>668</v>
      </c>
      <c r="V12" s="634">
        <f>F12+24</f>
        <v>663</v>
      </c>
      <c r="W12" s="349">
        <f t="shared" ref="W12" si="11">+V12*$X$1</f>
        <v>663</v>
      </c>
      <c r="X12" s="142"/>
      <c r="Y12" s="142"/>
      <c r="Z12" s="142"/>
      <c r="AA12" s="142"/>
      <c r="AB12" s="37"/>
      <c r="AE12" s="65"/>
      <c r="AF12" s="1191" t="s">
        <v>492</v>
      </c>
      <c r="AG12" s="1191"/>
      <c r="AH12" s="1191"/>
    </row>
    <row r="13" spans="1:39" ht="12.6" customHeight="1" x14ac:dyDescent="0.2">
      <c r="A13" s="20"/>
      <c r="B13" s="793" t="s">
        <v>846</v>
      </c>
      <c r="C13" s="729"/>
      <c r="D13" s="729"/>
      <c r="E13" s="729"/>
      <c r="F13" s="404">
        <v>960</v>
      </c>
      <c r="G13" s="382">
        <f t="shared" ref="G13:G14" si="12">+F13*$X$1</f>
        <v>960</v>
      </c>
      <c r="H13" s="338"/>
      <c r="I13" s="424"/>
      <c r="J13" s="594"/>
      <c r="K13" s="348"/>
      <c r="L13" s="386"/>
      <c r="M13" s="348"/>
      <c r="N13" s="386">
        <f>F13+46</f>
        <v>1006</v>
      </c>
      <c r="O13" s="348">
        <f t="shared" ref="O13" si="13">+N13*$X$1</f>
        <v>1006</v>
      </c>
      <c r="P13" s="386">
        <f>F13+42</f>
        <v>1002</v>
      </c>
      <c r="Q13" s="348">
        <f t="shared" ref="Q13" si="14">+P13*$X$1</f>
        <v>1002</v>
      </c>
      <c r="R13" s="386">
        <f>F13+35</f>
        <v>995</v>
      </c>
      <c r="S13" s="348">
        <f t="shared" ref="S13" si="15">+R13*$X$1</f>
        <v>995</v>
      </c>
      <c r="T13" s="386">
        <f>F13+29</f>
        <v>989</v>
      </c>
      <c r="U13" s="348">
        <f t="shared" ref="U13" si="16">+T13*$X$1</f>
        <v>989</v>
      </c>
      <c r="V13" s="386">
        <f>F13+24</f>
        <v>984</v>
      </c>
      <c r="W13" s="348">
        <f t="shared" ref="W13" si="17">+V13*$X$1</f>
        <v>984</v>
      </c>
      <c r="X13" s="142"/>
      <c r="Y13" s="142"/>
      <c r="Z13" s="142"/>
      <c r="AA13" s="142"/>
      <c r="AB13" s="541">
        <v>15</v>
      </c>
      <c r="AE13" s="65"/>
      <c r="AF13" s="1191" t="s">
        <v>434</v>
      </c>
      <c r="AG13" s="1191"/>
      <c r="AH13" s="1191"/>
      <c r="AI13" s="65"/>
      <c r="AK13" s="1006"/>
      <c r="AL13" s="1006"/>
      <c r="AM13" s="1006"/>
    </row>
    <row r="14" spans="1:39" ht="12.6" customHeight="1" x14ac:dyDescent="0.2">
      <c r="A14" s="20"/>
      <c r="B14" s="833" t="s">
        <v>498</v>
      </c>
      <c r="C14" s="701"/>
      <c r="D14" s="701"/>
      <c r="E14" s="702"/>
      <c r="F14" s="349">
        <v>490</v>
      </c>
      <c r="G14" s="381">
        <f t="shared" si="12"/>
        <v>490</v>
      </c>
      <c r="H14" s="337"/>
      <c r="I14" s="425"/>
      <c r="J14" s="634">
        <f>F14+65</f>
        <v>555</v>
      </c>
      <c r="K14" s="349">
        <f t="shared" ref="K14:K15" si="18">+J14*$X$1</f>
        <v>555</v>
      </c>
      <c r="L14" s="634">
        <f>F14+50</f>
        <v>540</v>
      </c>
      <c r="M14" s="349">
        <f t="shared" ref="M14:M15" si="19">+L14*$X$1</f>
        <v>540</v>
      </c>
      <c r="N14" s="634">
        <f>F14+36</f>
        <v>526</v>
      </c>
      <c r="O14" s="349">
        <f t="shared" ref="O14:O15" si="20">+N14*$X$1</f>
        <v>526</v>
      </c>
      <c r="P14" s="634">
        <f>F14+33</f>
        <v>523</v>
      </c>
      <c r="Q14" s="349">
        <f t="shared" ref="Q14:Q15" si="21">+P14*$X$1</f>
        <v>523</v>
      </c>
      <c r="R14" s="634">
        <f>F14+30</f>
        <v>520</v>
      </c>
      <c r="S14" s="349">
        <f t="shared" ref="S14:S15" si="22">+R14*$X$1</f>
        <v>520</v>
      </c>
      <c r="T14" s="634">
        <f>F14+26</f>
        <v>516</v>
      </c>
      <c r="U14" s="349">
        <f t="shared" ref="U14:U15" si="23">+T14*$X$1</f>
        <v>516</v>
      </c>
      <c r="V14" s="634"/>
      <c r="W14" s="349"/>
      <c r="X14" s="142"/>
      <c r="Y14" s="142"/>
      <c r="Z14" s="142"/>
      <c r="AA14" s="142"/>
      <c r="AB14" s="541">
        <v>17</v>
      </c>
      <c r="AE14" s="65"/>
      <c r="AF14" s="1191" t="s">
        <v>435</v>
      </c>
      <c r="AG14" s="1191"/>
      <c r="AH14" s="1191"/>
      <c r="AI14" s="65"/>
      <c r="AK14" s="229"/>
      <c r="AL14" s="229"/>
      <c r="AM14" s="229"/>
    </row>
    <row r="15" spans="1:39" ht="12.6" customHeight="1" x14ac:dyDescent="0.2">
      <c r="A15" s="20"/>
      <c r="B15" s="841" t="s">
        <v>865</v>
      </c>
      <c r="C15" s="704"/>
      <c r="D15" s="704"/>
      <c r="E15" s="705"/>
      <c r="F15" s="493">
        <f>34*X2</f>
        <v>30872</v>
      </c>
      <c r="G15" s="382">
        <f>+F15*$X$1</f>
        <v>30872</v>
      </c>
      <c r="H15" s="400">
        <f>F15+220</f>
        <v>31092</v>
      </c>
      <c r="I15" s="348">
        <f t="shared" ref="I15" si="24">+H15*$X$1</f>
        <v>31092</v>
      </c>
      <c r="J15" s="386">
        <f>F15+81</f>
        <v>30953</v>
      </c>
      <c r="K15" s="348">
        <f t="shared" si="18"/>
        <v>30953</v>
      </c>
      <c r="L15" s="386">
        <f>F15+70</f>
        <v>30942</v>
      </c>
      <c r="M15" s="348">
        <f t="shared" si="19"/>
        <v>30942</v>
      </c>
      <c r="N15" s="386">
        <f>F15+57</f>
        <v>30929</v>
      </c>
      <c r="O15" s="348">
        <f t="shared" si="20"/>
        <v>30929</v>
      </c>
      <c r="P15" s="386">
        <f>F15+55</f>
        <v>30927</v>
      </c>
      <c r="Q15" s="348">
        <f t="shared" si="21"/>
        <v>30927</v>
      </c>
      <c r="R15" s="386">
        <f>F15+51</f>
        <v>30923</v>
      </c>
      <c r="S15" s="348">
        <f t="shared" si="22"/>
        <v>30923</v>
      </c>
      <c r="T15" s="386">
        <f>F15+46</f>
        <v>30918</v>
      </c>
      <c r="U15" s="348">
        <f t="shared" si="23"/>
        <v>30918</v>
      </c>
      <c r="V15" s="386"/>
      <c r="W15" s="348"/>
      <c r="X15" s="711"/>
      <c r="Y15" s="709"/>
      <c r="Z15" s="709"/>
      <c r="AA15" s="710"/>
      <c r="AB15" s="541">
        <v>18</v>
      </c>
      <c r="AE15" s="76"/>
      <c r="AF15" s="995" t="s">
        <v>25</v>
      </c>
      <c r="AG15" s="995"/>
      <c r="AH15" s="995"/>
      <c r="AI15" s="995"/>
      <c r="AJ15" s="77"/>
    </row>
    <row r="16" spans="1:39" ht="12.6" customHeight="1" x14ac:dyDescent="0.2">
      <c r="A16" s="20"/>
      <c r="B16" s="833" t="s">
        <v>497</v>
      </c>
      <c r="C16" s="701"/>
      <c r="D16" s="701"/>
      <c r="E16" s="702"/>
      <c r="F16" s="492"/>
      <c r="G16" s="349"/>
      <c r="H16" s="337"/>
      <c r="I16" s="425"/>
      <c r="J16" s="483"/>
      <c r="K16" s="349"/>
      <c r="L16" s="483"/>
      <c r="M16" s="349"/>
      <c r="N16" s="483"/>
      <c r="O16" s="349"/>
      <c r="P16" s="483"/>
      <c r="Q16" s="349"/>
      <c r="R16" s="483"/>
      <c r="S16" s="349"/>
      <c r="T16" s="483"/>
      <c r="U16" s="349"/>
      <c r="V16" s="483"/>
      <c r="W16" s="349"/>
      <c r="X16" s="711"/>
      <c r="Y16" s="973"/>
      <c r="Z16" s="973"/>
      <c r="AA16" s="974"/>
      <c r="AB16" s="541">
        <v>22</v>
      </c>
      <c r="AF16" s="1191" t="s">
        <v>26</v>
      </c>
      <c r="AG16" s="1191"/>
      <c r="AH16" s="1191"/>
    </row>
    <row r="17" spans="1:37" ht="12.6" customHeight="1" x14ac:dyDescent="0.2">
      <c r="A17" s="102"/>
      <c r="B17" s="687" t="s">
        <v>27</v>
      </c>
      <c r="C17" s="717"/>
      <c r="D17" s="717"/>
      <c r="E17" s="718"/>
      <c r="F17" s="493">
        <f>4.1*X2</f>
        <v>3722.7999999999997</v>
      </c>
      <c r="G17" s="382">
        <f>+F17*$X$1</f>
        <v>3722.7999999999997</v>
      </c>
      <c r="H17" s="400">
        <f>F17+220</f>
        <v>3942.7999999999997</v>
      </c>
      <c r="I17" s="348">
        <f t="shared" ref="I17:I18" si="25">+H17*$X$1</f>
        <v>3942.7999999999997</v>
      </c>
      <c r="J17" s="386"/>
      <c r="K17" s="350"/>
      <c r="L17" s="386"/>
      <c r="M17" s="348"/>
      <c r="N17" s="386"/>
      <c r="O17" s="348"/>
      <c r="P17" s="109"/>
      <c r="Q17" s="1261" t="s">
        <v>155</v>
      </c>
      <c r="R17" s="1262"/>
      <c r="S17" s="1262"/>
      <c r="T17" s="1262"/>
      <c r="U17" s="1262"/>
      <c r="V17" s="1262"/>
      <c r="W17" s="1263"/>
      <c r="X17" s="711"/>
      <c r="Y17" s="709"/>
      <c r="Z17" s="709"/>
      <c r="AA17" s="710"/>
      <c r="AB17" s="541">
        <v>24</v>
      </c>
      <c r="AE17" s="76"/>
      <c r="AI17" s="103"/>
      <c r="AJ17" s="104"/>
    </row>
    <row r="18" spans="1:37" ht="12.6" customHeight="1" x14ac:dyDescent="0.2">
      <c r="A18" s="137"/>
      <c r="B18" s="833" t="s">
        <v>661</v>
      </c>
      <c r="C18" s="846"/>
      <c r="D18" s="846"/>
      <c r="E18" s="847"/>
      <c r="F18" s="492">
        <f>4.1*X2</f>
        <v>3722.7999999999997</v>
      </c>
      <c r="G18" s="381">
        <f>+F18*$X$1</f>
        <v>3722.7999999999997</v>
      </c>
      <c r="H18" s="400">
        <f>F18+220</f>
        <v>3942.7999999999997</v>
      </c>
      <c r="I18" s="349">
        <f t="shared" si="25"/>
        <v>3942.7999999999997</v>
      </c>
      <c r="J18" s="399"/>
      <c r="K18" s="351"/>
      <c r="L18" s="100"/>
      <c r="M18" s="351"/>
      <c r="N18" s="100">
        <f>F18+40</f>
        <v>3762.7999999999997</v>
      </c>
      <c r="O18" s="349"/>
      <c r="P18" s="337"/>
      <c r="Q18" s="1245" t="s">
        <v>155</v>
      </c>
      <c r="R18" s="1246"/>
      <c r="S18" s="1246"/>
      <c r="T18" s="1246"/>
      <c r="U18" s="1246"/>
      <c r="V18" s="1246"/>
      <c r="W18" s="1247"/>
      <c r="X18" s="279"/>
      <c r="Y18" s="208"/>
      <c r="Z18" s="208"/>
      <c r="AA18" s="207"/>
      <c r="AB18" s="541">
        <v>25</v>
      </c>
      <c r="AE18" s="76"/>
      <c r="AI18" s="103"/>
      <c r="AJ18" s="104"/>
    </row>
    <row r="19" spans="1:37" ht="12.6" customHeight="1" x14ac:dyDescent="0.2">
      <c r="A19" s="102"/>
      <c r="B19" s="793" t="s">
        <v>490</v>
      </c>
      <c r="C19" s="830"/>
      <c r="D19" s="830"/>
      <c r="E19" s="830"/>
      <c r="F19" s="375"/>
      <c r="G19" s="376"/>
      <c r="H19" s="344"/>
      <c r="I19" s="429"/>
      <c r="J19" s="341"/>
      <c r="K19" s="350"/>
      <c r="L19" s="121"/>
      <c r="M19" s="350"/>
      <c r="N19" s="121"/>
      <c r="O19" s="348"/>
      <c r="P19" s="344"/>
      <c r="Q19" s="429"/>
      <c r="R19" s="341"/>
      <c r="S19" s="348"/>
      <c r="T19" s="121"/>
      <c r="U19" s="350"/>
      <c r="V19" s="121"/>
      <c r="W19" s="348"/>
      <c r="X19" s="279"/>
      <c r="Y19" s="255"/>
      <c r="Z19" s="255"/>
      <c r="AA19" s="254"/>
      <c r="AB19" s="541">
        <v>28</v>
      </c>
      <c r="AE19" s="76"/>
      <c r="AF19" s="995" t="s">
        <v>504</v>
      </c>
      <c r="AG19" s="995"/>
      <c r="AH19" s="995"/>
      <c r="AI19" s="996"/>
      <c r="AJ19" s="996"/>
    </row>
    <row r="20" spans="1:37" ht="12.6" customHeight="1" x14ac:dyDescent="0.2">
      <c r="A20" s="136"/>
      <c r="B20" s="833" t="s">
        <v>28</v>
      </c>
      <c r="C20" s="701"/>
      <c r="D20" s="701"/>
      <c r="E20" s="702"/>
      <c r="F20" s="349"/>
      <c r="G20" s="417"/>
      <c r="H20" s="337"/>
      <c r="I20" s="425"/>
      <c r="J20" s="98"/>
      <c r="K20" s="351"/>
      <c r="L20" s="98"/>
      <c r="M20" s="349"/>
      <c r="N20" s="98"/>
      <c r="O20" s="349"/>
      <c r="P20" s="108"/>
      <c r="Q20" s="349"/>
      <c r="R20" s="98"/>
      <c r="S20" s="349"/>
      <c r="T20" s="98"/>
      <c r="U20" s="349"/>
      <c r="V20" s="100"/>
      <c r="W20" s="349"/>
      <c r="X20" s="711"/>
      <c r="Y20" s="709"/>
      <c r="Z20" s="709"/>
      <c r="AA20" s="710"/>
      <c r="AB20" s="37"/>
      <c r="AF20" s="995" t="s">
        <v>451</v>
      </c>
      <c r="AG20" s="995"/>
      <c r="AH20" s="995"/>
      <c r="AI20" s="996"/>
      <c r="AJ20" s="996"/>
    </row>
    <row r="21" spans="1:37" ht="12.6" customHeight="1" x14ac:dyDescent="0.2">
      <c r="A21" s="20"/>
      <c r="B21" s="687" t="s">
        <v>29</v>
      </c>
      <c r="C21" s="717"/>
      <c r="D21" s="717"/>
      <c r="E21" s="718"/>
      <c r="F21" s="348">
        <v>2900</v>
      </c>
      <c r="G21" s="382">
        <f t="shared" ref="G21:G27" si="26">+F21*$X$1</f>
        <v>2900</v>
      </c>
      <c r="H21" s="400">
        <f>F21+220</f>
        <v>3120</v>
      </c>
      <c r="I21" s="348">
        <f t="shared" ref="I21:I22" si="27">+H21*$X$1</f>
        <v>3120</v>
      </c>
      <c r="J21" s="386">
        <f>F21+81</f>
        <v>2981</v>
      </c>
      <c r="K21" s="348">
        <f t="shared" ref="K21" si="28">+J21*$X$1</f>
        <v>2981</v>
      </c>
      <c r="L21" s="386">
        <f>F21+70</f>
        <v>2970</v>
      </c>
      <c r="M21" s="348">
        <f t="shared" ref="M21" si="29">+L21*$X$1</f>
        <v>2970</v>
      </c>
      <c r="N21" s="386">
        <f>F21+57</f>
        <v>2957</v>
      </c>
      <c r="O21" s="348">
        <f t="shared" ref="O21" si="30">+N21*$X$1</f>
        <v>2957</v>
      </c>
      <c r="P21" s="386">
        <f>F21+55</f>
        <v>2955</v>
      </c>
      <c r="Q21" s="348">
        <f t="shared" ref="Q21" si="31">+P21*$X$1</f>
        <v>2955</v>
      </c>
      <c r="R21" s="386">
        <f>F21+51</f>
        <v>2951</v>
      </c>
      <c r="S21" s="348">
        <f t="shared" ref="S21" si="32">+R21*$X$1</f>
        <v>2951</v>
      </c>
      <c r="T21" s="386">
        <f>F21+46</f>
        <v>2946</v>
      </c>
      <c r="U21" s="348">
        <f t="shared" ref="U21" si="33">+T21*$X$1</f>
        <v>2946</v>
      </c>
      <c r="V21" s="386"/>
      <c r="W21" s="348"/>
      <c r="X21" s="711"/>
      <c r="Y21" s="709"/>
      <c r="Z21" s="709"/>
      <c r="AA21" s="710"/>
      <c r="AB21" s="541" t="s">
        <v>30</v>
      </c>
      <c r="AE21" s="76"/>
      <c r="AF21" s="995" t="s">
        <v>452</v>
      </c>
      <c r="AG21" s="995"/>
      <c r="AH21" s="995"/>
      <c r="AI21" s="995"/>
      <c r="AJ21" s="77"/>
    </row>
    <row r="22" spans="1:37" ht="12.6" customHeight="1" x14ac:dyDescent="0.2">
      <c r="A22" s="20"/>
      <c r="B22" s="774" t="s">
        <v>31</v>
      </c>
      <c r="C22" s="721"/>
      <c r="D22" s="721"/>
      <c r="E22" s="721"/>
      <c r="F22" s="349">
        <v>2900</v>
      </c>
      <c r="G22" s="381">
        <f t="shared" ref="G22" si="34">+F22*$X$1</f>
        <v>2900</v>
      </c>
      <c r="H22" s="400">
        <f>F22+220</f>
        <v>3120</v>
      </c>
      <c r="I22" s="349">
        <f t="shared" si="27"/>
        <v>3120</v>
      </c>
      <c r="J22" s="483">
        <f>F22+81</f>
        <v>2981</v>
      </c>
      <c r="K22" s="349">
        <f t="shared" ref="K22" si="35">+J22*$X$1</f>
        <v>2981</v>
      </c>
      <c r="L22" s="483">
        <f>F22+70</f>
        <v>2970</v>
      </c>
      <c r="M22" s="349">
        <f t="shared" ref="M22" si="36">+L22*$X$1</f>
        <v>2970</v>
      </c>
      <c r="N22" s="483">
        <f>F22+57</f>
        <v>2957</v>
      </c>
      <c r="O22" s="349">
        <f t="shared" ref="O22" si="37">+N22*$X$1</f>
        <v>2957</v>
      </c>
      <c r="P22" s="483">
        <f>F22+55</f>
        <v>2955</v>
      </c>
      <c r="Q22" s="349">
        <f t="shared" ref="Q22" si="38">+P22*$X$1</f>
        <v>2955</v>
      </c>
      <c r="R22" s="483">
        <f>F22+51</f>
        <v>2951</v>
      </c>
      <c r="S22" s="349">
        <f t="shared" ref="S22" si="39">+R22*$X$1</f>
        <v>2951</v>
      </c>
      <c r="T22" s="483">
        <f>F22+46</f>
        <v>2946</v>
      </c>
      <c r="U22" s="349">
        <f t="shared" ref="U22" si="40">+T22*$X$1</f>
        <v>2946</v>
      </c>
      <c r="V22" s="483"/>
      <c r="W22" s="349"/>
      <c r="X22" s="711"/>
      <c r="Y22" s="709"/>
      <c r="Z22" s="709"/>
      <c r="AA22" s="710"/>
      <c r="AB22" s="541" t="s">
        <v>32</v>
      </c>
      <c r="AE22" s="76"/>
      <c r="AF22" s="995" t="s">
        <v>474</v>
      </c>
      <c r="AG22" s="995"/>
      <c r="AH22" s="995"/>
      <c r="AI22" s="995"/>
      <c r="AJ22" s="996"/>
    </row>
    <row r="23" spans="1:37" ht="12.6" customHeight="1" x14ac:dyDescent="0.2">
      <c r="A23" s="20"/>
      <c r="B23" s="793" t="s">
        <v>405</v>
      </c>
      <c r="C23" s="729"/>
      <c r="D23" s="729"/>
      <c r="E23" s="729"/>
      <c r="F23" s="348">
        <v>595</v>
      </c>
      <c r="G23" s="435">
        <f t="shared" si="26"/>
        <v>595</v>
      </c>
      <c r="H23" s="344"/>
      <c r="I23" s="456"/>
      <c r="J23" s="225"/>
      <c r="K23" s="350"/>
      <c r="L23" s="121"/>
      <c r="M23" s="350"/>
      <c r="N23" s="121"/>
      <c r="O23" s="348"/>
      <c r="P23" s="338"/>
      <c r="Q23" s="424"/>
      <c r="R23" s="386"/>
      <c r="S23" s="348"/>
      <c r="T23" s="386"/>
      <c r="U23" s="348"/>
      <c r="V23" s="386"/>
      <c r="W23" s="348"/>
      <c r="X23" s="142"/>
      <c r="Y23" s="142"/>
      <c r="Z23" s="142"/>
      <c r="AA23" s="142"/>
      <c r="AB23" s="541">
        <v>35</v>
      </c>
      <c r="AE23" s="76"/>
      <c r="AF23" s="995" t="s">
        <v>406</v>
      </c>
      <c r="AG23" s="996"/>
      <c r="AH23" s="996"/>
      <c r="AI23" s="996"/>
      <c r="AJ23" s="77"/>
    </row>
    <row r="24" spans="1:37" ht="12.6" customHeight="1" x14ac:dyDescent="0.2">
      <c r="A24" s="20"/>
      <c r="B24" s="774" t="s">
        <v>404</v>
      </c>
      <c r="C24" s="721"/>
      <c r="D24" s="721"/>
      <c r="E24" s="721"/>
      <c r="F24" s="349">
        <v>1930</v>
      </c>
      <c r="G24" s="417">
        <f t="shared" si="26"/>
        <v>1930</v>
      </c>
      <c r="H24" s="337"/>
      <c r="I24" s="425"/>
      <c r="J24" s="131"/>
      <c r="K24" s="349"/>
      <c r="L24" s="483"/>
      <c r="M24" s="349"/>
      <c r="N24" s="483"/>
      <c r="O24" s="349"/>
      <c r="P24" s="337"/>
      <c r="Q24" s="425"/>
      <c r="R24" s="483"/>
      <c r="S24" s="457"/>
      <c r="T24" s="108"/>
      <c r="U24" s="391"/>
      <c r="V24" s="108"/>
      <c r="W24" s="349"/>
      <c r="X24" s="142"/>
      <c r="Y24" s="142"/>
      <c r="Z24" s="142"/>
      <c r="AA24" s="142"/>
      <c r="AB24" s="541">
        <v>36</v>
      </c>
      <c r="AE24" s="76"/>
      <c r="AF24" s="995" t="s">
        <v>597</v>
      </c>
      <c r="AG24" s="995"/>
      <c r="AH24" s="995"/>
      <c r="AI24" s="995"/>
      <c r="AJ24" s="77"/>
    </row>
    <row r="25" spans="1:37" ht="12.6" customHeight="1" x14ac:dyDescent="0.2">
      <c r="A25" s="20"/>
      <c r="B25" s="793" t="s">
        <v>33</v>
      </c>
      <c r="C25" s="729"/>
      <c r="D25" s="729"/>
      <c r="E25" s="729"/>
      <c r="F25" s="348">
        <v>1930</v>
      </c>
      <c r="G25" s="376">
        <f t="shared" si="26"/>
        <v>1930</v>
      </c>
      <c r="H25" s="344"/>
      <c r="I25" s="429"/>
      <c r="J25" s="132"/>
      <c r="K25" s="348"/>
      <c r="L25" s="386"/>
      <c r="M25" s="348"/>
      <c r="N25" s="386"/>
      <c r="O25" s="348"/>
      <c r="P25" s="344"/>
      <c r="Q25" s="429"/>
      <c r="R25" s="386"/>
      <c r="S25" s="395"/>
      <c r="T25" s="386"/>
      <c r="U25" s="348"/>
      <c r="V25" s="386"/>
      <c r="W25" s="348"/>
      <c r="X25" s="142"/>
      <c r="Y25" s="142"/>
      <c r="Z25" s="142"/>
      <c r="AA25" s="142"/>
      <c r="AB25" s="541" t="s">
        <v>34</v>
      </c>
      <c r="AE25" s="76"/>
      <c r="AF25" s="995" t="s">
        <v>35</v>
      </c>
      <c r="AG25" s="995"/>
      <c r="AH25" s="995"/>
      <c r="AI25" s="995"/>
      <c r="AJ25" s="77"/>
    </row>
    <row r="26" spans="1:37" ht="12.6" customHeight="1" x14ac:dyDescent="0.2">
      <c r="A26" s="20"/>
      <c r="B26" s="774" t="s">
        <v>36</v>
      </c>
      <c r="C26" s="721"/>
      <c r="D26" s="721"/>
      <c r="E26" s="721"/>
      <c r="F26" s="349"/>
      <c r="G26" s="417"/>
      <c r="H26" s="337"/>
      <c r="I26" s="425"/>
      <c r="J26" s="131"/>
      <c r="K26" s="349"/>
      <c r="L26" s="483"/>
      <c r="M26" s="349"/>
      <c r="N26" s="483"/>
      <c r="O26" s="349"/>
      <c r="P26" s="483"/>
      <c r="Q26" s="349"/>
      <c r="R26" s="483"/>
      <c r="S26" s="486"/>
      <c r="T26" s="483"/>
      <c r="U26" s="374"/>
      <c r="V26" s="483"/>
      <c r="W26" s="349"/>
      <c r="X26" s="142"/>
      <c r="Y26" s="142"/>
      <c r="Z26" s="142"/>
      <c r="AA26" s="142"/>
      <c r="AB26" s="541" t="s">
        <v>37</v>
      </c>
      <c r="AD26" s="25"/>
      <c r="AE26" s="78"/>
      <c r="AF26" s="995" t="s">
        <v>38</v>
      </c>
      <c r="AG26" s="996"/>
      <c r="AH26" s="996"/>
      <c r="AI26" s="996"/>
      <c r="AJ26" s="77"/>
    </row>
    <row r="27" spans="1:37" ht="12.6" customHeight="1" x14ac:dyDescent="0.2">
      <c r="A27" s="20"/>
      <c r="B27" s="687" t="s">
        <v>39</v>
      </c>
      <c r="C27" s="717"/>
      <c r="D27" s="717"/>
      <c r="E27" s="718"/>
      <c r="F27" s="487">
        <f>5.8*X2</f>
        <v>5266.4</v>
      </c>
      <c r="G27" s="348">
        <f t="shared" si="26"/>
        <v>5266.4</v>
      </c>
      <c r="H27" s="338"/>
      <c r="I27" s="424"/>
      <c r="J27" s="386">
        <f>F27+50</f>
        <v>5316.4</v>
      </c>
      <c r="K27" s="348"/>
      <c r="L27" s="386">
        <f>F27+70</f>
        <v>5336.4</v>
      </c>
      <c r="M27" s="348">
        <f t="shared" ref="M27" si="41">+L27*$X$1</f>
        <v>5336.4</v>
      </c>
      <c r="N27" s="386">
        <f>F27+57</f>
        <v>5323.4</v>
      </c>
      <c r="O27" s="348">
        <f t="shared" ref="O27" si="42">+N27*$X$1</f>
        <v>5323.4</v>
      </c>
      <c r="P27" s="386">
        <f>F27+55</f>
        <v>5321.4</v>
      </c>
      <c r="Q27" s="348">
        <f t="shared" ref="Q27" si="43">+P27*$X$1</f>
        <v>5321.4</v>
      </c>
      <c r="R27" s="386">
        <f>F27+51</f>
        <v>5317.4</v>
      </c>
      <c r="S27" s="348">
        <f t="shared" ref="S27" si="44">+R27*$X$1</f>
        <v>5317.4</v>
      </c>
      <c r="T27" s="386">
        <f>F27+46</f>
        <v>5312.4</v>
      </c>
      <c r="U27" s="348">
        <f t="shared" ref="U27" si="45">+T27*$X$1</f>
        <v>5312.4</v>
      </c>
      <c r="V27" s="386"/>
      <c r="W27" s="348"/>
      <c r="X27" s="711"/>
      <c r="Y27" s="1007"/>
      <c r="Z27" s="1007"/>
      <c r="AA27" s="936"/>
      <c r="AB27" s="541">
        <v>39</v>
      </c>
      <c r="AE27" s="76"/>
      <c r="AF27" s="995" t="s">
        <v>911</v>
      </c>
      <c r="AG27" s="995"/>
      <c r="AH27" s="995"/>
      <c r="AI27" s="996"/>
      <c r="AJ27" s="996"/>
    </row>
    <row r="28" spans="1:37" ht="12.6" customHeight="1" x14ac:dyDescent="0.2">
      <c r="A28" s="20"/>
      <c r="B28" s="1039" t="s">
        <v>40</v>
      </c>
      <c r="C28" s="1040"/>
      <c r="D28" s="1040"/>
      <c r="E28" s="1041"/>
      <c r="F28" s="351"/>
      <c r="G28" s="349"/>
      <c r="H28" s="337"/>
      <c r="I28" s="425"/>
      <c r="J28" s="131"/>
      <c r="K28" s="349"/>
      <c r="L28" s="483">
        <f>6.421*X2</f>
        <v>5830.268</v>
      </c>
      <c r="M28" s="349">
        <f t="shared" ref="M28:M31" si="46">+L28*$X$1</f>
        <v>5830.268</v>
      </c>
      <c r="N28" s="483">
        <f>6.147*X2</f>
        <v>5581.4760000000006</v>
      </c>
      <c r="O28" s="349">
        <f t="shared" ref="O28" si="47">+N28*$X$1</f>
        <v>5581.4760000000006</v>
      </c>
      <c r="P28" s="339">
        <f>6.01*X2</f>
        <v>5457.08</v>
      </c>
      <c r="Q28" s="349">
        <f t="shared" ref="Q28:Q31" si="48">+P28*$X$1</f>
        <v>5457.08</v>
      </c>
      <c r="R28" s="483">
        <f>5.875*X2</f>
        <v>5334.5</v>
      </c>
      <c r="S28" s="394">
        <f t="shared" ref="S28" si="49">+R28*$X$1</f>
        <v>5334.5</v>
      </c>
      <c r="T28" s="100">
        <f>5.793*X2</f>
        <v>5260.0439999999999</v>
      </c>
      <c r="U28" s="431">
        <f t="shared" ref="U28" si="50">+T28*$X$1</f>
        <v>5260.0439999999999</v>
      </c>
      <c r="V28" s="100"/>
      <c r="W28" s="349"/>
      <c r="X28" s="141"/>
      <c r="Y28" s="142"/>
      <c r="Z28" s="142"/>
      <c r="AA28" s="142"/>
      <c r="AB28" s="541" t="s">
        <v>41</v>
      </c>
      <c r="AE28" s="76"/>
      <c r="AF28" s="995" t="s">
        <v>42</v>
      </c>
      <c r="AG28" s="995"/>
      <c r="AH28" s="995"/>
      <c r="AI28" s="995"/>
      <c r="AJ28" s="77"/>
    </row>
    <row r="29" spans="1:37" ht="12.6" customHeight="1" x14ac:dyDescent="0.2">
      <c r="A29" s="20"/>
      <c r="B29" s="793" t="s">
        <v>43</v>
      </c>
      <c r="C29" s="729"/>
      <c r="D29" s="729"/>
      <c r="E29" s="729"/>
      <c r="F29" s="487">
        <f>4.1*X2</f>
        <v>3722.7999999999997</v>
      </c>
      <c r="G29" s="348">
        <f>+F29*$X$1</f>
        <v>3722.7999999999997</v>
      </c>
      <c r="H29" s="338"/>
      <c r="I29" s="424"/>
      <c r="J29" s="132"/>
      <c r="K29" s="348"/>
      <c r="L29" s="386">
        <f>F29+200</f>
        <v>3922.7999999999997</v>
      </c>
      <c r="M29" s="348">
        <f t="shared" si="46"/>
        <v>3922.7999999999997</v>
      </c>
      <c r="N29" s="386">
        <f>F29+160</f>
        <v>3882.7999999999997</v>
      </c>
      <c r="O29" s="348">
        <f>+N29*$X$1</f>
        <v>3882.7999999999997</v>
      </c>
      <c r="P29" s="109">
        <f>F29+120</f>
        <v>3842.7999999999997</v>
      </c>
      <c r="Q29" s="348">
        <f t="shared" si="48"/>
        <v>3842.7999999999997</v>
      </c>
      <c r="R29" s="386">
        <f>F29+100</f>
        <v>3822.7999999999997</v>
      </c>
      <c r="S29" s="395">
        <f t="shared" ref="S29:S31" si="51">+R29*$X$1</f>
        <v>3822.7999999999997</v>
      </c>
      <c r="T29" s="386">
        <f>F29+75</f>
        <v>3797.7999999999997</v>
      </c>
      <c r="U29" s="348">
        <f t="shared" ref="U29:U31" si="52">+T29*$X$1</f>
        <v>3797.7999999999997</v>
      </c>
      <c r="V29" s="386"/>
      <c r="W29" s="348"/>
      <c r="X29" s="970"/>
      <c r="Y29" s="1007"/>
      <c r="Z29" s="1007"/>
      <c r="AA29" s="936"/>
      <c r="AB29" s="541">
        <v>40</v>
      </c>
      <c r="AE29" s="76"/>
      <c r="AF29" s="995" t="s">
        <v>44</v>
      </c>
      <c r="AG29" s="995"/>
      <c r="AH29" s="995"/>
      <c r="AI29" s="995"/>
      <c r="AJ29" s="996"/>
    </row>
    <row r="30" spans="1:37" ht="12.6" customHeight="1" x14ac:dyDescent="0.2">
      <c r="A30" s="20"/>
      <c r="B30" s="833" t="s">
        <v>422</v>
      </c>
      <c r="C30" s="701"/>
      <c r="D30" s="701"/>
      <c r="E30" s="702"/>
      <c r="F30" s="492">
        <f>6.7*X2</f>
        <v>6083.6</v>
      </c>
      <c r="G30" s="349">
        <f>+F30*$X$1</f>
        <v>6083.6</v>
      </c>
      <c r="H30" s="337"/>
      <c r="I30" s="425"/>
      <c r="J30" s="593">
        <f>F30+81</f>
        <v>6164.6</v>
      </c>
      <c r="K30" s="349">
        <f t="shared" ref="K30" si="53">+J30*$X$1</f>
        <v>6164.6</v>
      </c>
      <c r="L30" s="593">
        <f>F30+70</f>
        <v>6153.6</v>
      </c>
      <c r="M30" s="349">
        <f t="shared" si="46"/>
        <v>6153.6</v>
      </c>
      <c r="N30" s="593">
        <f>F30+57</f>
        <v>6140.6</v>
      </c>
      <c r="O30" s="349">
        <f t="shared" ref="O30:O31" si="54">+N30*$X$1</f>
        <v>6140.6</v>
      </c>
      <c r="P30" s="593">
        <f>F30+55</f>
        <v>6138.6</v>
      </c>
      <c r="Q30" s="349">
        <f t="shared" si="48"/>
        <v>6138.6</v>
      </c>
      <c r="R30" s="593">
        <f>F30+51</f>
        <v>6134.6</v>
      </c>
      <c r="S30" s="349">
        <f t="shared" si="51"/>
        <v>6134.6</v>
      </c>
      <c r="T30" s="593">
        <f>F30+46</f>
        <v>6129.6</v>
      </c>
      <c r="U30" s="349">
        <f t="shared" si="52"/>
        <v>6129.6</v>
      </c>
      <c r="V30" s="593"/>
      <c r="W30" s="349"/>
      <c r="X30" s="232"/>
      <c r="Y30" s="179"/>
      <c r="Z30" s="179"/>
      <c r="AA30" s="180"/>
      <c r="AB30" s="541">
        <v>44</v>
      </c>
      <c r="AE30" s="76"/>
      <c r="AF30" s="995" t="s">
        <v>407</v>
      </c>
      <c r="AG30" s="995"/>
      <c r="AH30" s="995"/>
      <c r="AI30" s="995"/>
      <c r="AJ30" s="995"/>
      <c r="AK30" s="69"/>
    </row>
    <row r="31" spans="1:37" ht="12.6" customHeight="1" x14ac:dyDescent="0.2">
      <c r="A31" s="20"/>
      <c r="B31" s="693" t="s">
        <v>819</v>
      </c>
      <c r="C31" s="694"/>
      <c r="D31" s="694"/>
      <c r="E31" s="694"/>
      <c r="F31" s="487">
        <f>0.485*X2</f>
        <v>440.38</v>
      </c>
      <c r="G31" s="348">
        <f>+F31*$X$1</f>
        <v>440.38</v>
      </c>
      <c r="H31" s="338"/>
      <c r="I31" s="424"/>
      <c r="J31" s="594"/>
      <c r="K31" s="348"/>
      <c r="L31" s="386">
        <f>F31+74</f>
        <v>514.38</v>
      </c>
      <c r="M31" s="348">
        <f t="shared" si="46"/>
        <v>514.38</v>
      </c>
      <c r="N31" s="386">
        <f>F31+46</f>
        <v>486.38</v>
      </c>
      <c r="O31" s="348">
        <f t="shared" si="54"/>
        <v>486.38</v>
      </c>
      <c r="P31" s="386">
        <f>F31+42</f>
        <v>482.38</v>
      </c>
      <c r="Q31" s="348">
        <f t="shared" si="48"/>
        <v>482.38</v>
      </c>
      <c r="R31" s="386">
        <f>F31+35</f>
        <v>475.38</v>
      </c>
      <c r="S31" s="348">
        <f t="shared" si="51"/>
        <v>475.38</v>
      </c>
      <c r="T31" s="386">
        <f>F31+29</f>
        <v>469.38</v>
      </c>
      <c r="U31" s="348">
        <f t="shared" si="52"/>
        <v>469.38</v>
      </c>
      <c r="V31" s="386">
        <f>F31+24</f>
        <v>464.38</v>
      </c>
      <c r="W31" s="348">
        <f t="shared" ref="W31" si="55">+V31*$X$1</f>
        <v>464.38</v>
      </c>
      <c r="X31" s="142"/>
      <c r="Y31" s="142"/>
      <c r="Z31" s="142"/>
      <c r="AA31" s="142"/>
      <c r="AB31" s="541">
        <v>45</v>
      </c>
      <c r="AF31" s="995" t="s">
        <v>910</v>
      </c>
      <c r="AG31" s="995"/>
      <c r="AH31" s="995"/>
      <c r="AI31" s="995"/>
      <c r="AJ31" s="995"/>
    </row>
    <row r="32" spans="1:37" ht="12.6" customHeight="1" x14ac:dyDescent="0.2">
      <c r="A32" s="20"/>
      <c r="B32" s="774" t="s">
        <v>45</v>
      </c>
      <c r="C32" s="721"/>
      <c r="D32" s="721"/>
      <c r="E32" s="721"/>
      <c r="F32" s="349">
        <v>456</v>
      </c>
      <c r="G32" s="381">
        <f t="shared" ref="G32:G40" si="56">+F32*$X$1</f>
        <v>456</v>
      </c>
      <c r="H32" s="1011" t="s">
        <v>46</v>
      </c>
      <c r="I32" s="1011"/>
      <c r="J32" s="1012"/>
      <c r="K32" s="1013"/>
      <c r="L32" s="337"/>
      <c r="M32" s="425"/>
      <c r="N32" s="95">
        <v>1375</v>
      </c>
      <c r="O32" s="381">
        <f t="shared" ref="O32:O43" si="57">+N32*$X$1</f>
        <v>1375</v>
      </c>
      <c r="P32" s="339">
        <v>1265</v>
      </c>
      <c r="Q32" s="502">
        <f t="shared" ref="Q32:S56" si="58">+P32*$X$1</f>
        <v>1265</v>
      </c>
      <c r="R32" s="108">
        <v>1174</v>
      </c>
      <c r="S32" s="374">
        <f t="shared" si="58"/>
        <v>1174</v>
      </c>
      <c r="T32" s="631">
        <v>1086</v>
      </c>
      <c r="U32" s="374">
        <f t="shared" ref="U32:U49" si="59">+T32*$X$1</f>
        <v>1086</v>
      </c>
      <c r="V32" s="631">
        <v>1055</v>
      </c>
      <c r="W32" s="349">
        <f t="shared" ref="W32:W49" si="60">+V32*$X$1</f>
        <v>1055</v>
      </c>
      <c r="X32" s="711"/>
      <c r="Y32" s="1007"/>
      <c r="Z32" s="1007"/>
      <c r="AA32" s="936"/>
      <c r="AB32" s="541" t="s">
        <v>47</v>
      </c>
      <c r="AE32" s="76"/>
      <c r="AF32" s="995" t="s">
        <v>703</v>
      </c>
      <c r="AG32" s="995"/>
      <c r="AH32" s="995"/>
      <c r="AI32" s="995"/>
      <c r="AJ32" s="995"/>
    </row>
    <row r="33" spans="1:28" ht="12.6" customHeight="1" x14ac:dyDescent="0.2">
      <c r="A33" s="20"/>
      <c r="B33" s="793" t="s">
        <v>48</v>
      </c>
      <c r="C33" s="729"/>
      <c r="D33" s="729"/>
      <c r="E33" s="729"/>
      <c r="F33" s="348">
        <v>456</v>
      </c>
      <c r="G33" s="382">
        <f t="shared" si="56"/>
        <v>456</v>
      </c>
      <c r="H33" s="992" t="s">
        <v>46</v>
      </c>
      <c r="I33" s="992"/>
      <c r="J33" s="993"/>
      <c r="K33" s="994"/>
      <c r="L33" s="338"/>
      <c r="M33" s="424"/>
      <c r="N33" s="90">
        <v>1375</v>
      </c>
      <c r="O33" s="382">
        <f t="shared" ref="O33:O36" si="61">+N33*$X$1</f>
        <v>1375</v>
      </c>
      <c r="P33" s="393">
        <v>1265</v>
      </c>
      <c r="Q33" s="503">
        <f t="shared" ref="Q33:Q36" si="62">+P33*$X$1</f>
        <v>1265</v>
      </c>
      <c r="R33" s="109">
        <v>1174</v>
      </c>
      <c r="S33" s="306">
        <f t="shared" ref="S33:S36" si="63">+R33*$X$1</f>
        <v>1174</v>
      </c>
      <c r="T33" s="386">
        <v>1086</v>
      </c>
      <c r="U33" s="306">
        <f t="shared" ref="U33:U36" si="64">+T33*$X$1</f>
        <v>1086</v>
      </c>
      <c r="V33" s="386">
        <v>1055</v>
      </c>
      <c r="W33" s="348">
        <f t="shared" ref="W33:W36" si="65">+V33*$X$1</f>
        <v>1055</v>
      </c>
      <c r="X33" s="711"/>
      <c r="Y33" s="1007"/>
      <c r="Z33" s="1007"/>
      <c r="AA33" s="936"/>
      <c r="AB33" s="541" t="s">
        <v>49</v>
      </c>
    </row>
    <row r="34" spans="1:28" ht="12.6" customHeight="1" x14ac:dyDescent="0.2">
      <c r="A34" s="20"/>
      <c r="B34" s="774" t="s">
        <v>50</v>
      </c>
      <c r="C34" s="721"/>
      <c r="D34" s="721"/>
      <c r="E34" s="721"/>
      <c r="F34" s="349">
        <v>456</v>
      </c>
      <c r="G34" s="381">
        <f t="shared" si="56"/>
        <v>456</v>
      </c>
      <c r="H34" s="1049" t="s">
        <v>46</v>
      </c>
      <c r="I34" s="1049"/>
      <c r="J34" s="1050"/>
      <c r="K34" s="1051"/>
      <c r="L34" s="337"/>
      <c r="M34" s="425"/>
      <c r="N34" s="95">
        <v>1375</v>
      </c>
      <c r="O34" s="381">
        <f t="shared" si="61"/>
        <v>1375</v>
      </c>
      <c r="P34" s="339">
        <v>1265</v>
      </c>
      <c r="Q34" s="502">
        <f t="shared" si="62"/>
        <v>1265</v>
      </c>
      <c r="R34" s="108">
        <v>1174</v>
      </c>
      <c r="S34" s="374">
        <f t="shared" si="63"/>
        <v>1174</v>
      </c>
      <c r="T34" s="631">
        <v>1086</v>
      </c>
      <c r="U34" s="374">
        <f t="shared" si="64"/>
        <v>1086</v>
      </c>
      <c r="V34" s="631">
        <v>1055</v>
      </c>
      <c r="W34" s="349">
        <f t="shared" si="65"/>
        <v>1055</v>
      </c>
      <c r="X34" s="711"/>
      <c r="Y34" s="1007"/>
      <c r="Z34" s="1007"/>
      <c r="AA34" s="936"/>
      <c r="AB34" s="541" t="s">
        <v>51</v>
      </c>
    </row>
    <row r="35" spans="1:28" ht="12.6" customHeight="1" x14ac:dyDescent="0.2">
      <c r="A35" s="20"/>
      <c r="B35" s="793" t="s">
        <v>52</v>
      </c>
      <c r="C35" s="729"/>
      <c r="D35" s="729"/>
      <c r="E35" s="729"/>
      <c r="F35" s="348">
        <v>456</v>
      </c>
      <c r="G35" s="382">
        <f t="shared" si="56"/>
        <v>456</v>
      </c>
      <c r="H35" s="992" t="s">
        <v>46</v>
      </c>
      <c r="I35" s="992"/>
      <c r="J35" s="993"/>
      <c r="K35" s="994"/>
      <c r="L35" s="338"/>
      <c r="M35" s="424"/>
      <c r="N35" s="90">
        <v>1375</v>
      </c>
      <c r="O35" s="382">
        <f t="shared" si="61"/>
        <v>1375</v>
      </c>
      <c r="P35" s="393">
        <v>1265</v>
      </c>
      <c r="Q35" s="503">
        <f t="shared" si="62"/>
        <v>1265</v>
      </c>
      <c r="R35" s="109">
        <v>1174</v>
      </c>
      <c r="S35" s="306">
        <f t="shared" si="63"/>
        <v>1174</v>
      </c>
      <c r="T35" s="386">
        <v>1086</v>
      </c>
      <c r="U35" s="306">
        <f t="shared" si="64"/>
        <v>1086</v>
      </c>
      <c r="V35" s="386">
        <v>1055</v>
      </c>
      <c r="W35" s="348">
        <f t="shared" si="65"/>
        <v>1055</v>
      </c>
      <c r="X35" s="711"/>
      <c r="Y35" s="1007"/>
      <c r="Z35" s="1007"/>
      <c r="AA35" s="936"/>
      <c r="AB35" s="541" t="s">
        <v>53</v>
      </c>
    </row>
    <row r="36" spans="1:28" ht="12.6" customHeight="1" x14ac:dyDescent="0.2">
      <c r="A36" s="20"/>
      <c r="B36" s="774" t="s">
        <v>54</v>
      </c>
      <c r="C36" s="721"/>
      <c r="D36" s="721"/>
      <c r="E36" s="721"/>
      <c r="F36" s="349">
        <v>456</v>
      </c>
      <c r="G36" s="381">
        <f t="shared" si="56"/>
        <v>456</v>
      </c>
      <c r="H36" s="1049" t="s">
        <v>46</v>
      </c>
      <c r="I36" s="1049"/>
      <c r="J36" s="1050"/>
      <c r="K36" s="1051"/>
      <c r="L36" s="337"/>
      <c r="M36" s="425"/>
      <c r="N36" s="95">
        <v>1375</v>
      </c>
      <c r="O36" s="381">
        <f t="shared" si="61"/>
        <v>1375</v>
      </c>
      <c r="P36" s="339">
        <v>1265</v>
      </c>
      <c r="Q36" s="502">
        <f t="shared" si="62"/>
        <v>1265</v>
      </c>
      <c r="R36" s="108">
        <v>1174</v>
      </c>
      <c r="S36" s="374">
        <f t="shared" si="63"/>
        <v>1174</v>
      </c>
      <c r="T36" s="631">
        <v>1086</v>
      </c>
      <c r="U36" s="374">
        <f t="shared" si="64"/>
        <v>1086</v>
      </c>
      <c r="V36" s="631">
        <v>1055</v>
      </c>
      <c r="W36" s="349">
        <f t="shared" si="65"/>
        <v>1055</v>
      </c>
      <c r="X36" s="711"/>
      <c r="Y36" s="1007"/>
      <c r="Z36" s="1007"/>
      <c r="AA36" s="936"/>
      <c r="AB36" s="541" t="s">
        <v>55</v>
      </c>
    </row>
    <row r="37" spans="1:28" ht="12.6" customHeight="1" x14ac:dyDescent="0.25">
      <c r="A37" s="20"/>
      <c r="B37" s="793" t="s">
        <v>56</v>
      </c>
      <c r="C37" s="729"/>
      <c r="D37" s="729"/>
      <c r="E37" s="729"/>
      <c r="F37" s="348">
        <v>456</v>
      </c>
      <c r="G37" s="382">
        <f t="shared" si="56"/>
        <v>456</v>
      </c>
      <c r="H37" s="992" t="s">
        <v>46</v>
      </c>
      <c r="I37" s="992"/>
      <c r="J37" s="993"/>
      <c r="K37" s="994"/>
      <c r="L37" s="338"/>
      <c r="M37" s="424"/>
      <c r="N37" s="90">
        <v>1190</v>
      </c>
      <c r="O37" s="382">
        <f t="shared" si="57"/>
        <v>1190</v>
      </c>
      <c r="P37" s="393">
        <v>1093</v>
      </c>
      <c r="Q37" s="503">
        <f t="shared" si="58"/>
        <v>1093</v>
      </c>
      <c r="R37" s="386">
        <v>1007</v>
      </c>
      <c r="S37" s="306">
        <f t="shared" si="58"/>
        <v>1007</v>
      </c>
      <c r="T37" s="386">
        <v>939</v>
      </c>
      <c r="U37" s="306">
        <f t="shared" si="59"/>
        <v>939</v>
      </c>
      <c r="V37" s="386">
        <v>897</v>
      </c>
      <c r="W37" s="348">
        <f t="shared" si="60"/>
        <v>897</v>
      </c>
      <c r="X37" s="711"/>
      <c r="Y37" s="973"/>
      <c r="Z37" s="973"/>
      <c r="AA37" s="974"/>
      <c r="AB37" s="541" t="s">
        <v>549</v>
      </c>
    </row>
    <row r="38" spans="1:28" ht="12.6" customHeight="1" x14ac:dyDescent="0.2">
      <c r="A38" s="20"/>
      <c r="B38" s="774" t="s">
        <v>57</v>
      </c>
      <c r="C38" s="721"/>
      <c r="D38" s="721"/>
      <c r="E38" s="721"/>
      <c r="F38" s="349">
        <v>456</v>
      </c>
      <c r="G38" s="381">
        <f t="shared" si="56"/>
        <v>456</v>
      </c>
      <c r="H38" s="1049" t="s">
        <v>46</v>
      </c>
      <c r="I38" s="1049"/>
      <c r="J38" s="1050"/>
      <c r="K38" s="1051"/>
      <c r="L38" s="337"/>
      <c r="M38" s="425"/>
      <c r="N38" s="95">
        <v>1046</v>
      </c>
      <c r="O38" s="381">
        <f t="shared" ref="O38" si="66">+N38*$X$1</f>
        <v>1046</v>
      </c>
      <c r="P38" s="339">
        <v>960</v>
      </c>
      <c r="Q38" s="502">
        <f t="shared" ref="Q38" si="67">+P38*$X$1</f>
        <v>960</v>
      </c>
      <c r="R38" s="108">
        <v>881</v>
      </c>
      <c r="S38" s="374">
        <f t="shared" ref="S38" si="68">+R38*$X$1</f>
        <v>881</v>
      </c>
      <c r="T38" s="631">
        <v>811</v>
      </c>
      <c r="U38" s="374">
        <f t="shared" ref="U38" si="69">+T38*$X$1</f>
        <v>811</v>
      </c>
      <c r="V38" s="631">
        <v>732</v>
      </c>
      <c r="W38" s="349">
        <f t="shared" ref="W38" si="70">+V38*$X$1</f>
        <v>732</v>
      </c>
      <c r="X38" s="711"/>
      <c r="Y38" s="973"/>
      <c r="Z38" s="973"/>
      <c r="AA38" s="974"/>
      <c r="AB38" s="541" t="s">
        <v>547</v>
      </c>
    </row>
    <row r="39" spans="1:28" ht="12.6" customHeight="1" x14ac:dyDescent="0.25">
      <c r="A39" s="20"/>
      <c r="B39" s="793" t="s">
        <v>58</v>
      </c>
      <c r="C39" s="729"/>
      <c r="D39" s="729"/>
      <c r="E39" s="729"/>
      <c r="F39" s="348">
        <v>456</v>
      </c>
      <c r="G39" s="382">
        <f t="shared" si="56"/>
        <v>456</v>
      </c>
      <c r="H39" s="992" t="s">
        <v>46</v>
      </c>
      <c r="I39" s="992"/>
      <c r="J39" s="993"/>
      <c r="K39" s="994"/>
      <c r="L39" s="338"/>
      <c r="M39" s="424"/>
      <c r="N39" s="90">
        <v>1046</v>
      </c>
      <c r="O39" s="382">
        <f t="shared" ref="O39" si="71">+N39*$X$1</f>
        <v>1046</v>
      </c>
      <c r="P39" s="393">
        <v>960</v>
      </c>
      <c r="Q39" s="503">
        <f t="shared" ref="Q39" si="72">+P39*$X$1</f>
        <v>960</v>
      </c>
      <c r="R39" s="109">
        <v>881</v>
      </c>
      <c r="S39" s="306">
        <f t="shared" ref="S39" si="73">+R39*$X$1</f>
        <v>881</v>
      </c>
      <c r="T39" s="386">
        <v>811</v>
      </c>
      <c r="U39" s="306">
        <f t="shared" ref="U39" si="74">+T39*$X$1</f>
        <v>811</v>
      </c>
      <c r="V39" s="386">
        <v>732</v>
      </c>
      <c r="W39" s="348">
        <f t="shared" ref="W39" si="75">+V39*$X$1</f>
        <v>732</v>
      </c>
      <c r="X39" s="711"/>
      <c r="Y39" s="973"/>
      <c r="Z39" s="973"/>
      <c r="AA39" s="974"/>
      <c r="AB39" s="541" t="s">
        <v>550</v>
      </c>
    </row>
    <row r="40" spans="1:28" ht="12.6" customHeight="1" x14ac:dyDescent="0.25">
      <c r="A40" s="20"/>
      <c r="B40" s="774" t="s">
        <v>59</v>
      </c>
      <c r="C40" s="721"/>
      <c r="D40" s="721"/>
      <c r="E40" s="721"/>
      <c r="F40" s="349">
        <v>456</v>
      </c>
      <c r="G40" s="381">
        <f t="shared" si="56"/>
        <v>456</v>
      </c>
      <c r="H40" s="1049" t="s">
        <v>46</v>
      </c>
      <c r="I40" s="1049"/>
      <c r="J40" s="1050"/>
      <c r="K40" s="1051"/>
      <c r="L40" s="337"/>
      <c r="M40" s="425"/>
      <c r="N40" s="95">
        <v>1422</v>
      </c>
      <c r="O40" s="381">
        <f t="shared" si="57"/>
        <v>1422</v>
      </c>
      <c r="P40" s="339">
        <v>1314</v>
      </c>
      <c r="Q40" s="502">
        <f t="shared" si="58"/>
        <v>1314</v>
      </c>
      <c r="R40" s="631">
        <v>1314</v>
      </c>
      <c r="S40" s="374">
        <f t="shared" si="58"/>
        <v>1314</v>
      </c>
      <c r="T40" s="631">
        <v>1227</v>
      </c>
      <c r="U40" s="374">
        <f t="shared" si="59"/>
        <v>1227</v>
      </c>
      <c r="V40" s="631">
        <v>1176</v>
      </c>
      <c r="W40" s="349">
        <f t="shared" si="60"/>
        <v>1176</v>
      </c>
      <c r="X40" s="711"/>
      <c r="Y40" s="973"/>
      <c r="Z40" s="973"/>
      <c r="AA40" s="974"/>
      <c r="AB40" s="541" t="s">
        <v>548</v>
      </c>
    </row>
    <row r="41" spans="1:28" ht="12.6" customHeight="1" x14ac:dyDescent="0.2">
      <c r="A41" s="20"/>
      <c r="B41" s="793" t="s">
        <v>551</v>
      </c>
      <c r="C41" s="729"/>
      <c r="D41" s="729"/>
      <c r="E41" s="729"/>
      <c r="F41" s="348">
        <v>456</v>
      </c>
      <c r="G41" s="382">
        <f t="shared" ref="G41" si="76">+F41*$X$1</f>
        <v>456</v>
      </c>
      <c r="H41" s="992" t="s">
        <v>46</v>
      </c>
      <c r="I41" s="992"/>
      <c r="J41" s="993"/>
      <c r="K41" s="994"/>
      <c r="L41" s="338"/>
      <c r="M41" s="424"/>
      <c r="N41" s="90">
        <v>1397</v>
      </c>
      <c r="O41" s="382">
        <f t="shared" ref="O41:O42" si="77">+N41*$X$1</f>
        <v>1397</v>
      </c>
      <c r="P41" s="393">
        <v>1292</v>
      </c>
      <c r="Q41" s="503">
        <f t="shared" si="58"/>
        <v>1292</v>
      </c>
      <c r="R41" s="386">
        <v>1197</v>
      </c>
      <c r="S41" s="306">
        <f t="shared" si="58"/>
        <v>1197</v>
      </c>
      <c r="T41" s="386">
        <v>1132</v>
      </c>
      <c r="U41" s="306">
        <f t="shared" si="59"/>
        <v>1132</v>
      </c>
      <c r="V41" s="386">
        <v>1072</v>
      </c>
      <c r="W41" s="348">
        <f t="shared" si="60"/>
        <v>1072</v>
      </c>
      <c r="X41" s="711"/>
      <c r="Y41" s="973"/>
      <c r="Z41" s="973"/>
      <c r="AA41" s="974"/>
      <c r="AB41" s="541" t="s">
        <v>553</v>
      </c>
    </row>
    <row r="42" spans="1:28" ht="12.6" customHeight="1" x14ac:dyDescent="0.2">
      <c r="A42" s="20"/>
      <c r="B42" s="774" t="s">
        <v>552</v>
      </c>
      <c r="C42" s="721"/>
      <c r="D42" s="721"/>
      <c r="E42" s="721"/>
      <c r="F42" s="349">
        <v>456</v>
      </c>
      <c r="G42" s="381">
        <f t="shared" ref="G42" si="78">+F42*$X$1</f>
        <v>456</v>
      </c>
      <c r="H42" s="1049" t="s">
        <v>46</v>
      </c>
      <c r="I42" s="1049"/>
      <c r="J42" s="1050"/>
      <c r="K42" s="1051"/>
      <c r="L42" s="337"/>
      <c r="M42" s="425"/>
      <c r="N42" s="95">
        <v>1190</v>
      </c>
      <c r="O42" s="381">
        <f t="shared" si="77"/>
        <v>1190</v>
      </c>
      <c r="P42" s="339">
        <v>1093</v>
      </c>
      <c r="Q42" s="502">
        <f t="shared" ref="Q42" si="79">+P42*$X$1</f>
        <v>1093</v>
      </c>
      <c r="R42" s="631">
        <v>1007</v>
      </c>
      <c r="S42" s="374">
        <f t="shared" ref="S42" si="80">+R42*$X$1</f>
        <v>1007</v>
      </c>
      <c r="T42" s="631">
        <v>939</v>
      </c>
      <c r="U42" s="374">
        <f t="shared" ref="U42" si="81">+T42*$X$1</f>
        <v>939</v>
      </c>
      <c r="V42" s="631">
        <v>897</v>
      </c>
      <c r="W42" s="349">
        <f t="shared" ref="W42" si="82">+V42*$X$1</f>
        <v>897</v>
      </c>
      <c r="X42" s="711"/>
      <c r="Y42" s="973"/>
      <c r="Z42" s="973"/>
      <c r="AA42" s="974"/>
      <c r="AB42" s="541" t="s">
        <v>554</v>
      </c>
    </row>
    <row r="43" spans="1:28" ht="12.6" customHeight="1" x14ac:dyDescent="0.2">
      <c r="A43" s="20"/>
      <c r="B43" s="793" t="s">
        <v>60</v>
      </c>
      <c r="C43" s="729"/>
      <c r="D43" s="729"/>
      <c r="E43" s="729"/>
      <c r="F43" s="348">
        <v>785</v>
      </c>
      <c r="G43" s="382">
        <f t="shared" ref="G43:G51" si="83">+F43*$X$1</f>
        <v>785</v>
      </c>
      <c r="H43" s="1042" t="s">
        <v>61</v>
      </c>
      <c r="I43" s="1042"/>
      <c r="J43" s="1043"/>
      <c r="K43" s="1044"/>
      <c r="L43" s="338"/>
      <c r="M43" s="424"/>
      <c r="N43" s="90">
        <v>1490</v>
      </c>
      <c r="O43" s="382">
        <f t="shared" si="57"/>
        <v>1490</v>
      </c>
      <c r="P43" s="393">
        <v>1381</v>
      </c>
      <c r="Q43" s="503">
        <f t="shared" si="58"/>
        <v>1381</v>
      </c>
      <c r="R43" s="386">
        <v>1276</v>
      </c>
      <c r="S43" s="306">
        <f t="shared" si="58"/>
        <v>1276</v>
      </c>
      <c r="T43" s="386">
        <v>1190</v>
      </c>
      <c r="U43" s="306">
        <f t="shared" si="59"/>
        <v>1190</v>
      </c>
      <c r="V43" s="386">
        <v>1146</v>
      </c>
      <c r="W43" s="348">
        <f t="shared" si="60"/>
        <v>1146</v>
      </c>
      <c r="X43" s="711"/>
      <c r="Y43" s="973"/>
      <c r="Z43" s="973"/>
      <c r="AA43" s="974"/>
      <c r="AB43" s="542" t="s">
        <v>62</v>
      </c>
    </row>
    <row r="44" spans="1:28" ht="12.6" customHeight="1" x14ac:dyDescent="0.2">
      <c r="A44" s="20"/>
      <c r="B44" s="774" t="s">
        <v>63</v>
      </c>
      <c r="C44" s="721"/>
      <c r="D44" s="721"/>
      <c r="E44" s="721"/>
      <c r="F44" s="349">
        <v>785</v>
      </c>
      <c r="G44" s="381">
        <f t="shared" si="83"/>
        <v>785</v>
      </c>
      <c r="H44" s="1046" t="s">
        <v>61</v>
      </c>
      <c r="I44" s="1046"/>
      <c r="J44" s="1047"/>
      <c r="K44" s="1048"/>
      <c r="L44" s="337"/>
      <c r="M44" s="425"/>
      <c r="N44" s="95">
        <v>1490</v>
      </c>
      <c r="O44" s="381">
        <f t="shared" ref="O44:O45" si="84">+N44*$X$1</f>
        <v>1490</v>
      </c>
      <c r="P44" s="339">
        <v>1381</v>
      </c>
      <c r="Q44" s="502">
        <f t="shared" ref="Q44:Q45" si="85">+P44*$X$1</f>
        <v>1381</v>
      </c>
      <c r="R44" s="631">
        <v>1276</v>
      </c>
      <c r="S44" s="374">
        <f t="shared" ref="S44:S45" si="86">+R44*$X$1</f>
        <v>1276</v>
      </c>
      <c r="T44" s="631">
        <v>1190</v>
      </c>
      <c r="U44" s="374">
        <f t="shared" ref="U44:U45" si="87">+T44*$X$1</f>
        <v>1190</v>
      </c>
      <c r="V44" s="631">
        <v>1146</v>
      </c>
      <c r="W44" s="349">
        <f t="shared" ref="W44:W45" si="88">+V44*$X$1</f>
        <v>1146</v>
      </c>
      <c r="X44" s="711"/>
      <c r="Y44" s="973"/>
      <c r="Z44" s="973"/>
      <c r="AA44" s="974"/>
      <c r="AB44" s="542" t="s">
        <v>64</v>
      </c>
    </row>
    <row r="45" spans="1:28" ht="12.6" customHeight="1" x14ac:dyDescent="0.2">
      <c r="A45" s="20"/>
      <c r="B45" s="793" t="s">
        <v>65</v>
      </c>
      <c r="C45" s="729"/>
      <c r="D45" s="729"/>
      <c r="E45" s="729"/>
      <c r="F45" s="348">
        <v>785</v>
      </c>
      <c r="G45" s="382">
        <f t="shared" si="83"/>
        <v>785</v>
      </c>
      <c r="H45" s="992" t="s">
        <v>61</v>
      </c>
      <c r="I45" s="992"/>
      <c r="J45" s="993"/>
      <c r="K45" s="994"/>
      <c r="L45" s="338"/>
      <c r="M45" s="424"/>
      <c r="N45" s="90">
        <v>1490</v>
      </c>
      <c r="O45" s="382">
        <f t="shared" si="84"/>
        <v>1490</v>
      </c>
      <c r="P45" s="393">
        <v>1381</v>
      </c>
      <c r="Q45" s="503">
        <f t="shared" si="85"/>
        <v>1381</v>
      </c>
      <c r="R45" s="386">
        <v>1276</v>
      </c>
      <c r="S45" s="306">
        <f t="shared" si="86"/>
        <v>1276</v>
      </c>
      <c r="T45" s="386">
        <v>1190</v>
      </c>
      <c r="U45" s="306">
        <f t="shared" si="87"/>
        <v>1190</v>
      </c>
      <c r="V45" s="386">
        <v>1146</v>
      </c>
      <c r="W45" s="348">
        <f t="shared" si="88"/>
        <v>1146</v>
      </c>
      <c r="X45" s="711"/>
      <c r="Y45" s="973"/>
      <c r="Z45" s="973"/>
      <c r="AA45" s="974"/>
      <c r="AB45" s="542" t="s">
        <v>66</v>
      </c>
    </row>
    <row r="46" spans="1:28" ht="12.6" customHeight="1" x14ac:dyDescent="0.2">
      <c r="A46" s="20"/>
      <c r="B46" s="690" t="s">
        <v>658</v>
      </c>
      <c r="C46" s="938"/>
      <c r="D46" s="938"/>
      <c r="E46" s="938"/>
      <c r="F46" s="349">
        <v>859</v>
      </c>
      <c r="G46" s="381">
        <f t="shared" ref="G46" si="89">+F46*$X$1</f>
        <v>859</v>
      </c>
      <c r="H46" s="1011" t="s">
        <v>61</v>
      </c>
      <c r="I46" s="1011"/>
      <c r="J46" s="1012"/>
      <c r="K46" s="1013"/>
      <c r="L46" s="337"/>
      <c r="M46" s="425"/>
      <c r="N46" s="95">
        <v>1576</v>
      </c>
      <c r="O46" s="381">
        <f t="shared" ref="O46" si="90">+N46*$X$1</f>
        <v>1576</v>
      </c>
      <c r="P46" s="339">
        <v>1471</v>
      </c>
      <c r="Q46" s="502">
        <f t="shared" ref="Q46" si="91">+P46*$X$1</f>
        <v>1471</v>
      </c>
      <c r="R46" s="631">
        <v>1350</v>
      </c>
      <c r="S46" s="374">
        <f t="shared" ref="S46" si="92">+R46*$X$1</f>
        <v>1350</v>
      </c>
      <c r="T46" s="631">
        <v>1267</v>
      </c>
      <c r="U46" s="374">
        <f t="shared" ref="U46" si="93">+T46*$X$1</f>
        <v>1267</v>
      </c>
      <c r="V46" s="631">
        <v>1146</v>
      </c>
      <c r="W46" s="349">
        <f t="shared" ref="W46" si="94">+V46*$X$1</f>
        <v>1146</v>
      </c>
      <c r="X46" s="711"/>
      <c r="Y46" s="973"/>
      <c r="Z46" s="973"/>
      <c r="AA46" s="974"/>
      <c r="AB46" s="543" t="s">
        <v>670</v>
      </c>
    </row>
    <row r="47" spans="1:28" ht="12.6" customHeight="1" x14ac:dyDescent="0.2">
      <c r="A47" s="20"/>
      <c r="B47" s="690" t="s">
        <v>659</v>
      </c>
      <c r="C47" s="938"/>
      <c r="D47" s="938"/>
      <c r="E47" s="938"/>
      <c r="F47" s="348">
        <v>859</v>
      </c>
      <c r="G47" s="382">
        <f t="shared" ref="G47" si="95">+F47*$X$1</f>
        <v>859</v>
      </c>
      <c r="H47" s="1042" t="s">
        <v>61</v>
      </c>
      <c r="I47" s="1042"/>
      <c r="J47" s="1043"/>
      <c r="K47" s="1044"/>
      <c r="L47" s="338"/>
      <c r="M47" s="424"/>
      <c r="N47" s="90">
        <v>1576</v>
      </c>
      <c r="O47" s="382">
        <f t="shared" ref="O47:O48" si="96">+N47*$X$1</f>
        <v>1576</v>
      </c>
      <c r="P47" s="393">
        <v>1471</v>
      </c>
      <c r="Q47" s="503">
        <f t="shared" ref="Q47:Q48" si="97">+P47*$X$1</f>
        <v>1471</v>
      </c>
      <c r="R47" s="386">
        <v>1350</v>
      </c>
      <c r="S47" s="306">
        <f t="shared" ref="S47:S48" si="98">+R47*$X$1</f>
        <v>1350</v>
      </c>
      <c r="T47" s="386">
        <v>1267</v>
      </c>
      <c r="U47" s="306">
        <f t="shared" ref="U47:U48" si="99">+T47*$X$1</f>
        <v>1267</v>
      </c>
      <c r="V47" s="386">
        <v>1146</v>
      </c>
      <c r="W47" s="348">
        <f t="shared" ref="W47:W48" si="100">+V47*$X$1</f>
        <v>1146</v>
      </c>
      <c r="X47" s="711"/>
      <c r="Y47" s="973"/>
      <c r="Z47" s="973"/>
      <c r="AA47" s="974"/>
      <c r="AB47" s="543" t="s">
        <v>671</v>
      </c>
    </row>
    <row r="48" spans="1:28" ht="12.6" customHeight="1" x14ac:dyDescent="0.2">
      <c r="A48" s="20"/>
      <c r="B48" s="690" t="s">
        <v>660</v>
      </c>
      <c r="C48" s="938"/>
      <c r="D48" s="938"/>
      <c r="E48" s="938"/>
      <c r="F48" s="349">
        <v>859</v>
      </c>
      <c r="G48" s="381">
        <f t="shared" ref="G48" si="101">+F48*$X$1</f>
        <v>859</v>
      </c>
      <c r="H48" s="1011" t="s">
        <v>61</v>
      </c>
      <c r="I48" s="1011"/>
      <c r="J48" s="1012"/>
      <c r="K48" s="1013"/>
      <c r="L48" s="337"/>
      <c r="M48" s="425"/>
      <c r="N48" s="95">
        <v>1576</v>
      </c>
      <c r="O48" s="381">
        <f t="shared" si="96"/>
        <v>1576</v>
      </c>
      <c r="P48" s="339">
        <v>1471</v>
      </c>
      <c r="Q48" s="502">
        <f t="shared" si="97"/>
        <v>1471</v>
      </c>
      <c r="R48" s="631">
        <v>1350</v>
      </c>
      <c r="S48" s="374">
        <f t="shared" si="98"/>
        <v>1350</v>
      </c>
      <c r="T48" s="631">
        <v>1267</v>
      </c>
      <c r="U48" s="374">
        <f t="shared" si="99"/>
        <v>1267</v>
      </c>
      <c r="V48" s="631">
        <v>1146</v>
      </c>
      <c r="W48" s="349">
        <f t="shared" si="100"/>
        <v>1146</v>
      </c>
      <c r="X48" s="711"/>
      <c r="Y48" s="973"/>
      <c r="Z48" s="973"/>
      <c r="AA48" s="974"/>
      <c r="AB48" s="543" t="s">
        <v>672</v>
      </c>
    </row>
    <row r="49" spans="1:35" ht="12.6" customHeight="1" x14ac:dyDescent="0.2">
      <c r="A49" s="20"/>
      <c r="B49" s="793" t="s">
        <v>67</v>
      </c>
      <c r="C49" s="729"/>
      <c r="D49" s="729"/>
      <c r="E49" s="729"/>
      <c r="F49" s="348">
        <v>1078</v>
      </c>
      <c r="G49" s="382">
        <f t="shared" si="83"/>
        <v>1078</v>
      </c>
      <c r="H49" s="992" t="s">
        <v>61</v>
      </c>
      <c r="I49" s="992"/>
      <c r="J49" s="993"/>
      <c r="K49" s="994"/>
      <c r="L49" s="338"/>
      <c r="M49" s="424"/>
      <c r="N49" s="75">
        <v>2100</v>
      </c>
      <c r="O49" s="376">
        <f t="shared" ref="O49" si="102">+N49*$X$1</f>
        <v>2100</v>
      </c>
      <c r="P49" s="393">
        <v>1920</v>
      </c>
      <c r="Q49" s="395">
        <f t="shared" si="58"/>
        <v>1920</v>
      </c>
      <c r="R49" s="386">
        <v>1778</v>
      </c>
      <c r="S49" s="348">
        <f t="shared" si="58"/>
        <v>1778</v>
      </c>
      <c r="T49" s="386">
        <v>1653</v>
      </c>
      <c r="U49" s="348">
        <f t="shared" si="59"/>
        <v>1653</v>
      </c>
      <c r="V49" s="386">
        <v>1602</v>
      </c>
      <c r="W49" s="348">
        <f t="shared" si="60"/>
        <v>1602</v>
      </c>
      <c r="X49" s="711"/>
      <c r="Y49" s="973"/>
      <c r="Z49" s="973"/>
      <c r="AA49" s="974"/>
      <c r="AB49" s="543" t="s">
        <v>68</v>
      </c>
    </row>
    <row r="50" spans="1:35" ht="12.6" customHeight="1" x14ac:dyDescent="0.2">
      <c r="A50" s="20"/>
      <c r="B50" s="774" t="s">
        <v>69</v>
      </c>
      <c r="C50" s="721"/>
      <c r="D50" s="721"/>
      <c r="E50" s="721"/>
      <c r="F50" s="349">
        <v>1078</v>
      </c>
      <c r="G50" s="381">
        <f t="shared" si="83"/>
        <v>1078</v>
      </c>
      <c r="H50" s="1011" t="s">
        <v>61</v>
      </c>
      <c r="I50" s="1011"/>
      <c r="J50" s="1012"/>
      <c r="K50" s="1013"/>
      <c r="L50" s="337"/>
      <c r="M50" s="425"/>
      <c r="N50" s="94">
        <v>2100</v>
      </c>
      <c r="O50" s="417">
        <f t="shared" ref="O50:O51" si="103">+N50*$X$1</f>
        <v>2100</v>
      </c>
      <c r="P50" s="339">
        <v>1920</v>
      </c>
      <c r="Q50" s="394">
        <f t="shared" ref="Q50:Q51" si="104">+P50*$X$1</f>
        <v>1920</v>
      </c>
      <c r="R50" s="631">
        <v>1778</v>
      </c>
      <c r="S50" s="349">
        <f t="shared" ref="S50:S51" si="105">+R50*$X$1</f>
        <v>1778</v>
      </c>
      <c r="T50" s="631">
        <v>1653</v>
      </c>
      <c r="U50" s="349">
        <f t="shared" ref="U50:U51" si="106">+T50*$X$1</f>
        <v>1653</v>
      </c>
      <c r="V50" s="631">
        <v>1602</v>
      </c>
      <c r="W50" s="349">
        <f t="shared" ref="W50:W51" si="107">+V50*$X$1</f>
        <v>1602</v>
      </c>
      <c r="X50" s="711"/>
      <c r="Y50" s="973"/>
      <c r="Z50" s="973"/>
      <c r="AA50" s="974"/>
      <c r="AB50" s="543" t="s">
        <v>70</v>
      </c>
    </row>
    <row r="51" spans="1:35" ht="12.6" customHeight="1" x14ac:dyDescent="0.2">
      <c r="A51" s="20"/>
      <c r="B51" s="793" t="s">
        <v>71</v>
      </c>
      <c r="C51" s="729"/>
      <c r="D51" s="729"/>
      <c r="E51" s="729"/>
      <c r="F51" s="348">
        <v>1078</v>
      </c>
      <c r="G51" s="416">
        <f t="shared" si="83"/>
        <v>1078</v>
      </c>
      <c r="H51" s="992" t="s">
        <v>61</v>
      </c>
      <c r="I51" s="992"/>
      <c r="J51" s="993"/>
      <c r="K51" s="1045"/>
      <c r="L51" s="338"/>
      <c r="M51" s="424"/>
      <c r="N51" s="75">
        <v>2100</v>
      </c>
      <c r="O51" s="376">
        <f t="shared" si="103"/>
        <v>2100</v>
      </c>
      <c r="P51" s="393">
        <v>1920</v>
      </c>
      <c r="Q51" s="395">
        <f t="shared" si="104"/>
        <v>1920</v>
      </c>
      <c r="R51" s="386">
        <v>1778</v>
      </c>
      <c r="S51" s="348">
        <f t="shared" si="105"/>
        <v>1778</v>
      </c>
      <c r="T51" s="386">
        <v>1653</v>
      </c>
      <c r="U51" s="348">
        <f t="shared" si="106"/>
        <v>1653</v>
      </c>
      <c r="V51" s="386">
        <v>1602</v>
      </c>
      <c r="W51" s="348">
        <f t="shared" si="107"/>
        <v>1602</v>
      </c>
      <c r="X51" s="711"/>
      <c r="Y51" s="973"/>
      <c r="Z51" s="973"/>
      <c r="AA51" s="974"/>
      <c r="AB51" s="543" t="s">
        <v>72</v>
      </c>
    </row>
    <row r="52" spans="1:35" ht="12.6" customHeight="1" x14ac:dyDescent="0.2">
      <c r="A52" s="20"/>
      <c r="B52" s="774" t="s">
        <v>73</v>
      </c>
      <c r="C52" s="721"/>
      <c r="D52" s="721"/>
      <c r="E52" s="1038"/>
      <c r="F52" s="1055" t="s">
        <v>501</v>
      </c>
      <c r="G52" s="993"/>
      <c r="H52" s="993"/>
      <c r="I52" s="993"/>
      <c r="J52" s="312"/>
      <c r="K52" s="498"/>
      <c r="L52" s="499"/>
      <c r="M52" s="349"/>
      <c r="N52" s="504"/>
      <c r="O52" s="381"/>
      <c r="P52" s="337"/>
      <c r="Q52" s="394"/>
      <c r="R52" s="108"/>
      <c r="S52" s="374"/>
      <c r="T52" s="108"/>
      <c r="U52" s="374"/>
      <c r="V52" s="108"/>
      <c r="W52" s="349"/>
      <c r="X52" s="142"/>
      <c r="Y52" s="142"/>
      <c r="Z52" s="142"/>
      <c r="AA52" s="142"/>
      <c r="AB52" s="541" t="s">
        <v>74</v>
      </c>
    </row>
    <row r="53" spans="1:35" ht="12.6" customHeight="1" x14ac:dyDescent="0.2">
      <c r="A53" s="20"/>
      <c r="B53" s="793" t="s">
        <v>75</v>
      </c>
      <c r="C53" s="729"/>
      <c r="D53" s="729"/>
      <c r="E53" s="1030"/>
      <c r="F53" s="993"/>
      <c r="G53" s="993"/>
      <c r="H53" s="993"/>
      <c r="I53" s="993"/>
      <c r="J53" s="19"/>
      <c r="K53" s="344"/>
      <c r="L53" s="314"/>
      <c r="M53" s="348"/>
      <c r="N53" s="231"/>
      <c r="O53" s="382"/>
      <c r="P53" s="344"/>
      <c r="Q53" s="395"/>
      <c r="R53" s="386"/>
      <c r="S53" s="306"/>
      <c r="T53" s="386"/>
      <c r="U53" s="306"/>
      <c r="V53" s="386"/>
      <c r="W53" s="348"/>
      <c r="X53" s="142"/>
      <c r="Y53" s="142"/>
      <c r="Z53" s="142"/>
      <c r="AA53" s="142"/>
      <c r="AB53" s="541" t="s">
        <v>76</v>
      </c>
    </row>
    <row r="54" spans="1:35" ht="12.6" customHeight="1" x14ac:dyDescent="0.2">
      <c r="A54" s="20"/>
      <c r="B54" s="774" t="s">
        <v>525</v>
      </c>
      <c r="C54" s="721"/>
      <c r="D54" s="721"/>
      <c r="E54" s="1038"/>
      <c r="F54" s="993"/>
      <c r="G54" s="993"/>
      <c r="H54" s="993"/>
      <c r="I54" s="993"/>
      <c r="J54" s="312"/>
      <c r="K54" s="337"/>
      <c r="L54" s="368"/>
      <c r="M54" s="349"/>
      <c r="N54" s="369"/>
      <c r="O54" s="438"/>
      <c r="P54" s="337"/>
      <c r="Q54" s="394"/>
      <c r="R54" s="100"/>
      <c r="S54" s="431"/>
      <c r="T54" s="100"/>
      <c r="U54" s="431"/>
      <c r="V54" s="100"/>
      <c r="W54" s="349"/>
      <c r="X54" s="142"/>
      <c r="Y54" s="142"/>
      <c r="Z54" s="142"/>
      <c r="AA54" s="142"/>
      <c r="AB54" s="38">
        <v>48</v>
      </c>
      <c r="AC54" s="544" t="s">
        <v>77</v>
      </c>
      <c r="AD54" s="544" t="s">
        <v>78</v>
      </c>
      <c r="AE54" s="544" t="s">
        <v>79</v>
      </c>
    </row>
    <row r="55" spans="1:35" ht="12.6" customHeight="1" x14ac:dyDescent="0.2">
      <c r="A55" s="20"/>
      <c r="B55" s="1052" t="s">
        <v>80</v>
      </c>
      <c r="C55" s="1053"/>
      <c r="D55" s="1053"/>
      <c r="E55" s="1053"/>
      <c r="F55" s="993"/>
      <c r="G55" s="993"/>
      <c r="H55" s="993"/>
      <c r="I55" s="993"/>
      <c r="J55" s="19"/>
      <c r="K55" s="19"/>
      <c r="L55" s="314"/>
      <c r="M55" s="310"/>
      <c r="N55" s="231"/>
      <c r="O55" s="268"/>
      <c r="P55" s="127"/>
      <c r="Q55" s="316"/>
      <c r="R55" s="268"/>
      <c r="S55" s="268"/>
      <c r="T55" s="268"/>
      <c r="U55" s="268"/>
      <c r="V55" s="97"/>
      <c r="W55" s="97"/>
      <c r="X55" s="181"/>
      <c r="Y55" s="181"/>
      <c r="Z55" s="181"/>
      <c r="AA55" s="181"/>
      <c r="AB55" s="209">
        <v>54</v>
      </c>
    </row>
    <row r="56" spans="1:35" ht="12.6" customHeight="1" x14ac:dyDescent="0.2">
      <c r="A56" s="20"/>
      <c r="B56" s="774" t="s">
        <v>81</v>
      </c>
      <c r="C56" s="721"/>
      <c r="D56" s="721"/>
      <c r="E56" s="721"/>
      <c r="F56" s="349">
        <v>567</v>
      </c>
      <c r="G56" s="374">
        <f t="shared" ref="G56:G59" si="108">+F56*$X$1</f>
        <v>567</v>
      </c>
      <c r="H56" s="134"/>
      <c r="I56" s="349"/>
      <c r="J56" s="607">
        <f>F56+120</f>
        <v>687</v>
      </c>
      <c r="K56" s="349">
        <f t="shared" ref="K56" si="109">+J56*$X$1</f>
        <v>687</v>
      </c>
      <c r="L56" s="607">
        <f>F56+88</f>
        <v>655</v>
      </c>
      <c r="M56" s="349">
        <f t="shared" ref="M56" si="110">+L56*$X$1</f>
        <v>655</v>
      </c>
      <c r="N56" s="108">
        <f>F56+55</f>
        <v>622</v>
      </c>
      <c r="O56" s="374">
        <f t="shared" ref="O56" si="111">+N56*$X$1</f>
        <v>622</v>
      </c>
      <c r="P56" s="108">
        <f>F56+48</f>
        <v>615</v>
      </c>
      <c r="Q56" s="349">
        <f t="shared" si="58"/>
        <v>615</v>
      </c>
      <c r="R56" s="108">
        <f>F56+38</f>
        <v>605</v>
      </c>
      <c r="S56" s="374">
        <f t="shared" ref="S56" si="112">+R56*$X$1</f>
        <v>605</v>
      </c>
      <c r="T56" s="108">
        <f>F56+35</f>
        <v>602</v>
      </c>
      <c r="U56" s="374">
        <f t="shared" ref="U56" si="113">+T56*$X$1</f>
        <v>602</v>
      </c>
      <c r="V56" s="108">
        <f>F56+32</f>
        <v>599</v>
      </c>
      <c r="W56" s="349">
        <f t="shared" ref="W56" si="114">+V56*$X$1</f>
        <v>599</v>
      </c>
      <c r="X56" s="141"/>
      <c r="Y56" s="142"/>
      <c r="Z56" s="142"/>
      <c r="AA56" s="142"/>
      <c r="AB56" s="541">
        <v>60</v>
      </c>
    </row>
    <row r="57" spans="1:35" ht="12.6" customHeight="1" x14ac:dyDescent="0.2">
      <c r="A57" s="20"/>
      <c r="B57" s="793" t="s">
        <v>636</v>
      </c>
      <c r="C57" s="729"/>
      <c r="D57" s="729"/>
      <c r="E57" s="729"/>
      <c r="F57" s="348">
        <v>612</v>
      </c>
      <c r="G57" s="306">
        <f t="shared" si="108"/>
        <v>612</v>
      </c>
      <c r="H57" s="133"/>
      <c r="I57" s="348"/>
      <c r="J57" s="386">
        <f>F57+120</f>
        <v>732</v>
      </c>
      <c r="K57" s="348">
        <f t="shared" ref="K57:K59" si="115">+J57*$X$1</f>
        <v>732</v>
      </c>
      <c r="L57" s="386">
        <f>F57+88</f>
        <v>700</v>
      </c>
      <c r="M57" s="348">
        <f t="shared" ref="M57:M59" si="116">+L57*$X$1</f>
        <v>700</v>
      </c>
      <c r="N57" s="109">
        <f>F57+55</f>
        <v>667</v>
      </c>
      <c r="O57" s="306">
        <f t="shared" ref="O57:O59" si="117">+N57*$X$1</f>
        <v>667</v>
      </c>
      <c r="P57" s="109">
        <f>F57+48</f>
        <v>660</v>
      </c>
      <c r="Q57" s="348">
        <f t="shared" ref="Q57:Q59" si="118">+P57*$X$1</f>
        <v>660</v>
      </c>
      <c r="R57" s="109">
        <f>F57+38</f>
        <v>650</v>
      </c>
      <c r="S57" s="306">
        <f t="shared" ref="S57:S59" si="119">+R57*$X$1</f>
        <v>650</v>
      </c>
      <c r="T57" s="109">
        <f>F57+35</f>
        <v>647</v>
      </c>
      <c r="U57" s="306">
        <f t="shared" ref="U57:U59" si="120">+T57*$X$1</f>
        <v>647</v>
      </c>
      <c r="V57" s="109">
        <f>F57+32</f>
        <v>644</v>
      </c>
      <c r="W57" s="348">
        <f t="shared" ref="W57:W59" si="121">+V57*$X$1</f>
        <v>644</v>
      </c>
      <c r="X57" s="141"/>
      <c r="Y57" s="142"/>
      <c r="Z57" s="142"/>
      <c r="AA57" s="142"/>
      <c r="AB57" s="541">
        <v>61</v>
      </c>
    </row>
    <row r="58" spans="1:35" ht="12.6" customHeight="1" x14ac:dyDescent="0.2">
      <c r="A58" s="20"/>
      <c r="B58" s="1199" t="s">
        <v>82</v>
      </c>
      <c r="C58" s="998"/>
      <c r="D58" s="998"/>
      <c r="E58" s="998"/>
      <c r="F58" s="351">
        <v>580</v>
      </c>
      <c r="G58" s="431">
        <f t="shared" si="108"/>
        <v>580</v>
      </c>
      <c r="H58" s="583"/>
      <c r="I58" s="349"/>
      <c r="J58" s="607">
        <f>F58+120</f>
        <v>700</v>
      </c>
      <c r="K58" s="349">
        <f t="shared" si="115"/>
        <v>700</v>
      </c>
      <c r="L58" s="607">
        <f>F58+88</f>
        <v>668</v>
      </c>
      <c r="M58" s="349">
        <f t="shared" si="116"/>
        <v>668</v>
      </c>
      <c r="N58" s="108">
        <f>F58+55</f>
        <v>635</v>
      </c>
      <c r="O58" s="374">
        <f t="shared" si="117"/>
        <v>635</v>
      </c>
      <c r="P58" s="108">
        <f>F58+48</f>
        <v>628</v>
      </c>
      <c r="Q58" s="349">
        <f t="shared" si="118"/>
        <v>628</v>
      </c>
      <c r="R58" s="108">
        <f>F58+38</f>
        <v>618</v>
      </c>
      <c r="S58" s="374">
        <f t="shared" si="119"/>
        <v>618</v>
      </c>
      <c r="T58" s="108">
        <f>F58+35</f>
        <v>615</v>
      </c>
      <c r="U58" s="374">
        <f t="shared" si="120"/>
        <v>615</v>
      </c>
      <c r="V58" s="108">
        <f>F58+32</f>
        <v>612</v>
      </c>
      <c r="W58" s="349">
        <f t="shared" si="121"/>
        <v>612</v>
      </c>
      <c r="X58" s="141"/>
      <c r="Y58" s="142"/>
      <c r="Z58" s="142"/>
      <c r="AA58" s="142"/>
      <c r="AB58" s="541">
        <v>62</v>
      </c>
    </row>
    <row r="59" spans="1:35" ht="12.6" customHeight="1" x14ac:dyDescent="0.2">
      <c r="A59" s="20"/>
      <c r="B59" s="793" t="s">
        <v>83</v>
      </c>
      <c r="C59" s="707"/>
      <c r="D59" s="707"/>
      <c r="E59" s="707"/>
      <c r="F59" s="348">
        <v>625</v>
      </c>
      <c r="G59" s="348">
        <f t="shared" si="108"/>
        <v>625</v>
      </c>
      <c r="H59" s="133"/>
      <c r="I59" s="348"/>
      <c r="J59" s="386">
        <f>F59+120</f>
        <v>745</v>
      </c>
      <c r="K59" s="348">
        <f t="shared" si="115"/>
        <v>745</v>
      </c>
      <c r="L59" s="386">
        <f>F59+88</f>
        <v>713</v>
      </c>
      <c r="M59" s="348">
        <f t="shared" si="116"/>
        <v>713</v>
      </c>
      <c r="N59" s="109">
        <f>F59+55</f>
        <v>680</v>
      </c>
      <c r="O59" s="306">
        <f t="shared" si="117"/>
        <v>680</v>
      </c>
      <c r="P59" s="109">
        <f>F59+48</f>
        <v>673</v>
      </c>
      <c r="Q59" s="348">
        <f t="shared" si="118"/>
        <v>673</v>
      </c>
      <c r="R59" s="109">
        <f>F59+38</f>
        <v>663</v>
      </c>
      <c r="S59" s="306">
        <f t="shared" si="119"/>
        <v>663</v>
      </c>
      <c r="T59" s="109">
        <f>F59+35</f>
        <v>660</v>
      </c>
      <c r="U59" s="306">
        <f t="shared" si="120"/>
        <v>660</v>
      </c>
      <c r="V59" s="109">
        <f>F59+32</f>
        <v>657</v>
      </c>
      <c r="W59" s="348">
        <f t="shared" si="121"/>
        <v>657</v>
      </c>
      <c r="X59" s="141"/>
      <c r="Y59" s="142"/>
      <c r="Z59" s="142"/>
      <c r="AA59" s="142"/>
      <c r="AB59" s="541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774" t="s">
        <v>631</v>
      </c>
      <c r="C60" s="721"/>
      <c r="D60" s="721"/>
      <c r="E60" s="721"/>
      <c r="F60" s="349">
        <v>690</v>
      </c>
      <c r="G60" s="349">
        <f t="shared" ref="G60" si="122">+F60*$X$1</f>
        <v>690</v>
      </c>
      <c r="H60" s="134"/>
      <c r="I60" s="349"/>
      <c r="J60" s="607">
        <f>F60+270</f>
        <v>960</v>
      </c>
      <c r="K60" s="349">
        <f t="shared" ref="K60" si="123">+J60*$X$1</f>
        <v>960</v>
      </c>
      <c r="L60" s="607">
        <f>F60+170</f>
        <v>860</v>
      </c>
      <c r="M60" s="349">
        <f t="shared" ref="M60" si="124">+L60*$X$1</f>
        <v>860</v>
      </c>
      <c r="N60" s="108">
        <f>F60+110</f>
        <v>800</v>
      </c>
      <c r="O60" s="374">
        <f t="shared" ref="O60:O61" si="125">+N60*$X$1</f>
        <v>800</v>
      </c>
      <c r="P60" s="108">
        <f>F60+93</f>
        <v>783</v>
      </c>
      <c r="Q60" s="349">
        <f t="shared" ref="Q60:Q61" si="126">+P60*$X$1</f>
        <v>783</v>
      </c>
      <c r="R60" s="108">
        <f>F60+81</f>
        <v>771</v>
      </c>
      <c r="S60" s="374">
        <f t="shared" ref="S60:S61" si="127">+R60*$X$1</f>
        <v>771</v>
      </c>
      <c r="T60" s="108">
        <f>F60+75</f>
        <v>765</v>
      </c>
      <c r="U60" s="374">
        <f t="shared" ref="U60:U61" si="128">+T60*$X$1</f>
        <v>765</v>
      </c>
      <c r="V60" s="108">
        <f>F60+68</f>
        <v>758</v>
      </c>
      <c r="W60" s="349">
        <f t="shared" ref="W60:W61" si="129">+V60*$X$1</f>
        <v>758</v>
      </c>
      <c r="X60" s="141"/>
      <c r="Y60" s="142"/>
      <c r="Z60" s="142"/>
      <c r="AA60" s="142"/>
      <c r="AB60" s="541">
        <v>64</v>
      </c>
    </row>
    <row r="61" spans="1:35" ht="12.6" customHeight="1" x14ac:dyDescent="0.2">
      <c r="A61" s="20"/>
      <c r="B61" s="1065" t="s">
        <v>857</v>
      </c>
      <c r="C61" s="923"/>
      <c r="D61" s="923"/>
      <c r="E61" s="923"/>
      <c r="F61" s="415">
        <v>230</v>
      </c>
      <c r="G61" s="415">
        <f t="shared" ref="G61:G69" si="130">+F61*$X$1</f>
        <v>230</v>
      </c>
      <c r="H61" s="345"/>
      <c r="I61" s="423"/>
      <c r="J61" s="612"/>
      <c r="K61" s="415"/>
      <c r="L61" s="123"/>
      <c r="M61" s="415"/>
      <c r="N61" s="608">
        <f t="shared" ref="N61:N66" si="131">F61+46</f>
        <v>276</v>
      </c>
      <c r="O61" s="414">
        <f t="shared" si="125"/>
        <v>276</v>
      </c>
      <c r="P61" s="608">
        <f t="shared" ref="P61:P66" si="132">F61+42</f>
        <v>272</v>
      </c>
      <c r="Q61" s="414">
        <f t="shared" si="126"/>
        <v>272</v>
      </c>
      <c r="R61" s="608">
        <f t="shared" ref="R61:R66" si="133">F61+35</f>
        <v>265</v>
      </c>
      <c r="S61" s="414">
        <f t="shared" si="127"/>
        <v>265</v>
      </c>
      <c r="T61" s="608">
        <f t="shared" ref="T61:T66" si="134">F61+29</f>
        <v>259</v>
      </c>
      <c r="U61" s="414">
        <f t="shared" si="128"/>
        <v>259</v>
      </c>
      <c r="V61" s="608">
        <f t="shared" ref="V61:V66" si="135">F61+24</f>
        <v>254</v>
      </c>
      <c r="W61" s="414">
        <f t="shared" si="129"/>
        <v>254</v>
      </c>
      <c r="X61" s="142"/>
      <c r="Y61" s="142"/>
      <c r="Z61" s="142"/>
      <c r="AA61" s="142"/>
      <c r="AB61" s="541">
        <v>85</v>
      </c>
    </row>
    <row r="62" spans="1:35" ht="12.6" customHeight="1" x14ac:dyDescent="0.2">
      <c r="A62" s="20"/>
      <c r="B62" s="791" t="s">
        <v>717</v>
      </c>
      <c r="C62" s="792"/>
      <c r="D62" s="792"/>
      <c r="E62" s="792"/>
      <c r="F62" s="375">
        <v>650</v>
      </c>
      <c r="G62" s="416">
        <f t="shared" si="130"/>
        <v>650</v>
      </c>
      <c r="H62" s="344"/>
      <c r="I62" s="429"/>
      <c r="J62" s="613"/>
      <c r="K62" s="375"/>
      <c r="L62" s="109"/>
      <c r="M62" s="375"/>
      <c r="N62" s="386">
        <f t="shared" si="131"/>
        <v>696</v>
      </c>
      <c r="O62" s="348">
        <f t="shared" ref="O62" si="136">+N62*$X$1</f>
        <v>696</v>
      </c>
      <c r="P62" s="386">
        <f t="shared" si="132"/>
        <v>692</v>
      </c>
      <c r="Q62" s="348">
        <f t="shared" ref="Q62" si="137">+P62*$X$1</f>
        <v>692</v>
      </c>
      <c r="R62" s="386">
        <f t="shared" si="133"/>
        <v>685</v>
      </c>
      <c r="S62" s="348">
        <f t="shared" ref="S62" si="138">+R62*$X$1</f>
        <v>685</v>
      </c>
      <c r="T62" s="386">
        <f t="shared" si="134"/>
        <v>679</v>
      </c>
      <c r="U62" s="348">
        <f t="shared" ref="U62" si="139">+T62*$X$1</f>
        <v>679</v>
      </c>
      <c r="V62" s="386">
        <f t="shared" si="135"/>
        <v>674</v>
      </c>
      <c r="W62" s="348">
        <f t="shared" ref="W62" si="140">+V62*$X$1</f>
        <v>674</v>
      </c>
      <c r="X62" s="142"/>
      <c r="Y62" s="142"/>
      <c r="Z62" s="142"/>
      <c r="AA62" s="142"/>
      <c r="AB62" s="541" t="s">
        <v>84</v>
      </c>
    </row>
    <row r="63" spans="1:35" ht="12.6" customHeight="1" x14ac:dyDescent="0.2">
      <c r="A63" s="20"/>
      <c r="B63" s="775" t="s">
        <v>716</v>
      </c>
      <c r="C63" s="748"/>
      <c r="D63" s="748"/>
      <c r="E63" s="748"/>
      <c r="F63" s="391">
        <v>575</v>
      </c>
      <c r="G63" s="418">
        <f t="shared" ref="G63" si="141">+F63*$X$1</f>
        <v>575</v>
      </c>
      <c r="H63" s="337"/>
      <c r="I63" s="425"/>
      <c r="J63" s="614"/>
      <c r="K63" s="391"/>
      <c r="L63" s="108"/>
      <c r="M63" s="391"/>
      <c r="N63" s="607">
        <f t="shared" si="131"/>
        <v>621</v>
      </c>
      <c r="O63" s="349">
        <f t="shared" ref="O63" si="142">+N63*$X$1</f>
        <v>621</v>
      </c>
      <c r="P63" s="607">
        <f t="shared" si="132"/>
        <v>617</v>
      </c>
      <c r="Q63" s="349">
        <f t="shared" ref="Q63" si="143">+P63*$X$1</f>
        <v>617</v>
      </c>
      <c r="R63" s="607">
        <f t="shared" si="133"/>
        <v>610</v>
      </c>
      <c r="S63" s="349">
        <f t="shared" ref="S63" si="144">+R63*$X$1</f>
        <v>610</v>
      </c>
      <c r="T63" s="607">
        <f t="shared" si="134"/>
        <v>604</v>
      </c>
      <c r="U63" s="349">
        <f t="shared" ref="U63" si="145">+T63*$X$1</f>
        <v>604</v>
      </c>
      <c r="V63" s="607">
        <f t="shared" si="135"/>
        <v>599</v>
      </c>
      <c r="W63" s="349">
        <f t="shared" ref="W63" si="146">+V63*$X$1</f>
        <v>599</v>
      </c>
      <c r="X63" s="142"/>
      <c r="Y63" s="142"/>
      <c r="Z63" s="142"/>
      <c r="AA63" s="142"/>
      <c r="AB63" s="541" t="s">
        <v>84</v>
      </c>
    </row>
    <row r="64" spans="1:35" ht="12.6" customHeight="1" x14ac:dyDescent="0.2">
      <c r="A64" s="20"/>
      <c r="B64" s="791" t="s">
        <v>486</v>
      </c>
      <c r="C64" s="792"/>
      <c r="D64" s="792"/>
      <c r="E64" s="792"/>
      <c r="F64" s="375">
        <v>890</v>
      </c>
      <c r="G64" s="416">
        <f t="shared" si="130"/>
        <v>890</v>
      </c>
      <c r="H64" s="338"/>
      <c r="I64" s="424"/>
      <c r="J64" s="75">
        <f>F64+120</f>
        <v>1010</v>
      </c>
      <c r="K64" s="348">
        <f t="shared" ref="K64" si="147">+J64*$X$1</f>
        <v>1010</v>
      </c>
      <c r="L64" s="386">
        <f>F64+74</f>
        <v>964</v>
      </c>
      <c r="M64" s="348">
        <f t="shared" ref="M64" si="148">+L64*$X$1</f>
        <v>964</v>
      </c>
      <c r="N64" s="386">
        <f t="shared" si="131"/>
        <v>936</v>
      </c>
      <c r="O64" s="348">
        <f t="shared" ref="O64" si="149">+N64*$X$1</f>
        <v>936</v>
      </c>
      <c r="P64" s="386">
        <f t="shared" si="132"/>
        <v>932</v>
      </c>
      <c r="Q64" s="348">
        <f t="shared" ref="Q64" si="150">+P64*$X$1</f>
        <v>932</v>
      </c>
      <c r="R64" s="386">
        <f t="shared" si="133"/>
        <v>925</v>
      </c>
      <c r="S64" s="348">
        <f t="shared" ref="S64" si="151">+R64*$X$1</f>
        <v>925</v>
      </c>
      <c r="T64" s="386">
        <f t="shared" si="134"/>
        <v>919</v>
      </c>
      <c r="U64" s="348">
        <f t="shared" ref="U64" si="152">+T64*$X$1</f>
        <v>919</v>
      </c>
      <c r="V64" s="386">
        <f t="shared" si="135"/>
        <v>914</v>
      </c>
      <c r="W64" s="348">
        <f t="shared" ref="W64" si="153">+V64*$X$1</f>
        <v>914</v>
      </c>
      <c r="X64" s="142"/>
      <c r="Y64" s="142"/>
      <c r="Z64" s="142"/>
      <c r="AA64" s="142"/>
      <c r="AB64" s="541">
        <v>89</v>
      </c>
    </row>
    <row r="65" spans="1:38" ht="12.6" customHeight="1" x14ac:dyDescent="0.2">
      <c r="A65" s="20"/>
      <c r="B65" s="774" t="s">
        <v>606</v>
      </c>
      <c r="C65" s="721"/>
      <c r="D65" s="721"/>
      <c r="E65" s="721"/>
      <c r="F65" s="349">
        <v>452</v>
      </c>
      <c r="G65" s="418">
        <f t="shared" si="130"/>
        <v>452</v>
      </c>
      <c r="H65" s="337"/>
      <c r="I65" s="425"/>
      <c r="J65" s="94"/>
      <c r="K65" s="374"/>
      <c r="L65" s="607"/>
      <c r="M65" s="374"/>
      <c r="N65" s="607">
        <f t="shared" si="131"/>
        <v>498</v>
      </c>
      <c r="O65" s="349">
        <f t="shared" ref="O65:O66" si="154">+N65*$X$1</f>
        <v>498</v>
      </c>
      <c r="P65" s="607">
        <f t="shared" si="132"/>
        <v>494</v>
      </c>
      <c r="Q65" s="349">
        <f t="shared" ref="Q65:Q66" si="155">+P65*$X$1</f>
        <v>494</v>
      </c>
      <c r="R65" s="607">
        <f t="shared" si="133"/>
        <v>487</v>
      </c>
      <c r="S65" s="349">
        <f t="shared" ref="S65:S66" si="156">+R65*$X$1</f>
        <v>487</v>
      </c>
      <c r="T65" s="607">
        <f t="shared" si="134"/>
        <v>481</v>
      </c>
      <c r="U65" s="349">
        <f t="shared" ref="U65:U66" si="157">+T65*$X$1</f>
        <v>481</v>
      </c>
      <c r="V65" s="607">
        <f t="shared" si="135"/>
        <v>476</v>
      </c>
      <c r="W65" s="349">
        <f t="shared" ref="W65:W66" si="158">+V65*$X$1</f>
        <v>476</v>
      </c>
      <c r="X65" s="158"/>
      <c r="Y65" s="158"/>
      <c r="Z65" s="158" t="s">
        <v>85</v>
      </c>
      <c r="AA65" s="142"/>
      <c r="AB65" s="541">
        <v>91</v>
      </c>
    </row>
    <row r="66" spans="1:38" ht="12.6" customHeight="1" x14ac:dyDescent="0.2">
      <c r="A66" s="20"/>
      <c r="B66" s="1052" t="s">
        <v>86</v>
      </c>
      <c r="C66" s="1053"/>
      <c r="D66" s="1053"/>
      <c r="E66" s="1054"/>
      <c r="F66" s="348">
        <v>215</v>
      </c>
      <c r="G66" s="382">
        <f t="shared" si="130"/>
        <v>215</v>
      </c>
      <c r="H66" s="338"/>
      <c r="I66" s="424"/>
      <c r="J66" s="75"/>
      <c r="K66" s="306"/>
      <c r="L66" s="386"/>
      <c r="M66" s="306"/>
      <c r="N66" s="386">
        <f t="shared" si="131"/>
        <v>261</v>
      </c>
      <c r="O66" s="348">
        <f t="shared" si="154"/>
        <v>261</v>
      </c>
      <c r="P66" s="386">
        <f t="shared" si="132"/>
        <v>257</v>
      </c>
      <c r="Q66" s="348">
        <f t="shared" si="155"/>
        <v>257</v>
      </c>
      <c r="R66" s="386">
        <f t="shared" si="133"/>
        <v>250</v>
      </c>
      <c r="S66" s="348">
        <f t="shared" si="156"/>
        <v>250</v>
      </c>
      <c r="T66" s="386">
        <f t="shared" si="134"/>
        <v>244</v>
      </c>
      <c r="U66" s="348">
        <f t="shared" si="157"/>
        <v>244</v>
      </c>
      <c r="V66" s="386">
        <f t="shared" si="135"/>
        <v>239</v>
      </c>
      <c r="W66" s="348">
        <f t="shared" si="158"/>
        <v>239</v>
      </c>
      <c r="X66" s="158"/>
      <c r="Y66" s="158"/>
      <c r="Z66" s="158"/>
      <c r="AA66" s="142"/>
      <c r="AB66" s="541" t="s">
        <v>87</v>
      </c>
    </row>
    <row r="67" spans="1:38" ht="12.6" customHeight="1" x14ac:dyDescent="0.2">
      <c r="A67" s="20"/>
      <c r="B67" s="1031" t="s">
        <v>401</v>
      </c>
      <c r="C67" s="1032"/>
      <c r="D67" s="1032"/>
      <c r="E67" s="1033"/>
      <c r="F67" s="349"/>
      <c r="G67" s="381"/>
      <c r="H67" s="337"/>
      <c r="I67" s="337"/>
      <c r="J67" s="94"/>
      <c r="K67" s="99"/>
      <c r="L67" s="482"/>
      <c r="M67" s="374"/>
      <c r="N67" s="108"/>
      <c r="O67" s="374"/>
      <c r="P67" s="108"/>
      <c r="Q67" s="349"/>
      <c r="R67" s="108"/>
      <c r="S67" s="374"/>
      <c r="T67" s="108"/>
      <c r="U67" s="374"/>
      <c r="V67" s="108"/>
      <c r="W67" s="349"/>
      <c r="X67" s="158"/>
      <c r="Y67" s="158"/>
      <c r="Z67" s="158"/>
      <c r="AA67" s="142"/>
      <c r="AB67" s="37"/>
    </row>
    <row r="68" spans="1:38" ht="12.6" customHeight="1" x14ac:dyDescent="0.2">
      <c r="A68" s="20"/>
      <c r="B68" s="1052" t="s">
        <v>402</v>
      </c>
      <c r="C68" s="1053"/>
      <c r="D68" s="1053"/>
      <c r="E68" s="1054"/>
      <c r="F68" s="348"/>
      <c r="G68" s="382"/>
      <c r="H68" s="338"/>
      <c r="I68" s="338"/>
      <c r="J68" s="75"/>
      <c r="K68" s="101"/>
      <c r="L68" s="386"/>
      <c r="M68" s="306"/>
      <c r="N68" s="109"/>
      <c r="O68" s="306"/>
      <c r="P68" s="109"/>
      <c r="Q68" s="348"/>
      <c r="R68" s="109"/>
      <c r="S68" s="306"/>
      <c r="T68" s="109"/>
      <c r="U68" s="306"/>
      <c r="V68" s="109"/>
      <c r="W68" s="348"/>
      <c r="X68" s="158"/>
      <c r="Y68" s="158"/>
      <c r="Z68" s="158"/>
      <c r="AA68" s="142"/>
      <c r="AB68" s="37"/>
    </row>
    <row r="69" spans="1:38" ht="12.6" customHeight="1" x14ac:dyDescent="0.2">
      <c r="A69" s="20"/>
      <c r="B69" s="774" t="s">
        <v>88</v>
      </c>
      <c r="C69" s="721"/>
      <c r="D69" s="721"/>
      <c r="E69" s="721"/>
      <c r="F69" s="349">
        <v>4195</v>
      </c>
      <c r="G69" s="381">
        <f t="shared" si="130"/>
        <v>4195</v>
      </c>
      <c r="H69" s="94">
        <f>F69+290</f>
        <v>4485</v>
      </c>
      <c r="I69" s="349">
        <f>+H69*$X$1</f>
        <v>4485</v>
      </c>
      <c r="J69" s="94">
        <f>F69+120</f>
        <v>4315</v>
      </c>
      <c r="K69" s="349">
        <f t="shared" ref="K69" si="159">+J69*$X$1</f>
        <v>4315</v>
      </c>
      <c r="L69" s="607">
        <f>F69+74</f>
        <v>4269</v>
      </c>
      <c r="M69" s="349">
        <f t="shared" ref="M69" si="160">+L69*$X$1</f>
        <v>4269</v>
      </c>
      <c r="N69" s="607">
        <f>F69+46</f>
        <v>4241</v>
      </c>
      <c r="O69" s="349">
        <f t="shared" ref="O69" si="161">+N69*$X$1</f>
        <v>4241</v>
      </c>
      <c r="P69" s="607">
        <f>F69+42</f>
        <v>4237</v>
      </c>
      <c r="Q69" s="349">
        <f t="shared" ref="Q69" si="162">+P69*$X$1</f>
        <v>4237</v>
      </c>
      <c r="R69" s="607">
        <f>F69+35</f>
        <v>4230</v>
      </c>
      <c r="S69" s="349">
        <f t="shared" ref="S69" si="163">+R69*$X$1</f>
        <v>4230</v>
      </c>
      <c r="T69" s="607">
        <f>F69+29</f>
        <v>4224</v>
      </c>
      <c r="U69" s="349">
        <f t="shared" ref="U69" si="164">+T69*$X$1</f>
        <v>4224</v>
      </c>
      <c r="V69" s="607">
        <f>F69+24</f>
        <v>4219</v>
      </c>
      <c r="W69" s="349">
        <f t="shared" ref="W69" si="165">+V69*$X$1</f>
        <v>4219</v>
      </c>
      <c r="X69" s="145"/>
      <c r="Y69" s="142"/>
      <c r="Z69" s="142"/>
      <c r="AA69" s="142"/>
      <c r="AB69" s="541">
        <v>92</v>
      </c>
    </row>
    <row r="70" spans="1:38" ht="12.6" customHeight="1" x14ac:dyDescent="0.25">
      <c r="A70" s="61"/>
      <c r="B70" s="793" t="s">
        <v>565</v>
      </c>
      <c r="C70" s="707"/>
      <c r="D70" s="707"/>
      <c r="E70" s="707"/>
      <c r="F70" s="348"/>
      <c r="G70" s="306"/>
      <c r="H70" s="114"/>
      <c r="I70" s="1264" t="s">
        <v>574</v>
      </c>
      <c r="J70" s="1265"/>
      <c r="K70" s="1265"/>
      <c r="L70" s="1266"/>
      <c r="M70" s="1267"/>
      <c r="N70" s="386">
        <v>864</v>
      </c>
      <c r="O70" s="382">
        <f>+N70*$X$1</f>
        <v>864</v>
      </c>
      <c r="P70" s="393">
        <v>860</v>
      </c>
      <c r="Q70" s="376">
        <f>+P70*$X$1</f>
        <v>860</v>
      </c>
      <c r="R70" s="386">
        <v>815</v>
      </c>
      <c r="S70" s="306">
        <f>+R70*$X$1</f>
        <v>815</v>
      </c>
      <c r="T70" s="386">
        <v>778</v>
      </c>
      <c r="U70" s="348">
        <f>+T70*$X$1</f>
        <v>778</v>
      </c>
      <c r="V70" s="386">
        <v>708</v>
      </c>
      <c r="W70" s="348">
        <f>+V70*$X$1</f>
        <v>708</v>
      </c>
      <c r="X70" s="789"/>
      <c r="Y70" s="789"/>
      <c r="Z70" s="789"/>
      <c r="AA70" s="789"/>
      <c r="AB70" s="209" t="s">
        <v>566</v>
      </c>
    </row>
    <row r="71" spans="1:38" ht="12.6" customHeight="1" x14ac:dyDescent="0.25">
      <c r="A71" s="61"/>
      <c r="B71" s="774" t="s">
        <v>391</v>
      </c>
      <c r="C71" s="740"/>
      <c r="D71" s="740"/>
      <c r="E71" s="740"/>
      <c r="F71" s="349"/>
      <c r="G71" s="374"/>
      <c r="H71" s="285"/>
      <c r="I71" s="1034" t="s">
        <v>574</v>
      </c>
      <c r="J71" s="1035"/>
      <c r="K71" s="1035"/>
      <c r="L71" s="1036"/>
      <c r="M71" s="1037"/>
      <c r="N71" s="582">
        <v>930</v>
      </c>
      <c r="O71" s="381">
        <f>+N71*$X$1</f>
        <v>930</v>
      </c>
      <c r="P71" s="362">
        <v>926</v>
      </c>
      <c r="Q71" s="417">
        <f>+P71*$X$1</f>
        <v>926</v>
      </c>
      <c r="R71" s="582">
        <v>876</v>
      </c>
      <c r="S71" s="374">
        <f>+R71*$X$1</f>
        <v>876</v>
      </c>
      <c r="T71" s="582">
        <v>852</v>
      </c>
      <c r="U71" s="349">
        <f>+T71*$X$1</f>
        <v>852</v>
      </c>
      <c r="V71" s="582">
        <v>770</v>
      </c>
      <c r="W71" s="349">
        <f>+V71*$X$1</f>
        <v>770</v>
      </c>
      <c r="X71" s="789"/>
      <c r="Y71" s="789"/>
      <c r="Z71" s="789"/>
      <c r="AA71" s="789"/>
      <c r="AB71" s="209" t="s">
        <v>89</v>
      </c>
    </row>
    <row r="72" spans="1:38" ht="12.6" customHeight="1" x14ac:dyDescent="0.25">
      <c r="A72" s="61"/>
      <c r="B72" s="793" t="s">
        <v>567</v>
      </c>
      <c r="C72" s="707"/>
      <c r="D72" s="707"/>
      <c r="E72" s="707"/>
      <c r="F72" s="348"/>
      <c r="G72" s="306"/>
      <c r="H72" s="114"/>
      <c r="I72" s="1264" t="s">
        <v>574</v>
      </c>
      <c r="J72" s="1265"/>
      <c r="K72" s="1265"/>
      <c r="L72" s="1266"/>
      <c r="M72" s="1267"/>
      <c r="N72" s="386">
        <v>1360</v>
      </c>
      <c r="O72" s="382">
        <f>+N72*$X$1</f>
        <v>1360</v>
      </c>
      <c r="P72" s="363">
        <v>1355</v>
      </c>
      <c r="Q72" s="376">
        <f>+P72*$X$1</f>
        <v>1355</v>
      </c>
      <c r="R72" s="386">
        <v>1305</v>
      </c>
      <c r="S72" s="306">
        <f>+R72*$X$1</f>
        <v>1305</v>
      </c>
      <c r="T72" s="386">
        <v>1281</v>
      </c>
      <c r="U72" s="348">
        <f>+T72*$X$1</f>
        <v>1281</v>
      </c>
      <c r="V72" s="386">
        <v>1199</v>
      </c>
      <c r="W72" s="348">
        <f>+V72*$X$1</f>
        <v>1199</v>
      </c>
      <c r="X72" s="789"/>
      <c r="Y72" s="789"/>
      <c r="Z72" s="789"/>
      <c r="AA72" s="789"/>
      <c r="AB72" s="209" t="s">
        <v>568</v>
      </c>
    </row>
    <row r="73" spans="1:38" ht="12.6" customHeight="1" x14ac:dyDescent="0.25">
      <c r="A73" s="20"/>
      <c r="B73" s="774" t="s">
        <v>392</v>
      </c>
      <c r="C73" s="740"/>
      <c r="D73" s="740"/>
      <c r="E73" s="740"/>
      <c r="F73" s="349"/>
      <c r="G73" s="374"/>
      <c r="H73" s="285"/>
      <c r="I73" s="1066"/>
      <c r="J73" s="1067"/>
      <c r="K73" s="1067"/>
      <c r="L73" s="337"/>
      <c r="M73" s="425"/>
      <c r="N73" s="501"/>
      <c r="O73" s="381"/>
      <c r="P73" s="553"/>
      <c r="Q73" s="349"/>
      <c r="R73" s="553"/>
      <c r="S73" s="374"/>
      <c r="T73" s="553"/>
      <c r="U73" s="349"/>
      <c r="V73" s="100"/>
      <c r="W73" s="349"/>
      <c r="X73" s="789"/>
      <c r="Y73" s="789"/>
      <c r="Z73" s="789"/>
      <c r="AA73" s="789"/>
      <c r="AB73" s="209" t="s">
        <v>90</v>
      </c>
      <c r="AH73" s="4"/>
      <c r="AI73" s="4"/>
      <c r="AJ73" s="4"/>
    </row>
    <row r="74" spans="1:38" s="6" customFormat="1" ht="12.6" customHeight="1" x14ac:dyDescent="0.25">
      <c r="A74" s="61"/>
      <c r="B74" s="1295" t="s">
        <v>472</v>
      </c>
      <c r="C74" s="717"/>
      <c r="D74" s="717"/>
      <c r="E74" s="718"/>
      <c r="F74" s="348"/>
      <c r="G74" s="306"/>
      <c r="H74" s="386"/>
      <c r="I74" s="382"/>
      <c r="J74" s="387"/>
      <c r="K74" s="454"/>
      <c r="L74" s="388">
        <v>2326</v>
      </c>
      <c r="M74" s="348">
        <f>+L74*$X$1</f>
        <v>2326</v>
      </c>
      <c r="N74" s="386">
        <v>2193</v>
      </c>
      <c r="O74" s="382">
        <f>+N74*$X$1</f>
        <v>2193</v>
      </c>
      <c r="P74" s="505">
        <v>2020</v>
      </c>
      <c r="Q74" s="376">
        <f>+P74*$X$1</f>
        <v>2020</v>
      </c>
      <c r="R74" s="386">
        <v>1990</v>
      </c>
      <c r="S74" s="306">
        <f>+R74*$X$1</f>
        <v>1990</v>
      </c>
      <c r="T74" s="386">
        <v>1936</v>
      </c>
      <c r="U74" s="348">
        <f>+T74*$X$1</f>
        <v>1936</v>
      </c>
      <c r="V74" s="580"/>
      <c r="W74" s="451"/>
      <c r="X74" s="283"/>
      <c r="Y74" s="284"/>
      <c r="Z74" s="284"/>
      <c r="AA74" s="284"/>
      <c r="AB74" s="209" t="s">
        <v>91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1272" t="s">
        <v>473</v>
      </c>
      <c r="C75" s="1273"/>
      <c r="D75" s="1273"/>
      <c r="E75" s="1274"/>
      <c r="F75" s="349"/>
      <c r="G75" s="450"/>
      <c r="H75" s="482"/>
      <c r="I75" s="453"/>
      <c r="J75" s="355"/>
      <c r="K75" s="455"/>
      <c r="L75" s="389">
        <v>3270</v>
      </c>
      <c r="M75" s="349">
        <f>+L75*$X$1</f>
        <v>3270</v>
      </c>
      <c r="N75" s="582">
        <v>3070</v>
      </c>
      <c r="O75" s="453">
        <f>+N75*$X$1</f>
        <v>3070</v>
      </c>
      <c r="P75" s="506">
        <v>3003</v>
      </c>
      <c r="Q75" s="417">
        <f>+P75*$X$1</f>
        <v>3003</v>
      </c>
      <c r="R75" s="582">
        <v>2971</v>
      </c>
      <c r="S75" s="450">
        <f>+R75*$X$1</f>
        <v>2971</v>
      </c>
      <c r="T75" s="582">
        <v>2788</v>
      </c>
      <c r="U75" s="349">
        <f>+T75*$X$1</f>
        <v>2788</v>
      </c>
      <c r="V75" s="581"/>
      <c r="W75" s="452"/>
      <c r="X75" s="1059"/>
      <c r="Y75" s="1060"/>
      <c r="Z75" s="1060"/>
      <c r="AA75" s="1060"/>
      <c r="AB75" s="209" t="s">
        <v>92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2"/>
      <c r="B76" s="116"/>
      <c r="C76" s="71"/>
      <c r="D76" s="71"/>
      <c r="E76" s="71"/>
      <c r="F76" s="200"/>
      <c r="G76" s="200"/>
      <c r="H76" s="200"/>
      <c r="I76" s="200"/>
      <c r="J76" s="200"/>
      <c r="K76" s="200"/>
      <c r="L76" s="117"/>
      <c r="M76" s="117"/>
      <c r="N76" s="118"/>
      <c r="O76" s="118"/>
      <c r="P76" s="118"/>
      <c r="Q76" s="119"/>
      <c r="R76" s="92"/>
      <c r="S76" s="67"/>
      <c r="T76" s="67"/>
      <c r="U76" s="67"/>
      <c r="V76" s="67"/>
      <c r="W76" s="67"/>
      <c r="X76" s="80"/>
      <c r="AB76" s="115"/>
    </row>
    <row r="77" spans="1:38" ht="12.6" customHeight="1" x14ac:dyDescent="0.2">
      <c r="A77" s="102"/>
      <c r="B77" s="116"/>
      <c r="C77" s="385"/>
      <c r="D77" s="385"/>
      <c r="E77" s="385"/>
      <c r="F77" s="269"/>
      <c r="G77" s="269"/>
      <c r="H77" s="269"/>
      <c r="I77" s="269"/>
      <c r="J77" s="269"/>
      <c r="K77" s="269"/>
      <c r="L77" s="117"/>
      <c r="M77" s="117"/>
      <c r="N77" s="118"/>
      <c r="O77" s="118"/>
      <c r="P77" s="118"/>
      <c r="Q77" s="119"/>
      <c r="R77" s="92"/>
      <c r="S77" s="67"/>
      <c r="T77" s="67"/>
      <c r="U77" s="67"/>
      <c r="V77" s="67"/>
      <c r="W77" s="67"/>
      <c r="X77" s="80"/>
      <c r="AB77" s="115"/>
    </row>
    <row r="78" spans="1:38" ht="12.6" customHeight="1" thickBot="1" x14ac:dyDescent="0.25">
      <c r="A78" s="102"/>
      <c r="B78" s="116"/>
      <c r="C78" s="270"/>
      <c r="D78" s="270"/>
      <c r="E78" s="270"/>
      <c r="F78" s="269"/>
      <c r="G78" s="269"/>
      <c r="H78" s="269"/>
      <c r="I78" s="269"/>
      <c r="J78" s="269"/>
      <c r="K78" s="269"/>
      <c r="L78" s="117"/>
      <c r="M78" s="117"/>
      <c r="N78" s="118"/>
      <c r="O78" s="118"/>
      <c r="P78" s="118"/>
      <c r="Q78" s="119"/>
      <c r="R78" s="92"/>
      <c r="S78" s="67"/>
      <c r="T78" s="67"/>
      <c r="U78" s="67"/>
      <c r="V78" s="67"/>
      <c r="W78" s="67"/>
      <c r="X78" s="80"/>
      <c r="AB78" s="115"/>
    </row>
    <row r="79" spans="1:38" ht="15.75" customHeight="1" x14ac:dyDescent="0.2">
      <c r="A79" s="20"/>
      <c r="B79" s="768" t="s">
        <v>11</v>
      </c>
      <c r="C79" s="754" t="s">
        <v>12</v>
      </c>
      <c r="D79" s="755"/>
      <c r="E79" s="755"/>
      <c r="F79" s="780" t="s">
        <v>13</v>
      </c>
      <c r="G79" s="780" t="s">
        <v>13</v>
      </c>
      <c r="H79" s="1061" t="s">
        <v>14</v>
      </c>
      <c r="I79" s="1061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5"/>
      <c r="X79" s="771" t="s">
        <v>15</v>
      </c>
      <c r="Y79" s="771"/>
      <c r="Z79" s="771"/>
      <c r="AA79" s="771"/>
      <c r="AB79" s="839" t="s">
        <v>16</v>
      </c>
      <c r="AF79" s="828" t="s">
        <v>3</v>
      </c>
      <c r="AG79" s="829"/>
      <c r="AH79" s="829"/>
    </row>
    <row r="80" spans="1:38" ht="12" customHeight="1" thickBot="1" x14ac:dyDescent="0.25">
      <c r="A80" s="20"/>
      <c r="B80" s="769"/>
      <c r="C80" s="756"/>
      <c r="D80" s="756"/>
      <c r="E80" s="756"/>
      <c r="F80" s="781"/>
      <c r="G80" s="781"/>
      <c r="H80" s="299"/>
      <c r="I80" s="295" t="s">
        <v>312</v>
      </c>
      <c r="J80" s="299"/>
      <c r="K80" s="295" t="s">
        <v>18</v>
      </c>
      <c r="L80" s="300"/>
      <c r="M80" s="300" t="s">
        <v>19</v>
      </c>
      <c r="N80" s="300"/>
      <c r="O80" s="295" t="s">
        <v>20</v>
      </c>
      <c r="P80" s="301"/>
      <c r="Q80" s="300" t="s">
        <v>314</v>
      </c>
      <c r="R80" s="300"/>
      <c r="S80" s="300" t="s">
        <v>21</v>
      </c>
      <c r="T80" s="300"/>
      <c r="U80" s="300" t="s">
        <v>22</v>
      </c>
      <c r="V80" s="300"/>
      <c r="W80" s="302" t="s">
        <v>23</v>
      </c>
      <c r="X80" s="773"/>
      <c r="Y80" s="773"/>
      <c r="Z80" s="773"/>
      <c r="AA80" s="773"/>
      <c r="AB80" s="1198"/>
    </row>
    <row r="81" spans="1:34" ht="12.6" customHeight="1" x14ac:dyDescent="0.2">
      <c r="A81" s="20"/>
      <c r="B81" s="720" t="s">
        <v>93</v>
      </c>
      <c r="C81" s="721"/>
      <c r="D81" s="721"/>
      <c r="E81" s="1038"/>
      <c r="F81" s="1275" t="s">
        <v>814</v>
      </c>
      <c r="G81" s="1276"/>
      <c r="H81" s="1276"/>
      <c r="I81" s="1276"/>
      <c r="J81" s="312"/>
      <c r="K81" s="337"/>
      <c r="L81" s="370"/>
      <c r="M81" s="349"/>
      <c r="N81" s="501"/>
      <c r="O81" s="417"/>
      <c r="P81" s="339"/>
      <c r="Q81" s="417"/>
      <c r="R81" s="501"/>
      <c r="S81" s="349"/>
      <c r="T81" s="501"/>
      <c r="U81" s="349"/>
      <c r="V81" s="501"/>
      <c r="W81" s="349"/>
      <c r="X81" s="142"/>
      <c r="Y81" s="142"/>
      <c r="Z81" s="142"/>
      <c r="AA81" s="142"/>
      <c r="AB81" s="548" t="s">
        <v>94</v>
      </c>
      <c r="AC81" s="544" t="s">
        <v>95</v>
      </c>
      <c r="AD81" s="544" t="s">
        <v>96</v>
      </c>
      <c r="AE81" s="544" t="s">
        <v>97</v>
      </c>
      <c r="AF81" s="544" t="s">
        <v>98</v>
      </c>
      <c r="AG81" s="544" t="s">
        <v>99</v>
      </c>
    </row>
    <row r="82" spans="1:34" ht="12.6" customHeight="1" x14ac:dyDescent="0.2">
      <c r="A82" s="20"/>
      <c r="B82" s="706" t="s">
        <v>100</v>
      </c>
      <c r="C82" s="729"/>
      <c r="D82" s="729"/>
      <c r="E82" s="1030"/>
      <c r="F82" s="1277"/>
      <c r="G82" s="1278"/>
      <c r="H82" s="1278"/>
      <c r="I82" s="1278"/>
      <c r="J82" s="19"/>
      <c r="K82" s="344"/>
      <c r="L82" s="371"/>
      <c r="M82" s="348"/>
      <c r="N82" s="507"/>
      <c r="O82" s="382"/>
      <c r="P82" s="340"/>
      <c r="Q82" s="376"/>
      <c r="R82" s="507"/>
      <c r="S82" s="306"/>
      <c r="T82" s="507"/>
      <c r="U82" s="348"/>
      <c r="V82" s="120"/>
      <c r="W82" s="348"/>
      <c r="X82" s="146"/>
      <c r="Y82" s="146"/>
      <c r="Z82" s="146"/>
      <c r="AA82" s="146"/>
      <c r="AB82" s="548" t="s">
        <v>101</v>
      </c>
      <c r="AC82" s="544" t="s">
        <v>102</v>
      </c>
      <c r="AD82" s="544" t="s">
        <v>103</v>
      </c>
      <c r="AE82" s="544" t="s">
        <v>104</v>
      </c>
      <c r="AF82" s="544" t="s">
        <v>105</v>
      </c>
      <c r="AG82" s="544" t="s">
        <v>106</v>
      </c>
      <c r="AH82" s="544" t="s">
        <v>107</v>
      </c>
    </row>
    <row r="83" spans="1:34" ht="12.6" customHeight="1" x14ac:dyDescent="0.25">
      <c r="A83" s="20"/>
      <c r="B83" s="720" t="s">
        <v>108</v>
      </c>
      <c r="C83" s="721"/>
      <c r="D83" s="721"/>
      <c r="E83" s="1038"/>
      <c r="F83" s="1277"/>
      <c r="G83" s="1278"/>
      <c r="H83" s="1278"/>
      <c r="I83" s="1278"/>
      <c r="J83" s="312"/>
      <c r="K83" s="337"/>
      <c r="L83" s="370"/>
      <c r="M83" s="349"/>
      <c r="N83" s="501"/>
      <c r="O83" s="381"/>
      <c r="P83" s="339"/>
      <c r="Q83" s="417"/>
      <c r="R83" s="501"/>
      <c r="S83" s="374"/>
      <c r="T83" s="501"/>
      <c r="U83" s="349"/>
      <c r="V83" s="501"/>
      <c r="W83" s="349"/>
      <c r="X83" s="1175"/>
      <c r="Y83" s="1176"/>
      <c r="Z83" s="1176"/>
      <c r="AA83" s="202">
        <f>190*$X$1</f>
        <v>190</v>
      </c>
      <c r="AB83" s="548" t="s">
        <v>109</v>
      </c>
      <c r="AC83" s="544" t="s">
        <v>110</v>
      </c>
      <c r="AD83" s="544" t="s">
        <v>111</v>
      </c>
      <c r="AE83" s="544" t="s">
        <v>112</v>
      </c>
      <c r="AF83" s="544" t="s">
        <v>113</v>
      </c>
      <c r="AG83" s="549" t="s">
        <v>114</v>
      </c>
      <c r="AH83" s="544" t="s">
        <v>115</v>
      </c>
    </row>
    <row r="84" spans="1:34" ht="12.6" customHeight="1" x14ac:dyDescent="0.25">
      <c r="A84" s="20"/>
      <c r="B84" s="706" t="s">
        <v>116</v>
      </c>
      <c r="C84" s="729"/>
      <c r="D84" s="729"/>
      <c r="E84" s="1030"/>
      <c r="F84" s="1277"/>
      <c r="G84" s="1278"/>
      <c r="H84" s="1278"/>
      <c r="I84" s="1278"/>
      <c r="J84" s="19"/>
      <c r="K84" s="344"/>
      <c r="L84" s="371"/>
      <c r="M84" s="348"/>
      <c r="N84" s="120"/>
      <c r="O84" s="382"/>
      <c r="P84" s="340"/>
      <c r="Q84" s="376"/>
      <c r="R84" s="120"/>
      <c r="S84" s="306"/>
      <c r="T84" s="120"/>
      <c r="U84" s="348"/>
      <c r="V84" s="120"/>
      <c r="W84" s="348"/>
      <c r="X84" s="1175"/>
      <c r="Y84" s="1176"/>
      <c r="Z84" s="1176"/>
      <c r="AA84" s="202">
        <f>190*$X$1</f>
        <v>190</v>
      </c>
      <c r="AB84" s="548" t="s">
        <v>117</v>
      </c>
      <c r="AC84" s="550" t="s">
        <v>118</v>
      </c>
      <c r="AD84" s="550" t="s">
        <v>119</v>
      </c>
      <c r="AE84" s="550" t="s">
        <v>120</v>
      </c>
      <c r="AF84" s="550" t="s">
        <v>121</v>
      </c>
      <c r="AG84" s="32"/>
    </row>
    <row r="85" spans="1:34" ht="12.6" customHeight="1" x14ac:dyDescent="0.2">
      <c r="A85" s="20"/>
      <c r="B85" s="720" t="s">
        <v>122</v>
      </c>
      <c r="C85" s="721"/>
      <c r="D85" s="721"/>
      <c r="E85" s="1038"/>
      <c r="F85" s="1277"/>
      <c r="G85" s="1278"/>
      <c r="H85" s="1278"/>
      <c r="I85" s="1278"/>
      <c r="J85" s="312"/>
      <c r="K85" s="337"/>
      <c r="L85" s="370"/>
      <c r="M85" s="349"/>
      <c r="N85" s="501"/>
      <c r="O85" s="381"/>
      <c r="P85" s="339"/>
      <c r="Q85" s="417"/>
      <c r="R85" s="501"/>
      <c r="S85" s="374"/>
      <c r="T85" s="501"/>
      <c r="U85" s="349"/>
      <c r="V85" s="501"/>
      <c r="W85" s="349"/>
      <c r="X85" s="163"/>
      <c r="Y85" s="163"/>
      <c r="Z85" s="163"/>
      <c r="AA85" s="163"/>
      <c r="AB85" s="33" t="s">
        <v>123</v>
      </c>
      <c r="AC85" s="544" t="s">
        <v>124</v>
      </c>
      <c r="AD85" s="544" t="s">
        <v>125</v>
      </c>
      <c r="AE85" s="544" t="s">
        <v>126</v>
      </c>
      <c r="AF85" s="544" t="s">
        <v>127</v>
      </c>
      <c r="AG85" s="544" t="s">
        <v>128</v>
      </c>
    </row>
    <row r="86" spans="1:34" ht="12.6" customHeight="1" x14ac:dyDescent="0.2">
      <c r="A86" s="20"/>
      <c r="B86" s="706" t="s">
        <v>129</v>
      </c>
      <c r="C86" s="729"/>
      <c r="D86" s="729"/>
      <c r="E86" s="1030"/>
      <c r="F86" s="1277"/>
      <c r="G86" s="1278"/>
      <c r="H86" s="1278"/>
      <c r="I86" s="1278"/>
      <c r="J86" s="19"/>
      <c r="K86" s="344"/>
      <c r="L86" s="371"/>
      <c r="M86" s="348"/>
      <c r="N86" s="120"/>
      <c r="O86" s="382"/>
      <c r="P86" s="340"/>
      <c r="Q86" s="376"/>
      <c r="R86" s="120"/>
      <c r="S86" s="306"/>
      <c r="T86" s="120"/>
      <c r="U86" s="348"/>
      <c r="V86" s="120"/>
      <c r="W86" s="348"/>
      <c r="X86" s="163"/>
      <c r="Y86" s="163"/>
      <c r="Z86" s="163"/>
      <c r="AA86" s="163"/>
      <c r="AB86" s="33" t="s">
        <v>130</v>
      </c>
      <c r="AC86" s="550" t="s">
        <v>131</v>
      </c>
      <c r="AD86" s="550" t="s">
        <v>132</v>
      </c>
      <c r="AE86" s="550" t="s">
        <v>133</v>
      </c>
    </row>
    <row r="87" spans="1:34" ht="12.6" customHeight="1" x14ac:dyDescent="0.25">
      <c r="A87" s="20"/>
      <c r="B87" s="720" t="s">
        <v>134</v>
      </c>
      <c r="C87" s="721"/>
      <c r="D87" s="721"/>
      <c r="E87" s="1038"/>
      <c r="F87" s="1277"/>
      <c r="G87" s="1278"/>
      <c r="H87" s="1278"/>
      <c r="I87" s="1278"/>
      <c r="J87" s="312"/>
      <c r="K87" s="337"/>
      <c r="L87" s="370"/>
      <c r="M87" s="349"/>
      <c r="N87" s="501"/>
      <c r="O87" s="381"/>
      <c r="P87" s="339"/>
      <c r="Q87" s="417"/>
      <c r="R87" s="501"/>
      <c r="S87" s="374"/>
      <c r="T87" s="501"/>
      <c r="U87" s="349"/>
      <c r="V87" s="501"/>
      <c r="W87" s="349"/>
      <c r="X87" s="1175"/>
      <c r="Y87" s="1176"/>
      <c r="Z87" s="1176"/>
      <c r="AA87" s="202">
        <f>190*$X$1</f>
        <v>190</v>
      </c>
      <c r="AB87" s="33" t="s">
        <v>135</v>
      </c>
      <c r="AC87" s="544" t="s">
        <v>136</v>
      </c>
      <c r="AD87" s="544" t="s">
        <v>137</v>
      </c>
      <c r="AE87" s="544" t="s">
        <v>138</v>
      </c>
      <c r="AF87" s="544" t="s">
        <v>139</v>
      </c>
      <c r="AG87" s="544" t="s">
        <v>140</v>
      </c>
      <c r="AH87" s="544" t="s">
        <v>141</v>
      </c>
    </row>
    <row r="88" spans="1:34" ht="12.6" customHeight="1" x14ac:dyDescent="0.25">
      <c r="A88" s="20"/>
      <c r="B88" s="706" t="s">
        <v>142</v>
      </c>
      <c r="C88" s="729"/>
      <c r="D88" s="729"/>
      <c r="E88" s="1030"/>
      <c r="F88" s="1277"/>
      <c r="G88" s="1278"/>
      <c r="H88" s="1278"/>
      <c r="I88" s="1278"/>
      <c r="J88" s="19"/>
      <c r="K88" s="344"/>
      <c r="L88" s="371"/>
      <c r="M88" s="348"/>
      <c r="N88" s="120"/>
      <c r="O88" s="382"/>
      <c r="P88" s="340"/>
      <c r="Q88" s="376"/>
      <c r="R88" s="120"/>
      <c r="S88" s="306"/>
      <c r="T88" s="120"/>
      <c r="U88" s="348"/>
      <c r="V88" s="120"/>
      <c r="W88" s="348"/>
      <c r="X88" s="1175"/>
      <c r="Y88" s="1176"/>
      <c r="Z88" s="1176"/>
      <c r="AA88" s="202">
        <f>3600*$X$1</f>
        <v>3600</v>
      </c>
      <c r="AB88" s="546" t="s">
        <v>143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20" t="s">
        <v>144</v>
      </c>
      <c r="C89" s="721"/>
      <c r="D89" s="721"/>
      <c r="E89" s="1038"/>
      <c r="F89" s="1277"/>
      <c r="G89" s="1278"/>
      <c r="H89" s="1278"/>
      <c r="I89" s="1278"/>
      <c r="J89" s="312"/>
      <c r="K89" s="337"/>
      <c r="L89" s="370"/>
      <c r="M89" s="349"/>
      <c r="N89" s="501"/>
      <c r="O89" s="381"/>
      <c r="P89" s="339"/>
      <c r="Q89" s="417"/>
      <c r="R89" s="501"/>
      <c r="S89" s="374"/>
      <c r="T89" s="501"/>
      <c r="U89" s="349"/>
      <c r="V89" s="501"/>
      <c r="W89" s="349"/>
      <c r="X89" s="162"/>
      <c r="Y89" s="162"/>
      <c r="Z89" s="162"/>
      <c r="AA89" s="162"/>
      <c r="AB89" s="544" t="s">
        <v>145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706" t="s">
        <v>146</v>
      </c>
      <c r="C90" s="729"/>
      <c r="D90" s="729"/>
      <c r="E90" s="1030"/>
      <c r="F90" s="1277"/>
      <c r="G90" s="1278"/>
      <c r="H90" s="1278"/>
      <c r="I90" s="1278"/>
      <c r="J90" s="19"/>
      <c r="K90" s="344"/>
      <c r="L90" s="371"/>
      <c r="M90" s="348"/>
      <c r="N90" s="120"/>
      <c r="O90" s="382"/>
      <c r="P90" s="340"/>
      <c r="Q90" s="382"/>
      <c r="R90" s="120"/>
      <c r="S90" s="382"/>
      <c r="T90" s="120"/>
      <c r="U90" s="348"/>
      <c r="V90" s="120"/>
      <c r="W90" s="348"/>
      <c r="X90" s="162"/>
      <c r="Y90" s="162"/>
      <c r="Z90" s="162"/>
      <c r="AA90" s="162"/>
      <c r="AB90" s="544" t="s">
        <v>147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20" t="s">
        <v>148</v>
      </c>
      <c r="C91" s="721"/>
      <c r="D91" s="721"/>
      <c r="E91" s="1038"/>
      <c r="F91" s="1279"/>
      <c r="G91" s="1280"/>
      <c r="H91" s="1280"/>
      <c r="I91" s="1280"/>
      <c r="J91" s="312"/>
      <c r="K91" s="337"/>
      <c r="L91" s="370"/>
      <c r="M91" s="349"/>
      <c r="N91" s="501"/>
      <c r="O91" s="438"/>
      <c r="P91" s="339"/>
      <c r="Q91" s="417"/>
      <c r="R91" s="100"/>
      <c r="S91" s="431"/>
      <c r="T91" s="501"/>
      <c r="U91" s="349"/>
      <c r="V91" s="501"/>
      <c r="W91" s="349"/>
      <c r="X91" s="142"/>
      <c r="Y91" s="142"/>
      <c r="Z91" s="142"/>
      <c r="AA91" s="142"/>
      <c r="AB91" s="547" t="s">
        <v>149</v>
      </c>
      <c r="AC91" s="544" t="s">
        <v>150</v>
      </c>
      <c r="AD91" s="544" t="s">
        <v>151</v>
      </c>
      <c r="AE91" s="544" t="s">
        <v>152</v>
      </c>
      <c r="AF91" s="544" t="s">
        <v>153</v>
      </c>
      <c r="AG91" s="544" t="s">
        <v>154</v>
      </c>
    </row>
    <row r="92" spans="1:34" ht="12.6" customHeight="1" x14ac:dyDescent="0.2">
      <c r="A92" s="20"/>
      <c r="B92" s="706" t="s">
        <v>600</v>
      </c>
      <c r="C92" s="729"/>
      <c r="D92" s="729"/>
      <c r="E92" s="729"/>
      <c r="F92" s="447"/>
      <c r="G92" s="376"/>
      <c r="H92" s="75"/>
      <c r="I92" s="404"/>
      <c r="J92" s="386"/>
      <c r="K92" s="348"/>
      <c r="L92" s="386"/>
      <c r="M92" s="348"/>
      <c r="N92" s="386"/>
      <c r="O92" s="348"/>
      <c r="P92" s="386"/>
      <c r="Q92" s="348"/>
      <c r="R92" s="386"/>
      <c r="S92" s="348"/>
      <c r="T92" s="386"/>
      <c r="U92" s="348"/>
      <c r="V92" s="386"/>
      <c r="W92" s="348"/>
      <c r="X92" s="174"/>
      <c r="Y92" s="146"/>
      <c r="Z92" s="146"/>
      <c r="AA92" s="149"/>
      <c r="AB92" s="173"/>
    </row>
    <row r="93" spans="1:34" ht="12.6" customHeight="1" x14ac:dyDescent="0.2">
      <c r="A93" s="20"/>
      <c r="B93" s="720" t="s">
        <v>560</v>
      </c>
      <c r="C93" s="721"/>
      <c r="D93" s="721"/>
      <c r="E93" s="721"/>
      <c r="F93" s="349"/>
      <c r="G93" s="417"/>
      <c r="H93" s="312"/>
      <c r="I93" s="354"/>
      <c r="J93" s="468"/>
      <c r="K93" s="349"/>
      <c r="L93" s="501"/>
      <c r="M93" s="349"/>
      <c r="N93" s="501"/>
      <c r="O93" s="349"/>
      <c r="P93" s="501"/>
      <c r="Q93" s="349"/>
      <c r="R93" s="501"/>
      <c r="S93" s="349"/>
      <c r="T93" s="501"/>
      <c r="U93" s="349"/>
      <c r="V93" s="94"/>
      <c r="W93" s="426"/>
      <c r="X93" s="174"/>
      <c r="Y93" s="146"/>
      <c r="Z93" s="146"/>
      <c r="AA93" s="149"/>
      <c r="AB93" s="545">
        <v>117</v>
      </c>
    </row>
    <row r="94" spans="1:34" ht="12.6" customHeight="1" x14ac:dyDescent="0.2">
      <c r="A94" s="20"/>
      <c r="B94" s="716" t="s">
        <v>582</v>
      </c>
      <c r="C94" s="717"/>
      <c r="D94" s="717"/>
      <c r="E94" s="718"/>
      <c r="F94" s="348"/>
      <c r="G94" s="376"/>
      <c r="H94" s="315"/>
      <c r="I94" s="338"/>
      <c r="J94" s="386"/>
      <c r="K94" s="348"/>
      <c r="L94" s="386"/>
      <c r="M94" s="348"/>
      <c r="N94" s="386"/>
      <c r="O94" s="348"/>
      <c r="P94" s="386"/>
      <c r="Q94" s="348"/>
      <c r="R94" s="386"/>
      <c r="S94" s="348"/>
      <c r="T94" s="386"/>
      <c r="U94" s="348"/>
      <c r="V94" s="75"/>
      <c r="W94" s="427"/>
      <c r="X94" s="174"/>
      <c r="Y94" s="146"/>
      <c r="Z94" s="146"/>
      <c r="AA94" s="149"/>
      <c r="AB94" s="545"/>
    </row>
    <row r="95" spans="1:34" ht="12.6" customHeight="1" x14ac:dyDescent="0.2">
      <c r="A95" s="20"/>
      <c r="B95" s="720" t="s">
        <v>561</v>
      </c>
      <c r="C95" s="721"/>
      <c r="D95" s="721"/>
      <c r="E95" s="721"/>
      <c r="F95" s="349"/>
      <c r="G95" s="417"/>
      <c r="H95" s="312"/>
      <c r="I95" s="337"/>
      <c r="J95" s="468"/>
      <c r="K95" s="349"/>
      <c r="L95" s="483"/>
      <c r="M95" s="349"/>
      <c r="N95" s="483"/>
      <c r="O95" s="349"/>
      <c r="P95" s="483"/>
      <c r="Q95" s="349"/>
      <c r="R95" s="483"/>
      <c r="S95" s="349"/>
      <c r="T95" s="483"/>
      <c r="U95" s="349"/>
      <c r="V95" s="94"/>
      <c r="W95" s="426"/>
      <c r="X95" s="174"/>
      <c r="Y95" s="146"/>
      <c r="Z95" s="146"/>
      <c r="AA95" s="149"/>
      <c r="AB95" s="545">
        <v>129</v>
      </c>
    </row>
    <row r="96" spans="1:34" ht="12.6" customHeight="1" x14ac:dyDescent="0.2">
      <c r="A96" s="112"/>
      <c r="B96" s="922" t="s">
        <v>461</v>
      </c>
      <c r="C96" s="923"/>
      <c r="D96" s="923"/>
      <c r="E96" s="923"/>
      <c r="F96" s="415">
        <v>480</v>
      </c>
      <c r="G96" s="448">
        <f t="shared" ref="G96:G101" si="166">+F96*$X$1</f>
        <v>480</v>
      </c>
      <c r="H96" s="313"/>
      <c r="I96" s="345"/>
      <c r="J96" s="277">
        <f t="shared" ref="J96:J104" si="167">F96+120</f>
        <v>600</v>
      </c>
      <c r="K96" s="485">
        <f>+J96*$X$1</f>
        <v>600</v>
      </c>
      <c r="L96" s="123">
        <f>F96+74</f>
        <v>554</v>
      </c>
      <c r="M96" s="485">
        <f t="shared" ref="M96:M97" si="168">+L96*$X$1</f>
        <v>554</v>
      </c>
      <c r="N96" s="111">
        <f>F96+7.2</f>
        <v>487.2</v>
      </c>
      <c r="O96" s="1270" t="s">
        <v>155</v>
      </c>
      <c r="P96" s="1271"/>
      <c r="Q96" s="1271"/>
      <c r="R96" s="1271"/>
      <c r="S96" s="1271"/>
      <c r="T96" s="1271"/>
      <c r="U96" s="1271"/>
      <c r="V96" s="1271"/>
      <c r="W96" s="1271"/>
      <c r="X96" s="175"/>
      <c r="Y96" s="146"/>
      <c r="Z96" s="146"/>
      <c r="AA96" s="149"/>
      <c r="AB96" s="551">
        <v>247</v>
      </c>
    </row>
    <row r="97" spans="1:30" ht="12.6" customHeight="1" x14ac:dyDescent="0.2">
      <c r="A97" s="102"/>
      <c r="B97" s="700" t="s">
        <v>601</v>
      </c>
      <c r="C97" s="701"/>
      <c r="D97" s="701"/>
      <c r="E97" s="702"/>
      <c r="F97" s="488">
        <f>2.631*X2</f>
        <v>2388.9479999999999</v>
      </c>
      <c r="G97" s="381">
        <f>+F97*$X$1</f>
        <v>2388.9479999999999</v>
      </c>
      <c r="H97" s="337"/>
      <c r="I97" s="337"/>
      <c r="J97" s="94">
        <f t="shared" si="167"/>
        <v>2508.9479999999999</v>
      </c>
      <c r="K97" s="349">
        <f t="shared" ref="K97" si="169">+J97*$X$1</f>
        <v>2508.9479999999999</v>
      </c>
      <c r="L97" s="607">
        <f>F97+74</f>
        <v>2462.9479999999999</v>
      </c>
      <c r="M97" s="349">
        <f t="shared" si="168"/>
        <v>2462.9479999999999</v>
      </c>
      <c r="N97" s="607">
        <f>F97+46</f>
        <v>2434.9479999999999</v>
      </c>
      <c r="O97" s="349">
        <f t="shared" ref="O97" si="170">+N97*$X$1</f>
        <v>2434.9479999999999</v>
      </c>
      <c r="P97" s="607">
        <f>F97+42</f>
        <v>2430.9479999999999</v>
      </c>
      <c r="Q97" s="349">
        <f t="shared" ref="Q97" si="171">+P97*$X$1</f>
        <v>2430.9479999999999</v>
      </c>
      <c r="R97" s="607">
        <f>F97+35</f>
        <v>2423.9479999999999</v>
      </c>
      <c r="S97" s="349">
        <f t="shared" ref="S97" si="172">+R97*$X$1</f>
        <v>2423.9479999999999</v>
      </c>
      <c r="T97" s="607">
        <f>F97+29</f>
        <v>2417.9479999999999</v>
      </c>
      <c r="U97" s="349">
        <f t="shared" ref="U97" si="173">+T97*$X$1</f>
        <v>2417.9479999999999</v>
      </c>
      <c r="V97" s="607">
        <f>F97+24</f>
        <v>2412.9479999999999</v>
      </c>
      <c r="W97" s="349">
        <f t="shared" ref="W97" si="174">+V97*$X$1</f>
        <v>2412.9479999999999</v>
      </c>
      <c r="X97" s="175"/>
      <c r="Y97" s="146"/>
      <c r="Z97" s="146"/>
      <c r="AA97" s="149"/>
      <c r="AB97" s="551">
        <v>249</v>
      </c>
    </row>
    <row r="98" spans="1:30" ht="12.6" customHeight="1" x14ac:dyDescent="0.2">
      <c r="A98" s="112"/>
      <c r="B98" s="738" t="s">
        <v>460</v>
      </c>
      <c r="C98" s="739"/>
      <c r="D98" s="739"/>
      <c r="E98" s="739"/>
      <c r="F98" s="414">
        <v>40</v>
      </c>
      <c r="G98" s="449">
        <f t="shared" si="166"/>
        <v>40</v>
      </c>
      <c r="H98" s="353"/>
      <c r="I98" s="353"/>
      <c r="J98" s="110">
        <f t="shared" si="167"/>
        <v>160</v>
      </c>
      <c r="K98" s="414">
        <f t="shared" ref="K98" si="175">+J98*$X$1</f>
        <v>160</v>
      </c>
      <c r="L98" s="608">
        <f>F98+74</f>
        <v>114</v>
      </c>
      <c r="M98" s="414">
        <f t="shared" ref="M98" si="176">+L98*$X$1</f>
        <v>114</v>
      </c>
      <c r="N98" s="608">
        <f>F98+46</f>
        <v>86</v>
      </c>
      <c r="O98" s="414">
        <f t="shared" ref="O98" si="177">+N98*$X$1</f>
        <v>86</v>
      </c>
      <c r="P98" s="608">
        <f>F98+42</f>
        <v>82</v>
      </c>
      <c r="Q98" s="414">
        <f t="shared" ref="Q98" si="178">+P98*$X$1</f>
        <v>82</v>
      </c>
      <c r="R98" s="608">
        <f>F98+35</f>
        <v>75</v>
      </c>
      <c r="S98" s="414">
        <f t="shared" ref="S98" si="179">+R98*$X$1</f>
        <v>75</v>
      </c>
      <c r="T98" s="608">
        <f>F98+29</f>
        <v>69</v>
      </c>
      <c r="U98" s="414">
        <f t="shared" ref="U98" si="180">+T98*$X$1</f>
        <v>69</v>
      </c>
      <c r="V98" s="608">
        <f>F98+24</f>
        <v>64</v>
      </c>
      <c r="W98" s="414">
        <f t="shared" ref="W98" si="181">+V98*$X$1</f>
        <v>64</v>
      </c>
      <c r="X98" s="176"/>
      <c r="Y98" s="146"/>
      <c r="Z98" s="146"/>
      <c r="AA98" s="149"/>
      <c r="AB98" s="552">
        <v>251</v>
      </c>
    </row>
    <row r="99" spans="1:30" ht="12.6" customHeight="1" x14ac:dyDescent="0.2">
      <c r="A99" s="20"/>
      <c r="B99" s="706" t="s">
        <v>423</v>
      </c>
      <c r="C99" s="729"/>
      <c r="D99" s="729"/>
      <c r="E99" s="729"/>
      <c r="F99" s="348">
        <v>690</v>
      </c>
      <c r="G99" s="348">
        <f t="shared" si="166"/>
        <v>690</v>
      </c>
      <c r="H99" s="338"/>
      <c r="I99" s="338"/>
      <c r="J99" s="125">
        <f t="shared" si="167"/>
        <v>810</v>
      </c>
      <c r="K99" s="348">
        <f t="shared" ref="K99:K100" si="182">+J99*$X$1</f>
        <v>810</v>
      </c>
      <c r="L99" s="386"/>
      <c r="M99" s="386"/>
      <c r="N99" s="386">
        <f>F99+23</f>
        <v>713</v>
      </c>
      <c r="O99" s="386"/>
      <c r="P99" s="338"/>
      <c r="Q99" s="338"/>
      <c r="R99" s="386">
        <f>F99+15</f>
        <v>705</v>
      </c>
      <c r="S99" s="386"/>
      <c r="T99" s="386">
        <f>F99+12</f>
        <v>702</v>
      </c>
      <c r="U99" s="386"/>
      <c r="V99" s="386">
        <f>F99+10</f>
        <v>700</v>
      </c>
      <c r="W99" s="386"/>
      <c r="X99" s="176"/>
      <c r="Y99" s="146"/>
      <c r="Z99" s="146"/>
      <c r="AA99" s="149"/>
      <c r="AB99" s="552" t="s">
        <v>156</v>
      </c>
    </row>
    <row r="100" spans="1:30" ht="12.6" customHeight="1" x14ac:dyDescent="0.2">
      <c r="A100" s="20"/>
      <c r="B100" s="700" t="s">
        <v>589</v>
      </c>
      <c r="C100" s="730"/>
      <c r="D100" s="730"/>
      <c r="E100" s="731"/>
      <c r="F100" s="488">
        <f>12.097*X2</f>
        <v>10984.075999999999</v>
      </c>
      <c r="G100" s="349">
        <f t="shared" si="166"/>
        <v>10984.075999999999</v>
      </c>
      <c r="H100" s="94">
        <f>F100+290</f>
        <v>11274.075999999999</v>
      </c>
      <c r="I100" s="349">
        <f>+H100*$X$1</f>
        <v>11274.075999999999</v>
      </c>
      <c r="J100" s="94">
        <f t="shared" si="167"/>
        <v>11104.075999999999</v>
      </c>
      <c r="K100" s="349">
        <f t="shared" si="182"/>
        <v>11104.075999999999</v>
      </c>
      <c r="L100" s="607">
        <f>F100+74</f>
        <v>11058.075999999999</v>
      </c>
      <c r="M100" s="349">
        <f t="shared" ref="M100" si="183">+L100*$X$1</f>
        <v>11058.075999999999</v>
      </c>
      <c r="N100" s="607">
        <f>F100+46</f>
        <v>11030.075999999999</v>
      </c>
      <c r="O100" s="349">
        <f t="shared" ref="O100" si="184">+N100*$X$1</f>
        <v>11030.075999999999</v>
      </c>
      <c r="P100" s="607">
        <f>F100+42</f>
        <v>11026.075999999999</v>
      </c>
      <c r="Q100" s="349">
        <f t="shared" ref="Q100" si="185">+P100*$X$1</f>
        <v>11026.075999999999</v>
      </c>
      <c r="R100" s="607">
        <f>F100+35</f>
        <v>11019.075999999999</v>
      </c>
      <c r="S100" s="349">
        <f t="shared" ref="S100" si="186">+R100*$X$1</f>
        <v>11019.075999999999</v>
      </c>
      <c r="T100" s="607">
        <f>F100+29</f>
        <v>11013.075999999999</v>
      </c>
      <c r="U100" s="349">
        <f t="shared" ref="U100" si="187">+T100*$X$1</f>
        <v>11013.075999999999</v>
      </c>
      <c r="V100" s="607">
        <f>F100+24</f>
        <v>11008.075999999999</v>
      </c>
      <c r="W100" s="349">
        <f t="shared" ref="W100" si="188">+V100*$X$1</f>
        <v>11008.075999999999</v>
      </c>
      <c r="X100" s="177"/>
      <c r="Y100" s="146"/>
      <c r="Z100" s="146"/>
      <c r="AA100" s="149"/>
      <c r="AB100" s="552">
        <v>268</v>
      </c>
    </row>
    <row r="101" spans="1:30" ht="12.6" customHeight="1" x14ac:dyDescent="0.2">
      <c r="A101" s="20"/>
      <c r="B101" s="706" t="s">
        <v>799</v>
      </c>
      <c r="C101" s="729"/>
      <c r="D101" s="729"/>
      <c r="E101" s="729"/>
      <c r="F101" s="487">
        <f>4.502*X2</f>
        <v>4087.8159999999998</v>
      </c>
      <c r="G101" s="348">
        <f t="shared" si="166"/>
        <v>4087.8159999999998</v>
      </c>
      <c r="H101" s="75">
        <f>F101+290</f>
        <v>4377.8159999999998</v>
      </c>
      <c r="I101" s="348">
        <f>+H101*$X$1</f>
        <v>4377.8159999999998</v>
      </c>
      <c r="J101" s="75">
        <f t="shared" si="167"/>
        <v>4207.8159999999998</v>
      </c>
      <c r="K101" s="348">
        <f t="shared" ref="K101:K104" si="189">+J101*$X$1</f>
        <v>4207.8159999999998</v>
      </c>
      <c r="L101" s="386">
        <f>F101+74</f>
        <v>4161.8159999999998</v>
      </c>
      <c r="M101" s="348">
        <f t="shared" ref="M101:M104" si="190">+L101*$X$1</f>
        <v>4161.8159999999998</v>
      </c>
      <c r="N101" s="386">
        <f>F101+46</f>
        <v>4133.8159999999998</v>
      </c>
      <c r="O101" s="348">
        <f t="shared" ref="O101:O104" si="191">+N101*$X$1</f>
        <v>4133.8159999999998</v>
      </c>
      <c r="P101" s="386">
        <f>F101+42</f>
        <v>4129.8159999999998</v>
      </c>
      <c r="Q101" s="348">
        <f t="shared" ref="Q101:Q104" si="192">+P101*$X$1</f>
        <v>4129.8159999999998</v>
      </c>
      <c r="R101" s="386">
        <f>F101+35</f>
        <v>4122.8159999999998</v>
      </c>
      <c r="S101" s="348">
        <f t="shared" ref="S101:S104" si="193">+R101*$X$1</f>
        <v>4122.8159999999998</v>
      </c>
      <c r="T101" s="386">
        <f>F101+29</f>
        <v>4116.8159999999998</v>
      </c>
      <c r="U101" s="348">
        <f t="shared" ref="U101:U104" si="194">+T101*$X$1</f>
        <v>4116.8159999999998</v>
      </c>
      <c r="V101" s="386">
        <f>F101+24</f>
        <v>4111.8159999999998</v>
      </c>
      <c r="W101" s="348">
        <f t="shared" ref="W101:W104" si="195">+V101*$X$1</f>
        <v>4111.8159999999998</v>
      </c>
      <c r="X101" s="177"/>
      <c r="Y101" s="150"/>
      <c r="Z101" s="146"/>
      <c r="AA101" s="149"/>
      <c r="AB101" s="552">
        <v>270</v>
      </c>
      <c r="AC101" s="32"/>
    </row>
    <row r="102" spans="1:30" ht="12.6" customHeight="1" x14ac:dyDescent="0.2">
      <c r="A102" s="20"/>
      <c r="B102" s="720" t="s">
        <v>157</v>
      </c>
      <c r="C102" s="721"/>
      <c r="D102" s="721"/>
      <c r="E102" s="721"/>
      <c r="F102" s="488">
        <f>14.042*X2</f>
        <v>12750.136</v>
      </c>
      <c r="G102" s="349">
        <f t="shared" ref="G102:G104" si="196">+F102*$X$1</f>
        <v>12750.136</v>
      </c>
      <c r="H102" s="94">
        <f>F102+290</f>
        <v>13040.136</v>
      </c>
      <c r="I102" s="349">
        <f>+H102*$X$1</f>
        <v>13040.136</v>
      </c>
      <c r="J102" s="94">
        <f t="shared" si="167"/>
        <v>12870.136</v>
      </c>
      <c r="K102" s="349">
        <f t="shared" si="189"/>
        <v>12870.136</v>
      </c>
      <c r="L102" s="607">
        <f>F102+74</f>
        <v>12824.136</v>
      </c>
      <c r="M102" s="349">
        <f t="shared" si="190"/>
        <v>12824.136</v>
      </c>
      <c r="N102" s="607">
        <f>F102+46</f>
        <v>12796.136</v>
      </c>
      <c r="O102" s="349">
        <f t="shared" si="191"/>
        <v>12796.136</v>
      </c>
      <c r="P102" s="607">
        <f>F102+42</f>
        <v>12792.136</v>
      </c>
      <c r="Q102" s="349">
        <f t="shared" si="192"/>
        <v>12792.136</v>
      </c>
      <c r="R102" s="607">
        <f>F102+35</f>
        <v>12785.136</v>
      </c>
      <c r="S102" s="349">
        <f t="shared" si="193"/>
        <v>12785.136</v>
      </c>
      <c r="T102" s="607">
        <f>F102+29</f>
        <v>12779.136</v>
      </c>
      <c r="U102" s="349">
        <f t="shared" si="194"/>
        <v>12779.136</v>
      </c>
      <c r="V102" s="607">
        <f>F102+24</f>
        <v>12774.136</v>
      </c>
      <c r="W102" s="349">
        <f t="shared" si="195"/>
        <v>12774.136</v>
      </c>
      <c r="X102" s="176"/>
      <c r="Y102" s="146"/>
      <c r="Z102" s="146"/>
      <c r="AA102" s="149"/>
      <c r="AB102" s="552">
        <v>273</v>
      </c>
      <c r="AC102" s="32"/>
    </row>
    <row r="103" spans="1:30" ht="12.6" customHeight="1" x14ac:dyDescent="0.2">
      <c r="A103" s="20"/>
      <c r="B103" s="706" t="s">
        <v>158</v>
      </c>
      <c r="C103" s="729"/>
      <c r="D103" s="729"/>
      <c r="E103" s="729"/>
      <c r="F103" s="487">
        <f>11.208*X2</f>
        <v>10176.864</v>
      </c>
      <c r="G103" s="348">
        <f t="shared" si="196"/>
        <v>10176.864</v>
      </c>
      <c r="H103" s="75">
        <f>F103+290</f>
        <v>10466.864</v>
      </c>
      <c r="I103" s="348">
        <f>+H103*$X$1</f>
        <v>10466.864</v>
      </c>
      <c r="J103" s="75">
        <f t="shared" si="167"/>
        <v>10296.864</v>
      </c>
      <c r="K103" s="348">
        <f t="shared" si="189"/>
        <v>10296.864</v>
      </c>
      <c r="L103" s="386">
        <f>F103+74</f>
        <v>10250.864</v>
      </c>
      <c r="M103" s="348">
        <f t="shared" si="190"/>
        <v>10250.864</v>
      </c>
      <c r="N103" s="386">
        <f>F103+46</f>
        <v>10222.864</v>
      </c>
      <c r="O103" s="348">
        <f t="shared" si="191"/>
        <v>10222.864</v>
      </c>
      <c r="P103" s="386">
        <f>F103+42</f>
        <v>10218.864</v>
      </c>
      <c r="Q103" s="348">
        <f t="shared" si="192"/>
        <v>10218.864</v>
      </c>
      <c r="R103" s="386">
        <f>F103+35</f>
        <v>10211.864</v>
      </c>
      <c r="S103" s="348">
        <f t="shared" si="193"/>
        <v>10211.864</v>
      </c>
      <c r="T103" s="386">
        <f>F103+29</f>
        <v>10205.864</v>
      </c>
      <c r="U103" s="348">
        <f t="shared" si="194"/>
        <v>10205.864</v>
      </c>
      <c r="V103" s="386">
        <f>F103+24</f>
        <v>10200.864</v>
      </c>
      <c r="W103" s="348">
        <f t="shared" si="195"/>
        <v>10200.864</v>
      </c>
      <c r="X103" s="177"/>
      <c r="Y103" s="150"/>
      <c r="Z103" s="146"/>
      <c r="AA103" s="149"/>
      <c r="AB103" s="552" t="s">
        <v>159</v>
      </c>
      <c r="AC103" s="32"/>
    </row>
    <row r="104" spans="1:30" ht="12.6" customHeight="1" x14ac:dyDescent="0.2">
      <c r="A104" s="20"/>
      <c r="B104" s="720" t="s">
        <v>160</v>
      </c>
      <c r="C104" s="721"/>
      <c r="D104" s="721"/>
      <c r="E104" s="721"/>
      <c r="F104" s="488">
        <f>8.73*X2</f>
        <v>7926.84</v>
      </c>
      <c r="G104" s="349">
        <f t="shared" si="196"/>
        <v>7926.84</v>
      </c>
      <c r="H104" s="94">
        <f>F104+290</f>
        <v>8216.84</v>
      </c>
      <c r="I104" s="349">
        <f>+H104*$X$1</f>
        <v>8216.84</v>
      </c>
      <c r="J104" s="94">
        <f t="shared" si="167"/>
        <v>8046.84</v>
      </c>
      <c r="K104" s="349">
        <f t="shared" si="189"/>
        <v>8046.84</v>
      </c>
      <c r="L104" s="607">
        <f>F104+74</f>
        <v>8000.84</v>
      </c>
      <c r="M104" s="349">
        <f t="shared" si="190"/>
        <v>8000.84</v>
      </c>
      <c r="N104" s="607">
        <f>F104+46</f>
        <v>7972.84</v>
      </c>
      <c r="O104" s="349">
        <f t="shared" si="191"/>
        <v>7972.84</v>
      </c>
      <c r="P104" s="607">
        <f>F104+42</f>
        <v>7968.84</v>
      </c>
      <c r="Q104" s="349">
        <f t="shared" si="192"/>
        <v>7968.84</v>
      </c>
      <c r="R104" s="607">
        <f>F104+35</f>
        <v>7961.84</v>
      </c>
      <c r="S104" s="349">
        <f t="shared" si="193"/>
        <v>7961.84</v>
      </c>
      <c r="T104" s="607">
        <f>F104+29</f>
        <v>7955.84</v>
      </c>
      <c r="U104" s="349">
        <f t="shared" si="194"/>
        <v>7955.84</v>
      </c>
      <c r="V104" s="607">
        <f>F104+24</f>
        <v>7950.84</v>
      </c>
      <c r="W104" s="349">
        <f t="shared" si="195"/>
        <v>7950.84</v>
      </c>
      <c r="X104" s="177"/>
      <c r="Y104" s="150"/>
      <c r="Z104" s="146"/>
      <c r="AA104" s="149"/>
      <c r="AB104" s="552">
        <v>278</v>
      </c>
      <c r="AC104" s="32"/>
    </row>
    <row r="105" spans="1:30" ht="12.6" customHeight="1" x14ac:dyDescent="0.2">
      <c r="A105" s="20"/>
      <c r="B105" s="706" t="s">
        <v>161</v>
      </c>
      <c r="C105" s="729"/>
      <c r="D105" s="729"/>
      <c r="E105" s="729"/>
      <c r="F105" s="487"/>
      <c r="G105" s="348"/>
      <c r="H105" s="75"/>
      <c r="I105" s="348"/>
      <c r="J105" s="75"/>
      <c r="K105" s="348"/>
      <c r="L105" s="386"/>
      <c r="M105" s="348"/>
      <c r="N105" s="386"/>
      <c r="O105" s="348"/>
      <c r="P105" s="386"/>
      <c r="Q105" s="348"/>
      <c r="R105" s="386"/>
      <c r="S105" s="348"/>
      <c r="T105" s="386"/>
      <c r="U105" s="348"/>
      <c r="V105" s="386"/>
      <c r="W105" s="348"/>
      <c r="X105" s="177"/>
      <c r="Y105" s="150"/>
      <c r="Z105" s="146"/>
      <c r="AA105" s="149"/>
      <c r="AB105" s="552">
        <v>279</v>
      </c>
      <c r="AC105" s="32"/>
    </row>
    <row r="106" spans="1:30" ht="12.6" customHeight="1" x14ac:dyDescent="0.2">
      <c r="A106" s="20"/>
      <c r="B106" s="997" t="s">
        <v>162</v>
      </c>
      <c r="C106" s="1005"/>
      <c r="D106" s="1005"/>
      <c r="E106" s="1005"/>
      <c r="F106" s="488">
        <f>2.02*X2</f>
        <v>1834.16</v>
      </c>
      <c r="G106" s="349">
        <f>+F106*$X$1</f>
        <v>1834.16</v>
      </c>
      <c r="H106" s="94">
        <f>F106+250</f>
        <v>2084.16</v>
      </c>
      <c r="I106" s="349">
        <f>+H106*$X$1</f>
        <v>2084.16</v>
      </c>
      <c r="J106" s="94">
        <f>F106+115</f>
        <v>1949.16</v>
      </c>
      <c r="K106" s="349">
        <f t="shared" ref="K106" si="197">+J106*$X$1</f>
        <v>1949.16</v>
      </c>
      <c r="L106" s="607">
        <f>F106+72</f>
        <v>1906.16</v>
      </c>
      <c r="M106" s="349">
        <f t="shared" ref="M106:M107" si="198">+L106*$X$1</f>
        <v>1906.16</v>
      </c>
      <c r="N106" s="607">
        <f>F106+43</f>
        <v>1877.16</v>
      </c>
      <c r="O106" s="349">
        <f t="shared" ref="O106" si="199">+N106*$X$1</f>
        <v>1877.16</v>
      </c>
      <c r="P106" s="607">
        <f>F106+39</f>
        <v>1873.16</v>
      </c>
      <c r="Q106" s="349">
        <f t="shared" ref="Q106:Q107" si="200">+P106*$X$1</f>
        <v>1873.16</v>
      </c>
      <c r="R106" s="607">
        <f>F106+30</f>
        <v>1864.16</v>
      </c>
      <c r="S106" s="349">
        <f t="shared" ref="S106" si="201">+R106*$X$1</f>
        <v>1864.16</v>
      </c>
      <c r="T106" s="607">
        <f>F106+25</f>
        <v>1859.16</v>
      </c>
      <c r="U106" s="349">
        <f t="shared" ref="U106" si="202">+T106*$X$1</f>
        <v>1859.16</v>
      </c>
      <c r="V106" s="607">
        <f>F106+21</f>
        <v>1855.16</v>
      </c>
      <c r="W106" s="349">
        <f t="shared" ref="W106" si="203">+V106*$X$1</f>
        <v>1855.16</v>
      </c>
      <c r="X106" s="174"/>
      <c r="Y106" s="150"/>
      <c r="Z106" s="146"/>
      <c r="AA106" s="149"/>
      <c r="AB106" s="552">
        <v>288</v>
      </c>
      <c r="AC106" s="32"/>
    </row>
    <row r="107" spans="1:30" ht="12.6" customHeight="1" x14ac:dyDescent="0.2">
      <c r="A107" s="20"/>
      <c r="B107" s="706" t="s">
        <v>163</v>
      </c>
      <c r="C107" s="729"/>
      <c r="D107" s="729"/>
      <c r="E107" s="729"/>
      <c r="F107" s="348">
        <v>330</v>
      </c>
      <c r="G107" s="348">
        <f>+F107*$X$1</f>
        <v>330</v>
      </c>
      <c r="H107" s="338"/>
      <c r="I107" s="338"/>
      <c r="J107" s="75">
        <f>F107+120</f>
        <v>450</v>
      </c>
      <c r="K107" s="348">
        <f>+J107*$X$1</f>
        <v>450</v>
      </c>
      <c r="L107" s="386">
        <f>F107+74</f>
        <v>404</v>
      </c>
      <c r="M107" s="348">
        <f t="shared" si="198"/>
        <v>404</v>
      </c>
      <c r="N107" s="386">
        <f>F107+46</f>
        <v>376</v>
      </c>
      <c r="O107" s="348">
        <f>+N107*$X$1</f>
        <v>376</v>
      </c>
      <c r="P107" s="386">
        <f>F107+42</f>
        <v>372</v>
      </c>
      <c r="Q107" s="348">
        <f t="shared" si="200"/>
        <v>372</v>
      </c>
      <c r="R107" s="386">
        <f>F107+35</f>
        <v>365</v>
      </c>
      <c r="S107" s="348">
        <f>+R107*$X$1</f>
        <v>365</v>
      </c>
      <c r="T107" s="109">
        <f>F107+29</f>
        <v>359</v>
      </c>
      <c r="U107" s="306">
        <f>+T107*$X$1</f>
        <v>359</v>
      </c>
      <c r="V107" s="109">
        <f>F107+24</f>
        <v>354</v>
      </c>
      <c r="W107" s="306">
        <f>+V107*$X$1</f>
        <v>354</v>
      </c>
      <c r="X107" s="174"/>
      <c r="Y107" s="150"/>
      <c r="Z107" s="146"/>
      <c r="AA107" s="149"/>
      <c r="AB107" s="552">
        <v>289</v>
      </c>
      <c r="AC107" s="32"/>
    </row>
    <row r="108" spans="1:30" ht="12.6" customHeight="1" x14ac:dyDescent="0.2">
      <c r="A108" s="20"/>
      <c r="B108" s="720" t="s">
        <v>164</v>
      </c>
      <c r="C108" s="721"/>
      <c r="D108" s="721"/>
      <c r="E108" s="721"/>
      <c r="F108" s="349"/>
      <c r="G108" s="1062" t="s">
        <v>699</v>
      </c>
      <c r="H108" s="1063"/>
      <c r="I108" s="1063"/>
      <c r="J108" s="1063"/>
      <c r="K108" s="1063"/>
      <c r="L108" s="1063"/>
      <c r="M108" s="1063"/>
      <c r="N108" s="1063"/>
      <c r="O108" s="1064"/>
      <c r="P108" s="339">
        <v>323</v>
      </c>
      <c r="Q108" s="349">
        <f t="shared" ref="Q108:Q113" si="204">+P108*$X$1</f>
        <v>323</v>
      </c>
      <c r="R108" s="124">
        <v>321</v>
      </c>
      <c r="S108" s="374">
        <f t="shared" ref="S108:S111" si="205">+R108*$X$1</f>
        <v>321</v>
      </c>
      <c r="T108" s="108">
        <v>314</v>
      </c>
      <c r="U108" s="374">
        <f t="shared" ref="U108:U111" si="206">+T108*$X$1</f>
        <v>314</v>
      </c>
      <c r="V108" s="108">
        <v>307</v>
      </c>
      <c r="W108" s="374">
        <f t="shared" ref="W108:W111" si="207">+V108*$X$1</f>
        <v>307</v>
      </c>
      <c r="X108" s="1008"/>
      <c r="Y108" s="1009"/>
      <c r="Z108" s="1009"/>
      <c r="AA108" s="1010"/>
      <c r="AB108" s="552">
        <v>290</v>
      </c>
    </row>
    <row r="109" spans="1:30" ht="12.6" customHeight="1" x14ac:dyDescent="0.2">
      <c r="A109" s="20"/>
      <c r="B109" s="706" t="s">
        <v>478</v>
      </c>
      <c r="C109" s="729"/>
      <c r="D109" s="729"/>
      <c r="E109" s="729"/>
      <c r="F109" s="348"/>
      <c r="G109" s="1062" t="s">
        <v>700</v>
      </c>
      <c r="H109" s="1063"/>
      <c r="I109" s="1063"/>
      <c r="J109" s="1063"/>
      <c r="K109" s="1063"/>
      <c r="L109" s="1063"/>
      <c r="M109" s="1063"/>
      <c r="N109" s="1063"/>
      <c r="O109" s="1064"/>
      <c r="P109" s="340">
        <v>441</v>
      </c>
      <c r="Q109" s="348">
        <f t="shared" si="204"/>
        <v>441</v>
      </c>
      <c r="R109" s="537">
        <v>439</v>
      </c>
      <c r="S109" s="306">
        <f t="shared" si="205"/>
        <v>439</v>
      </c>
      <c r="T109" s="386">
        <v>431</v>
      </c>
      <c r="U109" s="306">
        <f t="shared" si="206"/>
        <v>431</v>
      </c>
      <c r="V109" s="386">
        <v>423</v>
      </c>
      <c r="W109" s="306">
        <f t="shared" si="207"/>
        <v>423</v>
      </c>
      <c r="X109" s="1008"/>
      <c r="Y109" s="1009"/>
      <c r="Z109" s="1009"/>
      <c r="AA109" s="1010"/>
      <c r="AB109" s="552" t="s">
        <v>165</v>
      </c>
    </row>
    <row r="110" spans="1:30" ht="12.6" customHeight="1" x14ac:dyDescent="0.2">
      <c r="A110" s="20"/>
      <c r="B110" s="720" t="s">
        <v>479</v>
      </c>
      <c r="C110" s="721"/>
      <c r="D110" s="721"/>
      <c r="E110" s="721"/>
      <c r="F110" s="349"/>
      <c r="G110" s="1062" t="s">
        <v>701</v>
      </c>
      <c r="H110" s="1063"/>
      <c r="I110" s="1063"/>
      <c r="J110" s="1063"/>
      <c r="K110" s="1063"/>
      <c r="L110" s="1063"/>
      <c r="M110" s="1064"/>
      <c r="N110" s="339">
        <v>475</v>
      </c>
      <c r="O110" s="349">
        <f t="shared" ref="O110:O111" si="208">+N110*$X$1</f>
        <v>475</v>
      </c>
      <c r="P110" s="339">
        <v>396</v>
      </c>
      <c r="Q110" s="349">
        <f t="shared" si="204"/>
        <v>396</v>
      </c>
      <c r="R110" s="534">
        <v>394</v>
      </c>
      <c r="S110" s="374">
        <f t="shared" si="205"/>
        <v>394</v>
      </c>
      <c r="T110" s="533">
        <v>388</v>
      </c>
      <c r="U110" s="374">
        <f t="shared" si="206"/>
        <v>388</v>
      </c>
      <c r="V110" s="533">
        <v>320</v>
      </c>
      <c r="W110" s="374">
        <f t="shared" si="207"/>
        <v>320</v>
      </c>
      <c r="X110" s="1008"/>
      <c r="Y110" s="1009"/>
      <c r="Z110" s="1009"/>
      <c r="AA110" s="1010"/>
      <c r="AB110" s="552">
        <v>291</v>
      </c>
    </row>
    <row r="111" spans="1:30" ht="12.6" customHeight="1" x14ac:dyDescent="0.2">
      <c r="A111" s="20"/>
      <c r="B111" s="706" t="s">
        <v>480</v>
      </c>
      <c r="C111" s="729"/>
      <c r="D111" s="729"/>
      <c r="E111" s="729"/>
      <c r="F111" s="348"/>
      <c r="G111" s="1062" t="s">
        <v>702</v>
      </c>
      <c r="H111" s="1063"/>
      <c r="I111" s="1063"/>
      <c r="J111" s="1063"/>
      <c r="K111" s="1063"/>
      <c r="L111" s="1063"/>
      <c r="M111" s="1064"/>
      <c r="N111" s="340">
        <v>685</v>
      </c>
      <c r="O111" s="348">
        <f t="shared" si="208"/>
        <v>685</v>
      </c>
      <c r="P111" s="340">
        <v>571</v>
      </c>
      <c r="Q111" s="348">
        <f t="shared" si="204"/>
        <v>571</v>
      </c>
      <c r="R111" s="537">
        <v>569</v>
      </c>
      <c r="S111" s="306">
        <f t="shared" si="205"/>
        <v>569</v>
      </c>
      <c r="T111" s="386">
        <v>563</v>
      </c>
      <c r="U111" s="306">
        <f t="shared" si="206"/>
        <v>563</v>
      </c>
      <c r="V111" s="386">
        <v>554</v>
      </c>
      <c r="W111" s="306">
        <f t="shared" si="207"/>
        <v>554</v>
      </c>
      <c r="X111" s="1008"/>
      <c r="Y111" s="1009"/>
      <c r="Z111" s="1009"/>
      <c r="AA111" s="1010"/>
      <c r="AB111" s="552" t="s">
        <v>166</v>
      </c>
    </row>
    <row r="112" spans="1:30" ht="12.6" customHeight="1" x14ac:dyDescent="0.2">
      <c r="A112" s="20"/>
      <c r="B112" s="720" t="s">
        <v>167</v>
      </c>
      <c r="C112" s="720"/>
      <c r="D112" s="720"/>
      <c r="E112" s="720"/>
      <c r="F112" s="683">
        <v>210</v>
      </c>
      <c r="G112" s="349">
        <f t="shared" ref="G112:G115" si="209">+F112*$X$1</f>
        <v>210</v>
      </c>
      <c r="H112" s="1283" t="s">
        <v>477</v>
      </c>
      <c r="I112" s="1284"/>
      <c r="J112" s="1284"/>
      <c r="K112" s="1284"/>
      <c r="L112" s="1015"/>
      <c r="M112" s="1016"/>
      <c r="N112" s="124">
        <f>F112+33</f>
        <v>243</v>
      </c>
      <c r="O112" s="391">
        <f>+N112*$X$1</f>
        <v>243</v>
      </c>
      <c r="P112" s="124">
        <f>F112+30</f>
        <v>240</v>
      </c>
      <c r="Q112" s="349">
        <f t="shared" si="204"/>
        <v>240</v>
      </c>
      <c r="R112" s="615">
        <f>F112+27</f>
        <v>237</v>
      </c>
      <c r="S112" s="374">
        <f>+R112*$X$1</f>
        <v>237</v>
      </c>
      <c r="T112" s="607">
        <f>F112+24</f>
        <v>234</v>
      </c>
      <c r="U112" s="374">
        <f>+T112*$X$1</f>
        <v>234</v>
      </c>
      <c r="V112" s="607">
        <f>F112+21</f>
        <v>231</v>
      </c>
      <c r="W112" s="374">
        <f>+V112*$X$1</f>
        <v>231</v>
      </c>
      <c r="X112" s="1008"/>
      <c r="Y112" s="1009"/>
      <c r="Z112" s="1009"/>
      <c r="AA112" s="1010"/>
      <c r="AB112" s="209">
        <v>296</v>
      </c>
      <c r="AD112" s="68"/>
    </row>
    <row r="113" spans="1:28" ht="12.6" customHeight="1" x14ac:dyDescent="0.2">
      <c r="A113" s="20"/>
      <c r="B113" s="706" t="s">
        <v>168</v>
      </c>
      <c r="C113" s="706"/>
      <c r="D113" s="706"/>
      <c r="E113" s="706"/>
      <c r="F113" s="684">
        <v>270</v>
      </c>
      <c r="G113" s="348">
        <f t="shared" si="209"/>
        <v>270</v>
      </c>
      <c r="H113" s="1285"/>
      <c r="I113" s="1286"/>
      <c r="J113" s="1286"/>
      <c r="K113" s="1286"/>
      <c r="L113" s="1019"/>
      <c r="M113" s="1020"/>
      <c r="N113" s="352">
        <f>F113+33</f>
        <v>303</v>
      </c>
      <c r="O113" s="375">
        <f>+N113*$X$1</f>
        <v>303</v>
      </c>
      <c r="P113" s="352">
        <f>F113+30</f>
        <v>300</v>
      </c>
      <c r="Q113" s="348">
        <f t="shared" si="204"/>
        <v>300</v>
      </c>
      <c r="R113" s="231">
        <f>F113+27</f>
        <v>297</v>
      </c>
      <c r="S113" s="306">
        <f>+R113*$X$1</f>
        <v>297</v>
      </c>
      <c r="T113" s="386">
        <f>F113+24</f>
        <v>294</v>
      </c>
      <c r="U113" s="306">
        <f>+T113*$X$1</f>
        <v>294</v>
      </c>
      <c r="V113" s="386">
        <f>F113+21</f>
        <v>291</v>
      </c>
      <c r="W113" s="306">
        <f>+V113*$X$1</f>
        <v>291</v>
      </c>
      <c r="X113" s="1008"/>
      <c r="Y113" s="1009"/>
      <c r="Z113" s="1009"/>
      <c r="AA113" s="1010"/>
      <c r="AB113" s="209">
        <v>297</v>
      </c>
    </row>
    <row r="114" spans="1:28" ht="12.6" customHeight="1" x14ac:dyDescent="0.2">
      <c r="A114" s="20"/>
      <c r="B114" s="747" t="s">
        <v>408</v>
      </c>
      <c r="C114" s="748"/>
      <c r="D114" s="748"/>
      <c r="E114" s="748"/>
      <c r="F114" s="391">
        <v>308</v>
      </c>
      <c r="G114" s="391">
        <f t="shared" si="209"/>
        <v>308</v>
      </c>
      <c r="H114" s="98"/>
      <c r="I114" s="979" t="s">
        <v>409</v>
      </c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1268"/>
      <c r="X114" s="708"/>
      <c r="Y114" s="711"/>
      <c r="Z114" s="711"/>
      <c r="AA114" s="710"/>
      <c r="AB114" s="552"/>
    </row>
    <row r="115" spans="1:28" ht="12.6" customHeight="1" x14ac:dyDescent="0.2">
      <c r="A115" s="20"/>
      <c r="B115" s="814" t="s">
        <v>410</v>
      </c>
      <c r="C115" s="792"/>
      <c r="D115" s="792"/>
      <c r="E115" s="792"/>
      <c r="F115" s="375">
        <v>308</v>
      </c>
      <c r="G115" s="435">
        <f t="shared" si="209"/>
        <v>308</v>
      </c>
      <c r="H115" s="130"/>
      <c r="I115" s="983"/>
      <c r="J115" s="984"/>
      <c r="K115" s="984"/>
      <c r="L115" s="989"/>
      <c r="M115" s="989"/>
      <c r="N115" s="989"/>
      <c r="O115" s="984"/>
      <c r="P115" s="984"/>
      <c r="Q115" s="984"/>
      <c r="R115" s="984"/>
      <c r="S115" s="984"/>
      <c r="T115" s="989"/>
      <c r="U115" s="989"/>
      <c r="V115" s="989"/>
      <c r="W115" s="1269"/>
      <c r="X115" s="708"/>
      <c r="Y115" s="711"/>
      <c r="Z115" s="711"/>
      <c r="AA115" s="710"/>
      <c r="AB115" s="552"/>
    </row>
    <row r="116" spans="1:28" ht="12.6" customHeight="1" x14ac:dyDescent="0.2">
      <c r="A116" s="20"/>
      <c r="B116" s="720" t="s">
        <v>482</v>
      </c>
      <c r="C116" s="721"/>
      <c r="D116" s="721"/>
      <c r="E116" s="721"/>
      <c r="F116" s="445"/>
      <c r="G116" s="1062" t="s">
        <v>476</v>
      </c>
      <c r="H116" s="1063"/>
      <c r="I116" s="1063"/>
      <c r="J116" s="1063"/>
      <c r="K116" s="1064"/>
      <c r="L116" s="532">
        <v>1365</v>
      </c>
      <c r="M116" s="349">
        <f t="shared" ref="M116:O123" si="210">+L116*$X$1</f>
        <v>1365</v>
      </c>
      <c r="N116" s="135">
        <v>1164</v>
      </c>
      <c r="O116" s="349">
        <f t="shared" si="210"/>
        <v>1164</v>
      </c>
      <c r="P116" s="508">
        <v>965</v>
      </c>
      <c r="Q116" s="349">
        <f t="shared" ref="Q116:Q122" si="211">+P116*$X$1</f>
        <v>965</v>
      </c>
      <c r="R116" s="533">
        <v>963</v>
      </c>
      <c r="S116" s="349">
        <f t="shared" ref="S116:S123" si="212">+R116*$X$1</f>
        <v>963</v>
      </c>
      <c r="T116" s="533">
        <v>954</v>
      </c>
      <c r="U116" s="391">
        <f t="shared" ref="U116:U122" si="213">+T116*$X$1</f>
        <v>954</v>
      </c>
      <c r="V116" s="533">
        <v>719</v>
      </c>
      <c r="W116" s="391">
        <f t="shared" ref="W116:W122" si="214">+V116*$X$1</f>
        <v>719</v>
      </c>
      <c r="X116" s="1008"/>
      <c r="Y116" s="1009"/>
      <c r="Z116" s="1009"/>
      <c r="AA116" s="1010"/>
      <c r="AB116" s="552">
        <v>301</v>
      </c>
    </row>
    <row r="117" spans="1:28" ht="12.6" customHeight="1" x14ac:dyDescent="0.2">
      <c r="A117" s="20"/>
      <c r="B117" s="706" t="s">
        <v>484</v>
      </c>
      <c r="C117" s="729"/>
      <c r="D117" s="729"/>
      <c r="E117" s="729"/>
      <c r="F117" s="446"/>
      <c r="G117" s="1062" t="s">
        <v>476</v>
      </c>
      <c r="H117" s="1063"/>
      <c r="I117" s="1063"/>
      <c r="J117" s="1063"/>
      <c r="K117" s="1064"/>
      <c r="L117" s="372">
        <v>1510</v>
      </c>
      <c r="M117" s="436">
        <f t="shared" si="210"/>
        <v>1510</v>
      </c>
      <c r="N117" s="537">
        <v>1287</v>
      </c>
      <c r="O117" s="436">
        <f t="shared" si="210"/>
        <v>1287</v>
      </c>
      <c r="P117" s="373">
        <v>1067</v>
      </c>
      <c r="Q117" s="348">
        <f t="shared" si="211"/>
        <v>1067</v>
      </c>
      <c r="R117" s="129">
        <v>1064</v>
      </c>
      <c r="S117" s="436">
        <f t="shared" si="212"/>
        <v>1064</v>
      </c>
      <c r="T117" s="386">
        <v>1056</v>
      </c>
      <c r="U117" s="375">
        <f t="shared" si="213"/>
        <v>1056</v>
      </c>
      <c r="V117" s="386">
        <v>830</v>
      </c>
      <c r="W117" s="375">
        <f t="shared" si="214"/>
        <v>830</v>
      </c>
      <c r="X117" s="1008"/>
      <c r="Y117" s="1009"/>
      <c r="Z117" s="1009"/>
      <c r="AA117" s="1010"/>
      <c r="AB117" s="552" t="s">
        <v>169</v>
      </c>
    </row>
    <row r="118" spans="1:28" ht="12.6" customHeight="1" x14ac:dyDescent="0.2">
      <c r="A118" s="20"/>
      <c r="B118" s="720" t="s">
        <v>442</v>
      </c>
      <c r="C118" s="721"/>
      <c r="D118" s="721"/>
      <c r="E118" s="721"/>
      <c r="F118" s="445"/>
      <c r="G118" s="1062" t="s">
        <v>476</v>
      </c>
      <c r="H118" s="1063"/>
      <c r="I118" s="1063"/>
      <c r="J118" s="1063"/>
      <c r="K118" s="1064"/>
      <c r="L118" s="532"/>
      <c r="M118" s="533"/>
      <c r="N118" s="135"/>
      <c r="O118" s="533"/>
      <c r="P118" s="508"/>
      <c r="Q118" s="349"/>
      <c r="R118" s="533"/>
      <c r="S118" s="349"/>
      <c r="T118" s="533"/>
      <c r="U118" s="391"/>
      <c r="V118" s="533"/>
      <c r="W118" s="391"/>
      <c r="X118" s="1008"/>
      <c r="Y118" s="1009"/>
      <c r="Z118" s="1009"/>
      <c r="AA118" s="1010"/>
      <c r="AB118" s="552" t="s">
        <v>170</v>
      </c>
    </row>
    <row r="119" spans="1:28" ht="12.6" customHeight="1" x14ac:dyDescent="0.2">
      <c r="A119" s="20"/>
      <c r="B119" s="706" t="s">
        <v>481</v>
      </c>
      <c r="C119" s="729"/>
      <c r="D119" s="729"/>
      <c r="E119" s="729"/>
      <c r="F119" s="427"/>
      <c r="G119" s="1062" t="s">
        <v>475</v>
      </c>
      <c r="H119" s="1063"/>
      <c r="I119" s="1063"/>
      <c r="J119" s="1063"/>
      <c r="K119" s="1064"/>
      <c r="L119" s="372">
        <v>870</v>
      </c>
      <c r="M119" s="436">
        <f t="shared" si="210"/>
        <v>870</v>
      </c>
      <c r="N119" s="135">
        <v>743</v>
      </c>
      <c r="O119" s="436">
        <f t="shared" si="210"/>
        <v>743</v>
      </c>
      <c r="P119" s="373">
        <v>616</v>
      </c>
      <c r="Q119" s="348">
        <f t="shared" si="211"/>
        <v>616</v>
      </c>
      <c r="R119" s="129">
        <v>614</v>
      </c>
      <c r="S119" s="436">
        <f t="shared" si="212"/>
        <v>614</v>
      </c>
      <c r="T119" s="386">
        <v>606</v>
      </c>
      <c r="U119" s="375">
        <f t="shared" si="213"/>
        <v>606</v>
      </c>
      <c r="V119" s="386">
        <v>543</v>
      </c>
      <c r="W119" s="375">
        <f t="shared" si="214"/>
        <v>543</v>
      </c>
      <c r="X119" s="1008"/>
      <c r="Y119" s="1009"/>
      <c r="Z119" s="1009"/>
      <c r="AA119" s="1010"/>
      <c r="AB119" s="552">
        <v>302</v>
      </c>
    </row>
    <row r="120" spans="1:28" ht="12.6" customHeight="1" x14ac:dyDescent="0.2">
      <c r="A120" s="20"/>
      <c r="B120" s="720" t="s">
        <v>483</v>
      </c>
      <c r="C120" s="721"/>
      <c r="D120" s="721"/>
      <c r="E120" s="721"/>
      <c r="F120" s="349"/>
      <c r="G120" s="1062" t="s">
        <v>475</v>
      </c>
      <c r="H120" s="1063"/>
      <c r="I120" s="1063"/>
      <c r="J120" s="1063"/>
      <c r="K120" s="1064"/>
      <c r="L120" s="532">
        <v>1016</v>
      </c>
      <c r="M120" s="349">
        <f t="shared" si="210"/>
        <v>1016</v>
      </c>
      <c r="N120" s="135">
        <v>867</v>
      </c>
      <c r="O120" s="349">
        <f t="shared" si="210"/>
        <v>867</v>
      </c>
      <c r="P120" s="508">
        <v>718</v>
      </c>
      <c r="Q120" s="349">
        <f t="shared" si="211"/>
        <v>718</v>
      </c>
      <c r="R120" s="533">
        <v>716</v>
      </c>
      <c r="S120" s="349">
        <f t="shared" si="212"/>
        <v>716</v>
      </c>
      <c r="T120" s="533">
        <v>708</v>
      </c>
      <c r="U120" s="391">
        <f t="shared" si="213"/>
        <v>708</v>
      </c>
      <c r="V120" s="533">
        <v>655</v>
      </c>
      <c r="W120" s="391">
        <f t="shared" si="214"/>
        <v>655</v>
      </c>
      <c r="X120" s="1008"/>
      <c r="Y120" s="1009"/>
      <c r="Z120" s="1009"/>
      <c r="AA120" s="1010"/>
      <c r="AB120" s="552" t="s">
        <v>171</v>
      </c>
    </row>
    <row r="121" spans="1:28" ht="12.6" customHeight="1" x14ac:dyDescent="0.2">
      <c r="A121" s="20"/>
      <c r="B121" s="706" t="s">
        <v>441</v>
      </c>
      <c r="C121" s="729"/>
      <c r="D121" s="729"/>
      <c r="E121" s="729"/>
      <c r="F121" s="427"/>
      <c r="G121" s="1062" t="s">
        <v>475</v>
      </c>
      <c r="H121" s="1063"/>
      <c r="I121" s="1063"/>
      <c r="J121" s="1063"/>
      <c r="K121" s="1064"/>
      <c r="L121" s="372"/>
      <c r="M121" s="129"/>
      <c r="N121" s="135"/>
      <c r="O121" s="129"/>
      <c r="P121" s="373"/>
      <c r="Q121" s="348"/>
      <c r="R121" s="129"/>
      <c r="S121" s="436"/>
      <c r="T121" s="386"/>
      <c r="U121" s="375"/>
      <c r="V121" s="386"/>
      <c r="W121" s="375"/>
      <c r="X121" s="1008"/>
      <c r="Y121" s="1009"/>
      <c r="Z121" s="1009"/>
      <c r="AA121" s="1010"/>
      <c r="AB121" s="552" t="s">
        <v>172</v>
      </c>
    </row>
    <row r="122" spans="1:28" ht="12.6" customHeight="1" x14ac:dyDescent="0.2">
      <c r="A122" s="20"/>
      <c r="B122" s="747" t="s">
        <v>763</v>
      </c>
      <c r="C122" s="748"/>
      <c r="D122" s="748"/>
      <c r="E122" s="748"/>
      <c r="F122" s="391"/>
      <c r="G122" s="1062" t="s">
        <v>476</v>
      </c>
      <c r="H122" s="1063"/>
      <c r="I122" s="1063"/>
      <c r="J122" s="1063"/>
      <c r="K122" s="1064"/>
      <c r="L122" s="532">
        <v>1524</v>
      </c>
      <c r="M122" s="349">
        <f t="shared" si="210"/>
        <v>1524</v>
      </c>
      <c r="N122" s="538">
        <v>1300</v>
      </c>
      <c r="O122" s="349">
        <f t="shared" si="210"/>
        <v>1300</v>
      </c>
      <c r="P122" s="508">
        <v>1077</v>
      </c>
      <c r="Q122" s="349">
        <f t="shared" si="211"/>
        <v>1077</v>
      </c>
      <c r="R122" s="533">
        <v>1074</v>
      </c>
      <c r="S122" s="349">
        <f t="shared" si="212"/>
        <v>1074</v>
      </c>
      <c r="T122" s="130">
        <v>1066</v>
      </c>
      <c r="U122" s="539">
        <f t="shared" si="213"/>
        <v>1066</v>
      </c>
      <c r="V122" s="130">
        <v>1055</v>
      </c>
      <c r="W122" s="539">
        <f t="shared" si="214"/>
        <v>1055</v>
      </c>
      <c r="X122" s="1008"/>
      <c r="Y122" s="1009"/>
      <c r="Z122" s="1009"/>
      <c r="AA122" s="1010"/>
      <c r="AB122" s="552">
        <v>303</v>
      </c>
    </row>
    <row r="123" spans="1:28" ht="12.6" customHeight="1" x14ac:dyDescent="0.2">
      <c r="A123" s="20"/>
      <c r="B123" s="937" t="s">
        <v>657</v>
      </c>
      <c r="C123" s="938"/>
      <c r="D123" s="938"/>
      <c r="E123" s="938"/>
      <c r="F123" s="375">
        <v>898</v>
      </c>
      <c r="G123" s="348">
        <f>+F123*$X$1</f>
        <v>898</v>
      </c>
      <c r="H123" s="338"/>
      <c r="I123" s="424"/>
      <c r="J123" s="386"/>
      <c r="K123" s="348"/>
      <c r="L123" s="386">
        <v>1700</v>
      </c>
      <c r="M123" s="348">
        <f>+L123*$X$1</f>
        <v>1700</v>
      </c>
      <c r="N123" s="386">
        <v>1527</v>
      </c>
      <c r="O123" s="348">
        <f t="shared" si="210"/>
        <v>1527</v>
      </c>
      <c r="P123" s="393">
        <v>1413</v>
      </c>
      <c r="Q123" s="348">
        <f t="shared" ref="Q123" si="215">+P123*$X$1</f>
        <v>1413</v>
      </c>
      <c r="R123" s="386">
        <v>1307</v>
      </c>
      <c r="S123" s="348">
        <f t="shared" si="212"/>
        <v>1307</v>
      </c>
      <c r="T123" s="386">
        <v>1227</v>
      </c>
      <c r="U123" s="348">
        <f>+T123*$X$1</f>
        <v>1227</v>
      </c>
      <c r="V123" s="386">
        <v>1176</v>
      </c>
      <c r="W123" s="348">
        <f>+V123*$X$1</f>
        <v>1176</v>
      </c>
      <c r="X123" s="708"/>
      <c r="Y123" s="711"/>
      <c r="Z123" s="711"/>
      <c r="AA123" s="710"/>
      <c r="AB123" s="552">
        <v>308</v>
      </c>
    </row>
    <row r="124" spans="1:28" ht="12.6" customHeight="1" x14ac:dyDescent="0.2">
      <c r="A124" s="20"/>
      <c r="B124" s="937" t="s">
        <v>656</v>
      </c>
      <c r="C124" s="938"/>
      <c r="D124" s="938"/>
      <c r="E124" s="938"/>
      <c r="F124" s="391">
        <v>898</v>
      </c>
      <c r="G124" s="349">
        <f>+F124*$X$1</f>
        <v>898</v>
      </c>
      <c r="H124" s="337"/>
      <c r="I124" s="425"/>
      <c r="J124" s="631"/>
      <c r="K124" s="349"/>
      <c r="L124" s="631">
        <v>1700</v>
      </c>
      <c r="M124" s="349">
        <f>+L124*$X$1</f>
        <v>1700</v>
      </c>
      <c r="N124" s="631">
        <v>1527</v>
      </c>
      <c r="O124" s="349">
        <f t="shared" ref="O124" si="216">+N124*$X$1</f>
        <v>1527</v>
      </c>
      <c r="P124" s="339">
        <v>1413</v>
      </c>
      <c r="Q124" s="349">
        <f t="shared" ref="Q124" si="217">+P124*$X$1</f>
        <v>1413</v>
      </c>
      <c r="R124" s="631">
        <v>1307</v>
      </c>
      <c r="S124" s="349">
        <f t="shared" ref="S124" si="218">+R124*$X$1</f>
        <v>1307</v>
      </c>
      <c r="T124" s="631">
        <v>1227</v>
      </c>
      <c r="U124" s="349">
        <f>+T124*$X$1</f>
        <v>1227</v>
      </c>
      <c r="V124" s="631">
        <v>1176</v>
      </c>
      <c r="W124" s="349">
        <f>+V124*$X$1</f>
        <v>1176</v>
      </c>
      <c r="X124" s="708"/>
      <c r="Y124" s="711"/>
      <c r="Z124" s="711"/>
      <c r="AA124" s="710"/>
      <c r="AB124" s="552">
        <v>309</v>
      </c>
    </row>
    <row r="125" spans="1:28" ht="12.6" customHeight="1" x14ac:dyDescent="0.2">
      <c r="A125" s="20"/>
      <c r="B125" s="706" t="s">
        <v>173</v>
      </c>
      <c r="C125" s="729"/>
      <c r="D125" s="729"/>
      <c r="E125" s="729"/>
      <c r="F125" s="487">
        <f>0.761*X2</f>
        <v>690.98800000000006</v>
      </c>
      <c r="G125" s="348">
        <f t="shared" ref="G125" si="219">+F125*$X$1</f>
        <v>690.98800000000006</v>
      </c>
      <c r="H125" s="386"/>
      <c r="I125" s="348"/>
      <c r="J125" s="386">
        <f>F125+80</f>
        <v>770.98800000000006</v>
      </c>
      <c r="K125" s="348">
        <f t="shared" ref="K125" si="220">+J125*$X$1</f>
        <v>770.98800000000006</v>
      </c>
      <c r="L125" s="386">
        <f>F125+60</f>
        <v>750.98800000000006</v>
      </c>
      <c r="M125" s="348">
        <f t="shared" ref="M125" si="221">+L125*$X$1</f>
        <v>750.98800000000006</v>
      </c>
      <c r="N125" s="386">
        <f>F125+40</f>
        <v>730.98800000000006</v>
      </c>
      <c r="O125" s="348">
        <f t="shared" ref="O125" si="222">+N125*$X$1</f>
        <v>730.98800000000006</v>
      </c>
      <c r="P125" s="386">
        <f>F125+37</f>
        <v>727.98800000000006</v>
      </c>
      <c r="Q125" s="348">
        <f t="shared" ref="Q125" si="223">+P125*$X$1</f>
        <v>727.98800000000006</v>
      </c>
      <c r="R125" s="386">
        <f>F125+33</f>
        <v>723.98800000000006</v>
      </c>
      <c r="S125" s="348">
        <f t="shared" ref="S125" si="224">+R125*$X$1</f>
        <v>723.98800000000006</v>
      </c>
      <c r="T125" s="386">
        <f>F125+29</f>
        <v>719.98800000000006</v>
      </c>
      <c r="U125" s="348">
        <f t="shared" ref="U125" si="225">+T125*$X$1</f>
        <v>719.98800000000006</v>
      </c>
      <c r="V125" s="386">
        <f>F125+25</f>
        <v>715.98800000000006</v>
      </c>
      <c r="W125" s="348">
        <f t="shared" ref="W125" si="226">+V125*$X$1</f>
        <v>715.98800000000006</v>
      </c>
      <c r="X125" s="708"/>
      <c r="Y125" s="711"/>
      <c r="Z125" s="711"/>
      <c r="AA125" s="710"/>
      <c r="AB125" s="552">
        <v>310</v>
      </c>
    </row>
    <row r="126" spans="1:28" ht="12.6" customHeight="1" x14ac:dyDescent="0.2">
      <c r="A126" s="20"/>
      <c r="B126" s="720" t="s">
        <v>521</v>
      </c>
      <c r="C126" s="721"/>
      <c r="D126" s="721"/>
      <c r="E126" s="721"/>
      <c r="F126" s="488"/>
      <c r="G126" s="349"/>
      <c r="H126" s="483"/>
      <c r="I126" s="349"/>
      <c r="J126" s="607"/>
      <c r="K126" s="349"/>
      <c r="L126" s="607"/>
      <c r="M126" s="349"/>
      <c r="N126" s="607"/>
      <c r="O126" s="349"/>
      <c r="P126" s="607"/>
      <c r="Q126" s="349"/>
      <c r="R126" s="607"/>
      <c r="S126" s="349"/>
      <c r="T126" s="607"/>
      <c r="U126" s="349"/>
      <c r="V126" s="607"/>
      <c r="W126" s="349"/>
      <c r="X126" s="708"/>
      <c r="Y126" s="711"/>
      <c r="Z126" s="711"/>
      <c r="AA126" s="710"/>
      <c r="AB126" s="552">
        <v>311</v>
      </c>
    </row>
    <row r="127" spans="1:28" ht="12.6" customHeight="1" x14ac:dyDescent="0.2">
      <c r="A127" s="20"/>
      <c r="B127" s="706" t="s">
        <v>581</v>
      </c>
      <c r="C127" s="729"/>
      <c r="D127" s="729"/>
      <c r="E127" s="729"/>
      <c r="F127" s="487">
        <f>1.815*X2</f>
        <v>1648.02</v>
      </c>
      <c r="G127" s="348">
        <f t="shared" ref="G127" si="227">+F127*$X$1</f>
        <v>1648.02</v>
      </c>
      <c r="H127" s="386"/>
      <c r="I127" s="348"/>
      <c r="J127" s="386">
        <f>F127+80</f>
        <v>1728.02</v>
      </c>
      <c r="K127" s="348">
        <f t="shared" ref="K127" si="228">+J127*$X$1</f>
        <v>1728.02</v>
      </c>
      <c r="L127" s="386">
        <f>F127+60</f>
        <v>1708.02</v>
      </c>
      <c r="M127" s="348">
        <f t="shared" ref="M127" si="229">+L127*$X$1</f>
        <v>1708.02</v>
      </c>
      <c r="N127" s="386">
        <f>F127+40</f>
        <v>1688.02</v>
      </c>
      <c r="O127" s="348">
        <f t="shared" ref="O127" si="230">+N127*$X$1</f>
        <v>1688.02</v>
      </c>
      <c r="P127" s="386">
        <f>F127+37</f>
        <v>1685.02</v>
      </c>
      <c r="Q127" s="348">
        <f t="shared" ref="Q127" si="231">+P127*$X$1</f>
        <v>1685.02</v>
      </c>
      <c r="R127" s="386">
        <f>F127+33</f>
        <v>1681.02</v>
      </c>
      <c r="S127" s="348">
        <f t="shared" ref="S127" si="232">+R127*$X$1</f>
        <v>1681.02</v>
      </c>
      <c r="T127" s="386">
        <f>F127+29</f>
        <v>1677.02</v>
      </c>
      <c r="U127" s="348">
        <f t="shared" ref="U127" si="233">+T127*$X$1</f>
        <v>1677.02</v>
      </c>
      <c r="V127" s="386">
        <f>F127+25</f>
        <v>1673.02</v>
      </c>
      <c r="W127" s="348">
        <f t="shared" ref="W127" si="234">+V127*$X$1</f>
        <v>1673.02</v>
      </c>
      <c r="X127" s="708"/>
      <c r="Y127" s="711"/>
      <c r="Z127" s="711"/>
      <c r="AA127" s="710"/>
      <c r="AB127" s="552">
        <v>312</v>
      </c>
    </row>
    <row r="128" spans="1:28" ht="12.6" customHeight="1" x14ac:dyDescent="0.2">
      <c r="A128" s="20"/>
      <c r="B128" s="700" t="s">
        <v>174</v>
      </c>
      <c r="C128" s="701"/>
      <c r="D128" s="701"/>
      <c r="E128" s="702"/>
      <c r="F128" s="349"/>
      <c r="G128" s="349"/>
      <c r="H128" s="483"/>
      <c r="I128" s="349"/>
      <c r="J128" s="94"/>
      <c r="K128" s="349"/>
      <c r="L128" s="483"/>
      <c r="M128" s="349"/>
      <c r="N128" s="483"/>
      <c r="O128" s="349"/>
      <c r="P128" s="483"/>
      <c r="Q128" s="349"/>
      <c r="R128" s="483"/>
      <c r="S128" s="349"/>
      <c r="T128" s="483"/>
      <c r="U128" s="349"/>
      <c r="V128" s="483"/>
      <c r="W128" s="349"/>
      <c r="X128" s="708"/>
      <c r="Y128" s="711"/>
      <c r="Z128" s="711"/>
      <c r="AA128" s="710"/>
      <c r="AB128" s="552" t="s">
        <v>175</v>
      </c>
    </row>
    <row r="129" spans="1:33" ht="12.6" customHeight="1" x14ac:dyDescent="0.2">
      <c r="A129" s="20"/>
      <c r="B129" s="976" t="s">
        <v>176</v>
      </c>
      <c r="C129" s="977"/>
      <c r="D129" s="977"/>
      <c r="E129" s="978"/>
      <c r="F129" s="375"/>
      <c r="G129" s="348"/>
      <c r="H129" s="386"/>
      <c r="I129" s="348"/>
      <c r="J129" s="75"/>
      <c r="K129" s="348"/>
      <c r="L129" s="386"/>
      <c r="M129" s="348"/>
      <c r="N129" s="386"/>
      <c r="O129" s="348"/>
      <c r="P129" s="386"/>
      <c r="Q129" s="348"/>
      <c r="R129" s="386"/>
      <c r="S129" s="348"/>
      <c r="T129" s="386"/>
      <c r="U129" s="348"/>
      <c r="V129" s="386"/>
      <c r="W129" s="348"/>
      <c r="X129" s="967"/>
      <c r="Y129" s="970"/>
      <c r="Z129" s="970"/>
      <c r="AA129" s="969"/>
      <c r="AB129" s="639" t="s">
        <v>177</v>
      </c>
    </row>
    <row r="130" spans="1:33" ht="12.6" customHeight="1" x14ac:dyDescent="0.2">
      <c r="A130" s="20"/>
      <c r="B130" s="700" t="s">
        <v>178</v>
      </c>
      <c r="C130" s="701"/>
      <c r="D130" s="701"/>
      <c r="E130" s="702"/>
      <c r="F130" s="349"/>
      <c r="G130" s="349"/>
      <c r="H130" s="483"/>
      <c r="I130" s="349"/>
      <c r="J130" s="94"/>
      <c r="K130" s="349"/>
      <c r="L130" s="483"/>
      <c r="M130" s="349"/>
      <c r="N130" s="483"/>
      <c r="O130" s="349"/>
      <c r="P130" s="483"/>
      <c r="Q130" s="349"/>
      <c r="R130" s="483"/>
      <c r="S130" s="349"/>
      <c r="T130" s="483"/>
      <c r="U130" s="349"/>
      <c r="V130" s="483"/>
      <c r="W130" s="349"/>
      <c r="X130" s="970"/>
      <c r="Y130" s="970"/>
      <c r="Z130" s="970"/>
      <c r="AA130" s="970"/>
      <c r="AB130" s="209" t="s">
        <v>179</v>
      </c>
    </row>
    <row r="131" spans="1:33" ht="12.6" customHeight="1" x14ac:dyDescent="0.2">
      <c r="A131" s="20"/>
      <c r="B131" s="716" t="s">
        <v>180</v>
      </c>
      <c r="C131" s="717"/>
      <c r="D131" s="717"/>
      <c r="E131" s="718"/>
      <c r="F131" s="348"/>
      <c r="G131" s="348"/>
      <c r="H131" s="386"/>
      <c r="I131" s="348"/>
      <c r="J131" s="75"/>
      <c r="K131" s="348"/>
      <c r="L131" s="386"/>
      <c r="M131" s="348"/>
      <c r="N131" s="386"/>
      <c r="O131" s="348"/>
      <c r="P131" s="386"/>
      <c r="Q131" s="348"/>
      <c r="R131" s="386"/>
      <c r="S131" s="348"/>
      <c r="T131" s="386"/>
      <c r="U131" s="348"/>
      <c r="V131" s="386"/>
      <c r="W131" s="348"/>
      <c r="X131" s="970"/>
      <c r="Y131" s="970"/>
      <c r="Z131" s="970"/>
      <c r="AA131" s="970"/>
      <c r="AB131" s="209" t="s">
        <v>181</v>
      </c>
    </row>
    <row r="132" spans="1:33" ht="12.6" customHeight="1" x14ac:dyDescent="0.2">
      <c r="A132" s="102"/>
      <c r="B132" s="700" t="s">
        <v>429</v>
      </c>
      <c r="C132" s="724"/>
      <c r="D132" s="724"/>
      <c r="E132" s="725"/>
      <c r="F132" s="349"/>
      <c r="G132" s="349"/>
      <c r="H132" s="94"/>
      <c r="I132" s="98"/>
      <c r="J132" s="98"/>
      <c r="K132" s="98"/>
      <c r="L132" s="98"/>
      <c r="M132" s="349"/>
      <c r="N132" s="98"/>
      <c r="O132" s="349"/>
      <c r="P132" s="98"/>
      <c r="Q132" s="349"/>
      <c r="R132" s="98"/>
      <c r="S132" s="349"/>
      <c r="T132" s="98"/>
      <c r="U132" s="349"/>
      <c r="V132" s="98"/>
      <c r="W132" s="349"/>
      <c r="X132" s="934"/>
      <c r="Y132" s="1003"/>
      <c r="Z132" s="1003"/>
      <c r="AA132" s="1004"/>
      <c r="AB132" s="209"/>
    </row>
    <row r="133" spans="1:33" ht="12.6" customHeight="1" x14ac:dyDescent="0.2">
      <c r="A133" s="102"/>
      <c r="B133" s="706" t="s">
        <v>182</v>
      </c>
      <c r="C133" s="729"/>
      <c r="D133" s="729"/>
      <c r="E133" s="729"/>
      <c r="F133" s="348"/>
      <c r="G133" s="348"/>
      <c r="H133" s="75"/>
      <c r="I133" s="266"/>
      <c r="J133" s="266"/>
      <c r="K133" s="266"/>
      <c r="L133" s="266"/>
      <c r="M133" s="348"/>
      <c r="N133" s="266"/>
      <c r="O133" s="348"/>
      <c r="P133" s="266"/>
      <c r="Q133" s="348"/>
      <c r="R133" s="266"/>
      <c r="S133" s="348"/>
      <c r="T133" s="266"/>
      <c r="U133" s="348"/>
      <c r="V133" s="266"/>
      <c r="W133" s="348"/>
      <c r="X133" s="934"/>
      <c r="Y133" s="935"/>
      <c r="Z133" s="935"/>
      <c r="AA133" s="936"/>
      <c r="AB133" s="209">
        <v>316</v>
      </c>
      <c r="AC133" s="64"/>
      <c r="AD133" s="64"/>
      <c r="AE133" s="64"/>
      <c r="AF133" s="64"/>
    </row>
    <row r="134" spans="1:33" ht="12.6" customHeight="1" x14ac:dyDescent="0.2">
      <c r="A134" s="102"/>
      <c r="B134" s="720" t="s">
        <v>183</v>
      </c>
      <c r="C134" s="721"/>
      <c r="D134" s="721"/>
      <c r="E134" s="721"/>
      <c r="F134" s="349"/>
      <c r="G134" s="437"/>
      <c r="H134" s="94"/>
      <c r="I134" s="267"/>
      <c r="J134" s="98"/>
      <c r="K134" s="267"/>
      <c r="L134" s="98"/>
      <c r="M134" s="439"/>
      <c r="N134" s="98"/>
      <c r="O134" s="439"/>
      <c r="P134" s="98"/>
      <c r="Q134" s="439"/>
      <c r="R134" s="98"/>
      <c r="S134" s="439"/>
      <c r="T134" s="98"/>
      <c r="U134" s="349"/>
      <c r="V134" s="98"/>
      <c r="W134" s="349"/>
      <c r="X134" s="934"/>
      <c r="Y134" s="935"/>
      <c r="Z134" s="935"/>
      <c r="AA134" s="936"/>
      <c r="AB134" s="209">
        <v>318</v>
      </c>
      <c r="AC134" s="64"/>
      <c r="AD134" s="64"/>
      <c r="AE134" s="64"/>
      <c r="AF134" s="64"/>
    </row>
    <row r="135" spans="1:33" ht="12.6" customHeight="1" x14ac:dyDescent="0.2">
      <c r="A135" s="20"/>
      <c r="B135" s="1068" t="s">
        <v>386</v>
      </c>
      <c r="C135" s="1069"/>
      <c r="D135" s="1069"/>
      <c r="E135" s="1069"/>
      <c r="F135" s="348">
        <v>560</v>
      </c>
      <c r="G135" s="382">
        <f>+F135*$X$1</f>
        <v>560</v>
      </c>
      <c r="H135" s="210" t="s">
        <v>184</v>
      </c>
      <c r="I135" s="213"/>
      <c r="J135" s="89"/>
      <c r="K135" s="89"/>
      <c r="L135" s="182"/>
      <c r="M135" s="89"/>
      <c r="N135" s="89"/>
      <c r="O135" s="89"/>
      <c r="P135" s="86">
        <v>50</v>
      </c>
      <c r="Q135" s="212">
        <f>+P135*$X$1</f>
        <v>50</v>
      </c>
      <c r="R135" s="241"/>
      <c r="S135" s="443"/>
      <c r="T135" s="75"/>
      <c r="U135" s="348"/>
      <c r="V135" s="307"/>
      <c r="W135" s="348"/>
      <c r="X135" s="934"/>
      <c r="Y135" s="935"/>
      <c r="Z135" s="935"/>
      <c r="AA135" s="936"/>
      <c r="AB135" s="560"/>
      <c r="AC135" s="1281"/>
      <c r="AD135" s="1282"/>
      <c r="AE135" s="1282"/>
      <c r="AF135" s="1282"/>
      <c r="AG135" s="4"/>
    </row>
    <row r="136" spans="1:33" ht="12.6" customHeight="1" x14ac:dyDescent="0.2">
      <c r="A136" s="20"/>
      <c r="B136" s="999" t="s">
        <v>387</v>
      </c>
      <c r="C136" s="1000"/>
      <c r="D136" s="1000"/>
      <c r="E136" s="1000"/>
      <c r="F136" s="349">
        <v>605</v>
      </c>
      <c r="G136" s="438">
        <f>+F136*$X$1</f>
        <v>605</v>
      </c>
      <c r="H136" s="317" t="s">
        <v>184</v>
      </c>
      <c r="I136" s="318"/>
      <c r="J136" s="319"/>
      <c r="K136" s="319"/>
      <c r="L136" s="320"/>
      <c r="M136" s="319"/>
      <c r="N136" s="319"/>
      <c r="O136" s="319"/>
      <c r="P136" s="321">
        <v>50</v>
      </c>
      <c r="Q136" s="322">
        <f>+P136*$X$1</f>
        <v>50</v>
      </c>
      <c r="R136" s="323"/>
      <c r="S136" s="444"/>
      <c r="T136" s="324"/>
      <c r="U136" s="351"/>
      <c r="V136" s="100"/>
      <c r="W136" s="351"/>
      <c r="X136" s="934"/>
      <c r="Y136" s="935"/>
      <c r="Z136" s="935"/>
      <c r="AA136" s="936"/>
      <c r="AB136" s="560"/>
    </row>
    <row r="137" spans="1:33" ht="12.6" customHeight="1" x14ac:dyDescent="0.2">
      <c r="A137" s="20"/>
      <c r="B137" s="1068" t="s">
        <v>185</v>
      </c>
      <c r="C137" s="1069"/>
      <c r="D137" s="1069"/>
      <c r="E137" s="1069"/>
      <c r="F137" s="348"/>
      <c r="G137" s="348"/>
      <c r="H137" s="327"/>
      <c r="I137" s="348"/>
      <c r="J137" s="386">
        <f>F136+110</f>
        <v>715</v>
      </c>
      <c r="K137" s="348">
        <f t="shared" ref="K137:K138" si="235">+J137*$X$1</f>
        <v>715</v>
      </c>
      <c r="L137" s="386">
        <f>F136+70</f>
        <v>675</v>
      </c>
      <c r="M137" s="348">
        <f>+L137*$X$1</f>
        <v>675</v>
      </c>
      <c r="N137" s="386">
        <f>F136+45</f>
        <v>650</v>
      </c>
      <c r="O137" s="348">
        <f>+N137*$X$1</f>
        <v>650</v>
      </c>
      <c r="P137" s="386">
        <f>F136+41</f>
        <v>646</v>
      </c>
      <c r="Q137" s="348">
        <f t="shared" ref="Q137:Q138" si="236">+P137*$X$1</f>
        <v>646</v>
      </c>
      <c r="R137" s="607">
        <f>F136+38</f>
        <v>643</v>
      </c>
      <c r="S137" s="348">
        <v>2202</v>
      </c>
      <c r="T137" s="386">
        <f>F136+32</f>
        <v>637</v>
      </c>
      <c r="U137" s="348">
        <f t="shared" ref="U137:U138" si="237">+T137*$X$1</f>
        <v>637</v>
      </c>
      <c r="V137" s="386">
        <f>F136+28</f>
        <v>633</v>
      </c>
      <c r="W137" s="348">
        <f>+V137*$X$1</f>
        <v>633</v>
      </c>
      <c r="X137" s="934"/>
      <c r="Y137" s="935"/>
      <c r="Z137" s="935"/>
      <c r="AA137" s="936"/>
      <c r="AB137" s="552">
        <v>321</v>
      </c>
    </row>
    <row r="138" spans="1:33" ht="12.6" customHeight="1" x14ac:dyDescent="0.2">
      <c r="A138" s="20"/>
      <c r="B138" s="999" t="s">
        <v>652</v>
      </c>
      <c r="C138" s="1000"/>
      <c r="D138" s="1000"/>
      <c r="E138" s="1000"/>
      <c r="F138" s="349"/>
      <c r="G138" s="349"/>
      <c r="H138" s="367"/>
      <c r="I138" s="349"/>
      <c r="J138" s="607">
        <f>F136+237</f>
        <v>842</v>
      </c>
      <c r="K138" s="349">
        <f t="shared" si="235"/>
        <v>842</v>
      </c>
      <c r="L138" s="607">
        <f>F136+147</f>
        <v>752</v>
      </c>
      <c r="M138" s="349">
        <f>+L138*$X$1</f>
        <v>752</v>
      </c>
      <c r="N138" s="607">
        <f>F136+108</f>
        <v>713</v>
      </c>
      <c r="O138" s="349">
        <f>+N138*$X$1</f>
        <v>713</v>
      </c>
      <c r="P138" s="607">
        <f>F136+98</f>
        <v>703</v>
      </c>
      <c r="Q138" s="349">
        <f t="shared" si="236"/>
        <v>703</v>
      </c>
      <c r="R138" s="607">
        <f>F136+84</f>
        <v>689</v>
      </c>
      <c r="S138" s="349">
        <f>+R138*$X$1</f>
        <v>689</v>
      </c>
      <c r="T138" s="607">
        <f>F136+73</f>
        <v>678</v>
      </c>
      <c r="U138" s="349">
        <f t="shared" si="237"/>
        <v>678</v>
      </c>
      <c r="V138" s="607">
        <f>F136+68</f>
        <v>673</v>
      </c>
      <c r="W138" s="349">
        <f>+V138*$X$1</f>
        <v>673</v>
      </c>
      <c r="X138" s="934"/>
      <c r="Y138" s="935"/>
      <c r="Z138" s="935"/>
      <c r="AA138" s="936"/>
      <c r="AB138" s="552">
        <v>322</v>
      </c>
    </row>
    <row r="139" spans="1:33" ht="12.6" customHeight="1" x14ac:dyDescent="0.2">
      <c r="A139" s="20"/>
      <c r="B139" s="1068" t="s">
        <v>388</v>
      </c>
      <c r="C139" s="1069"/>
      <c r="D139" s="1069"/>
      <c r="E139" s="1069"/>
      <c r="F139" s="348">
        <v>716</v>
      </c>
      <c r="G139" s="382">
        <f>+F139*$X$1</f>
        <v>716</v>
      </c>
      <c r="H139" s="325" t="s">
        <v>184</v>
      </c>
      <c r="I139" s="211"/>
      <c r="J139" s="87"/>
      <c r="K139" s="87"/>
      <c r="L139" s="87"/>
      <c r="M139" s="87"/>
      <c r="N139" s="87"/>
      <c r="O139" s="87"/>
      <c r="P139" s="88">
        <v>70</v>
      </c>
      <c r="Q139" s="326">
        <f>+P139*$X$1</f>
        <v>70</v>
      </c>
      <c r="R139" s="69"/>
      <c r="S139" s="432"/>
      <c r="T139" s="329"/>
      <c r="U139" s="440"/>
      <c r="V139" s="90"/>
      <c r="W139" s="442"/>
      <c r="X139" s="934"/>
      <c r="Y139" s="935"/>
      <c r="Z139" s="935"/>
      <c r="AA139" s="936"/>
      <c r="AB139" s="560"/>
    </row>
    <row r="140" spans="1:33" ht="12.6" customHeight="1" x14ac:dyDescent="0.2">
      <c r="A140" s="20"/>
      <c r="B140" s="720" t="s">
        <v>186</v>
      </c>
      <c r="C140" s="721"/>
      <c r="D140" s="721"/>
      <c r="E140" s="721"/>
      <c r="F140" s="351">
        <v>761</v>
      </c>
      <c r="G140" s="438">
        <f>+F140*$X$1</f>
        <v>761</v>
      </c>
      <c r="H140" s="330" t="s">
        <v>184</v>
      </c>
      <c r="I140" s="331"/>
      <c r="J140" s="87"/>
      <c r="K140" s="87"/>
      <c r="L140" s="87"/>
      <c r="M140" s="87"/>
      <c r="N140" s="87"/>
      <c r="O140" s="87"/>
      <c r="P140" s="88">
        <v>70</v>
      </c>
      <c r="Q140" s="212">
        <f>+P140*$X$1</f>
        <v>70</v>
      </c>
      <c r="R140" s="311"/>
      <c r="S140" s="422"/>
      <c r="T140" s="328"/>
      <c r="U140" s="441"/>
      <c r="V140" s="94"/>
      <c r="W140" s="391"/>
      <c r="X140" s="934"/>
      <c r="Y140" s="935"/>
      <c r="Z140" s="935"/>
      <c r="AA140" s="936"/>
      <c r="AB140" s="560"/>
    </row>
    <row r="141" spans="1:33" ht="12.6" customHeight="1" x14ac:dyDescent="0.2">
      <c r="A141" s="20"/>
      <c r="B141" s="706" t="s">
        <v>187</v>
      </c>
      <c r="C141" s="729"/>
      <c r="D141" s="729"/>
      <c r="E141" s="729"/>
      <c r="F141" s="427"/>
      <c r="G141" s="427"/>
      <c r="H141" s="338"/>
      <c r="I141" s="424"/>
      <c r="J141" s="386">
        <f>F140+110</f>
        <v>871</v>
      </c>
      <c r="K141" s="348">
        <f t="shared" ref="K141" si="238">+J141*$X$1</f>
        <v>871</v>
      </c>
      <c r="L141" s="386">
        <f>F140+70</f>
        <v>831</v>
      </c>
      <c r="M141" s="348">
        <f>+L141*$X$1</f>
        <v>831</v>
      </c>
      <c r="N141" s="386">
        <f>F140+45</f>
        <v>806</v>
      </c>
      <c r="O141" s="348">
        <f>+N141*$X$1</f>
        <v>806</v>
      </c>
      <c r="P141" s="386">
        <f>F140+41</f>
        <v>802</v>
      </c>
      <c r="Q141" s="348">
        <f t="shared" ref="Q141" si="239">+P141*$X$1</f>
        <v>802</v>
      </c>
      <c r="R141" s="607">
        <f>F140+38</f>
        <v>799</v>
      </c>
      <c r="S141" s="348">
        <f>+R141*$X$1</f>
        <v>799</v>
      </c>
      <c r="T141" s="386">
        <f>F140+32</f>
        <v>793</v>
      </c>
      <c r="U141" s="348">
        <f t="shared" ref="U141" si="240">+T141*$X$1</f>
        <v>793</v>
      </c>
      <c r="V141" s="386">
        <f>F140+28</f>
        <v>789</v>
      </c>
      <c r="W141" s="348">
        <f>+V141*$X$1</f>
        <v>789</v>
      </c>
      <c r="X141" s="934"/>
      <c r="Y141" s="935"/>
      <c r="Z141" s="935"/>
      <c r="AA141" s="936"/>
      <c r="AB141" s="552">
        <v>325</v>
      </c>
    </row>
    <row r="142" spans="1:33" ht="12.6" customHeight="1" x14ac:dyDescent="0.2">
      <c r="A142" s="20"/>
      <c r="B142" s="720" t="s">
        <v>651</v>
      </c>
      <c r="C142" s="721"/>
      <c r="D142" s="721"/>
      <c r="E142" s="721"/>
      <c r="F142" s="426"/>
      <c r="G142" s="426"/>
      <c r="H142" s="337"/>
      <c r="I142" s="425"/>
      <c r="J142" s="607">
        <f>F140+240</f>
        <v>1001</v>
      </c>
      <c r="K142" s="349">
        <f t="shared" ref="K142:K145" si="241">+J142*$X$1</f>
        <v>1001</v>
      </c>
      <c r="L142" s="607">
        <f>F140+150</f>
        <v>911</v>
      </c>
      <c r="M142" s="349">
        <f>+L142*$X$1</f>
        <v>911</v>
      </c>
      <c r="N142" s="607">
        <f>F140+110</f>
        <v>871</v>
      </c>
      <c r="O142" s="349">
        <f>+N142*$X$1</f>
        <v>871</v>
      </c>
      <c r="P142" s="607">
        <f>F140+100</f>
        <v>861</v>
      </c>
      <c r="Q142" s="349">
        <f t="shared" ref="Q142:Q145" si="242">+P142*$X$1</f>
        <v>861</v>
      </c>
      <c r="R142" s="607">
        <f>F140+86</f>
        <v>847</v>
      </c>
      <c r="S142" s="349">
        <f>+R142*$X$1</f>
        <v>847</v>
      </c>
      <c r="T142" s="607">
        <f>F140+75</f>
        <v>836</v>
      </c>
      <c r="U142" s="349">
        <f t="shared" ref="U142:U145" si="243">+T142*$X$1</f>
        <v>836</v>
      </c>
      <c r="V142" s="607">
        <f>F140+70</f>
        <v>831</v>
      </c>
      <c r="W142" s="349">
        <f>+V142*$X$1</f>
        <v>831</v>
      </c>
      <c r="X142" s="934"/>
      <c r="Y142" s="935"/>
      <c r="Z142" s="935"/>
      <c r="AA142" s="936"/>
      <c r="AB142" s="552">
        <v>326</v>
      </c>
    </row>
    <row r="143" spans="1:33" ht="12.6" customHeight="1" x14ac:dyDescent="0.2">
      <c r="A143" s="20"/>
      <c r="B143" s="706" t="s">
        <v>411</v>
      </c>
      <c r="C143" s="729"/>
      <c r="D143" s="729"/>
      <c r="E143" s="729"/>
      <c r="F143" s="487">
        <f>8.3*X2</f>
        <v>7536.4000000000005</v>
      </c>
      <c r="G143" s="348">
        <f>+F143*$X$1</f>
        <v>7536.4000000000005</v>
      </c>
      <c r="H143" s="386">
        <f>F143+250</f>
        <v>7786.4000000000005</v>
      </c>
      <c r="I143" s="348">
        <f t="shared" ref="I143" si="244">+H143*$X$1</f>
        <v>7786.4000000000005</v>
      </c>
      <c r="J143" s="386">
        <f>F143+80</f>
        <v>7616.4000000000005</v>
      </c>
      <c r="K143" s="348">
        <f t="shared" si="241"/>
        <v>7616.4000000000005</v>
      </c>
      <c r="L143" s="386">
        <f>F143+60</f>
        <v>7596.4000000000005</v>
      </c>
      <c r="M143" s="348">
        <f t="shared" ref="M143:M145" si="245">+L143*$X$1</f>
        <v>7596.4000000000005</v>
      </c>
      <c r="N143" s="386">
        <f>F143+40</f>
        <v>7576.4000000000005</v>
      </c>
      <c r="O143" s="348">
        <f t="shared" ref="O143:O145" si="246">+N143*$X$1</f>
        <v>7576.4000000000005</v>
      </c>
      <c r="P143" s="386">
        <f>F143+37</f>
        <v>7573.4000000000005</v>
      </c>
      <c r="Q143" s="348">
        <f t="shared" si="242"/>
        <v>7573.4000000000005</v>
      </c>
      <c r="R143" s="386">
        <f>F143+33</f>
        <v>7569.4000000000005</v>
      </c>
      <c r="S143" s="348">
        <f t="shared" ref="S143:S145" si="247">+R143*$X$1</f>
        <v>7569.4000000000005</v>
      </c>
      <c r="T143" s="386">
        <f>F143+29</f>
        <v>7565.4000000000005</v>
      </c>
      <c r="U143" s="348">
        <f t="shared" si="243"/>
        <v>7565.4000000000005</v>
      </c>
      <c r="V143" s="386">
        <f>F143+25</f>
        <v>7561.4000000000005</v>
      </c>
      <c r="W143" s="348">
        <f t="shared" ref="W143:W145" si="248">+V143*$X$1</f>
        <v>7561.4000000000005</v>
      </c>
      <c r="X143" s="877"/>
      <c r="Y143" s="942"/>
      <c r="Z143" s="942"/>
      <c r="AA143" s="817"/>
      <c r="AB143" s="209">
        <v>332</v>
      </c>
    </row>
    <row r="144" spans="1:33" ht="12.6" customHeight="1" x14ac:dyDescent="0.2">
      <c r="A144" s="20"/>
      <c r="B144" s="720" t="s">
        <v>800</v>
      </c>
      <c r="C144" s="721"/>
      <c r="D144" s="721"/>
      <c r="E144" s="721"/>
      <c r="F144" s="488"/>
      <c r="G144" s="349"/>
      <c r="H144" s="607"/>
      <c r="I144" s="349"/>
      <c r="J144" s="607"/>
      <c r="K144" s="349"/>
      <c r="L144" s="607"/>
      <c r="M144" s="349"/>
      <c r="N144" s="607"/>
      <c r="O144" s="349"/>
      <c r="P144" s="607"/>
      <c r="Q144" s="349"/>
      <c r="R144" s="607"/>
      <c r="S144" s="349"/>
      <c r="T144" s="607"/>
      <c r="U144" s="349"/>
      <c r="V144" s="607"/>
      <c r="W144" s="349"/>
      <c r="X144" s="877"/>
      <c r="Y144" s="942"/>
      <c r="Z144" s="942"/>
      <c r="AA144" s="817"/>
      <c r="AB144" s="209">
        <v>334</v>
      </c>
    </row>
    <row r="145" spans="1:34" ht="12.6" customHeight="1" x14ac:dyDescent="0.2">
      <c r="A145" s="20"/>
      <c r="B145" s="937" t="s">
        <v>801</v>
      </c>
      <c r="C145" s="938"/>
      <c r="D145" s="938"/>
      <c r="E145" s="938"/>
      <c r="F145" s="487">
        <f>5.54*X2</f>
        <v>5030.32</v>
      </c>
      <c r="G145" s="348">
        <f>+F145*$X$1</f>
        <v>5030.32</v>
      </c>
      <c r="H145" s="386">
        <f>F145+250</f>
        <v>5280.32</v>
      </c>
      <c r="I145" s="348">
        <f t="shared" ref="I145" si="249">+H145*$X$1</f>
        <v>5280.32</v>
      </c>
      <c r="J145" s="386">
        <f>F145+80</f>
        <v>5110.32</v>
      </c>
      <c r="K145" s="348">
        <f t="shared" si="241"/>
        <v>5110.32</v>
      </c>
      <c r="L145" s="386">
        <f>F145+60</f>
        <v>5090.32</v>
      </c>
      <c r="M145" s="348">
        <f t="shared" si="245"/>
        <v>5090.32</v>
      </c>
      <c r="N145" s="386">
        <f>F145+40</f>
        <v>5070.32</v>
      </c>
      <c r="O145" s="348">
        <f t="shared" si="246"/>
        <v>5070.32</v>
      </c>
      <c r="P145" s="386">
        <f>F145+37</f>
        <v>5067.32</v>
      </c>
      <c r="Q145" s="348">
        <f t="shared" si="242"/>
        <v>5067.32</v>
      </c>
      <c r="R145" s="386">
        <f>F145+33</f>
        <v>5063.32</v>
      </c>
      <c r="S145" s="348">
        <f t="shared" si="247"/>
        <v>5063.32</v>
      </c>
      <c r="T145" s="386">
        <f>F145+29</f>
        <v>5059.32</v>
      </c>
      <c r="U145" s="348">
        <f t="shared" si="243"/>
        <v>5059.32</v>
      </c>
      <c r="V145" s="386">
        <f>F145+25</f>
        <v>5055.32</v>
      </c>
      <c r="W145" s="348">
        <f t="shared" si="248"/>
        <v>5055.32</v>
      </c>
      <c r="X145" s="877"/>
      <c r="Y145" s="942"/>
      <c r="Z145" s="942"/>
      <c r="AA145" s="817"/>
      <c r="AB145" s="209">
        <v>337</v>
      </c>
    </row>
    <row r="146" spans="1:34" ht="12.6" customHeight="1" x14ac:dyDescent="0.2">
      <c r="A146" s="20"/>
      <c r="B146" s="1072" t="s">
        <v>583</v>
      </c>
      <c r="C146" s="740"/>
      <c r="D146" s="740"/>
      <c r="E146" s="740"/>
      <c r="F146" s="488"/>
      <c r="G146" s="349"/>
      <c r="H146" s="607"/>
      <c r="I146" s="349"/>
      <c r="J146" s="607"/>
      <c r="K146" s="349"/>
      <c r="L146" s="607"/>
      <c r="M146" s="349"/>
      <c r="N146" s="607"/>
      <c r="O146" s="349"/>
      <c r="P146" s="607"/>
      <c r="Q146" s="349"/>
      <c r="R146" s="607"/>
      <c r="S146" s="349"/>
      <c r="T146" s="607"/>
      <c r="U146" s="349"/>
      <c r="V146" s="607"/>
      <c r="W146" s="349"/>
      <c r="X146" s="877"/>
      <c r="Y146" s="942"/>
      <c r="Z146" s="942"/>
      <c r="AA146" s="817"/>
      <c r="AB146" s="209">
        <v>338</v>
      </c>
    </row>
    <row r="147" spans="1:34" ht="12.6" customHeight="1" x14ac:dyDescent="0.2">
      <c r="A147" s="22"/>
      <c r="B147" s="814" t="s">
        <v>389</v>
      </c>
      <c r="C147" s="848"/>
      <c r="D147" s="848"/>
      <c r="E147" s="848"/>
      <c r="F147" s="375"/>
      <c r="G147" s="375"/>
      <c r="H147" s="568"/>
      <c r="I147" s="568"/>
      <c r="J147" s="386"/>
      <c r="K147" s="348"/>
      <c r="L147" s="386"/>
      <c r="M147" s="348"/>
      <c r="N147" s="90"/>
      <c r="O147" s="375"/>
      <c r="P147" s="90"/>
      <c r="Q147" s="375"/>
      <c r="R147" s="109"/>
      <c r="S147" s="375"/>
      <c r="T147" s="109"/>
      <c r="U147" s="306"/>
      <c r="V147" s="109"/>
      <c r="W147" s="306"/>
      <c r="X147" s="162"/>
      <c r="Y147" s="162"/>
      <c r="Z147" s="162"/>
      <c r="AA147" s="162"/>
      <c r="AB147" s="209">
        <v>344</v>
      </c>
    </row>
    <row r="148" spans="1:34" ht="12.6" customHeight="1" x14ac:dyDescent="0.2">
      <c r="A148" s="22"/>
      <c r="B148" s="720" t="s">
        <v>188</v>
      </c>
      <c r="C148" s="721"/>
      <c r="D148" s="721"/>
      <c r="E148" s="721"/>
      <c r="F148" s="349"/>
      <c r="G148" s="349"/>
      <c r="H148" s="556"/>
      <c r="I148" s="556"/>
      <c r="J148" s="569"/>
      <c r="K148" s="349"/>
      <c r="L148" s="569"/>
      <c r="M148" s="349"/>
      <c r="N148" s="95"/>
      <c r="O148" s="391"/>
      <c r="P148" s="95"/>
      <c r="Q148" s="391"/>
      <c r="R148" s="108"/>
      <c r="S148" s="391"/>
      <c r="T148" s="108"/>
      <c r="U148" s="374"/>
      <c r="V148" s="108"/>
      <c r="W148" s="374"/>
      <c r="X148" s="162"/>
      <c r="Y148" s="162"/>
      <c r="Z148" s="162"/>
      <c r="AA148" s="162"/>
      <c r="AB148" s="209">
        <v>345</v>
      </c>
    </row>
    <row r="149" spans="1:34" ht="12.6" customHeight="1" x14ac:dyDescent="0.2">
      <c r="A149" s="22"/>
      <c r="B149" s="1070" t="s">
        <v>189</v>
      </c>
      <c r="C149" s="1071"/>
      <c r="D149" s="1071"/>
      <c r="E149" s="1071"/>
      <c r="F149" s="348">
        <v>350</v>
      </c>
      <c r="G149" s="348">
        <f t="shared" ref="G149" si="250">+F149*$X$1</f>
        <v>350</v>
      </c>
      <c r="H149" s="568"/>
      <c r="I149" s="609"/>
      <c r="J149" s="386">
        <f>F149+210</f>
        <v>560</v>
      </c>
      <c r="K149" s="348">
        <f t="shared" ref="K149" si="251">+J149*$X$1</f>
        <v>560</v>
      </c>
      <c r="L149" s="386">
        <f>F149+150</f>
        <v>500</v>
      </c>
      <c r="M149" s="348">
        <f>+L149*$X$1</f>
        <v>500</v>
      </c>
      <c r="N149" s="386">
        <f>F149+120</f>
        <v>470</v>
      </c>
      <c r="O149" s="348">
        <f>+N149*$X$1</f>
        <v>470</v>
      </c>
      <c r="P149" s="386">
        <f>F149+100</f>
        <v>450</v>
      </c>
      <c r="Q149" s="348">
        <f t="shared" ref="Q149" si="252">+P149*$X$1</f>
        <v>450</v>
      </c>
      <c r="R149" s="386">
        <f>F149+90</f>
        <v>440</v>
      </c>
      <c r="S149" s="348">
        <f>+R149*$X$1</f>
        <v>440</v>
      </c>
      <c r="T149" s="386">
        <f>F149+80</f>
        <v>430</v>
      </c>
      <c r="U149" s="348">
        <f t="shared" ref="U149" si="253">+T149*$X$1</f>
        <v>430</v>
      </c>
      <c r="V149" s="386">
        <f>F149+74</f>
        <v>424</v>
      </c>
      <c r="W149" s="348">
        <f>+V149*$X$1</f>
        <v>424</v>
      </c>
      <c r="X149" s="162"/>
      <c r="Y149" s="162"/>
      <c r="Z149" s="162"/>
      <c r="AA149" s="162"/>
      <c r="AB149" s="209">
        <v>347</v>
      </c>
    </row>
    <row r="150" spans="1:34" ht="12.6" customHeight="1" x14ac:dyDescent="0.2">
      <c r="A150" s="22"/>
      <c r="B150" s="720" t="s">
        <v>759</v>
      </c>
      <c r="C150" s="721"/>
      <c r="D150" s="721"/>
      <c r="E150" s="721"/>
      <c r="F150" s="364"/>
      <c r="G150" s="588"/>
      <c r="H150" s="569"/>
      <c r="I150" s="569"/>
      <c r="J150" s="569"/>
      <c r="K150" s="569"/>
      <c r="L150" s="312"/>
      <c r="M150" s="312"/>
      <c r="N150" s="342"/>
      <c r="O150" s="569"/>
      <c r="P150" s="312"/>
      <c r="Q150" s="312"/>
      <c r="R150" s="569"/>
      <c r="S150" s="569"/>
      <c r="T150" s="569"/>
      <c r="U150" s="99"/>
      <c r="V150" s="569"/>
      <c r="W150" s="99"/>
      <c r="X150" s="162"/>
      <c r="Y150" s="162"/>
      <c r="Z150" s="162"/>
      <c r="AA150" s="162"/>
      <c r="AB150" s="209">
        <v>348</v>
      </c>
    </row>
    <row r="151" spans="1:34" ht="12.6" customHeight="1" x14ac:dyDescent="0.2">
      <c r="A151" s="22"/>
      <c r="B151" s="706" t="s">
        <v>190</v>
      </c>
      <c r="C151" s="729"/>
      <c r="D151" s="729"/>
      <c r="E151" s="729"/>
      <c r="F151" s="365"/>
      <c r="G151" s="587"/>
      <c r="H151" s="386"/>
      <c r="I151" s="386"/>
      <c r="J151" s="386"/>
      <c r="K151" s="386"/>
      <c r="L151" s="315"/>
      <c r="M151" s="315"/>
      <c r="N151" s="335"/>
      <c r="O151" s="386"/>
      <c r="P151" s="315"/>
      <c r="Q151" s="315"/>
      <c r="R151" s="386"/>
      <c r="S151" s="386"/>
      <c r="T151" s="386"/>
      <c r="U151" s="101"/>
      <c r="V151" s="386"/>
      <c r="W151" s="101"/>
      <c r="X151" s="162"/>
      <c r="Y151" s="162"/>
      <c r="Z151" s="162"/>
      <c r="AA151" s="162"/>
      <c r="AB151" s="209">
        <v>349</v>
      </c>
    </row>
    <row r="152" spans="1:34" ht="12.6" customHeight="1" x14ac:dyDescent="0.2">
      <c r="A152" s="22"/>
      <c r="B152" s="720" t="s">
        <v>191</v>
      </c>
      <c r="C152" s="721"/>
      <c r="D152" s="721"/>
      <c r="E152" s="721"/>
      <c r="F152" s="364"/>
      <c r="G152" s="588"/>
      <c r="H152" s="569"/>
      <c r="I152" s="569"/>
      <c r="J152" s="569"/>
      <c r="K152" s="569"/>
      <c r="L152" s="312"/>
      <c r="M152" s="312"/>
      <c r="N152" s="342"/>
      <c r="O152" s="569"/>
      <c r="P152" s="312"/>
      <c r="Q152" s="312"/>
      <c r="R152" s="569"/>
      <c r="S152" s="569"/>
      <c r="T152" s="569"/>
      <c r="U152" s="99"/>
      <c r="V152" s="569"/>
      <c r="W152" s="99"/>
      <c r="X152" s="162"/>
      <c r="Y152" s="162"/>
      <c r="Z152" s="162"/>
      <c r="AA152" s="162"/>
      <c r="AB152" s="209">
        <v>350</v>
      </c>
    </row>
    <row r="153" spans="1:34" ht="12.6" customHeight="1" x14ac:dyDescent="0.2">
      <c r="A153" s="22"/>
      <c r="B153" s="706" t="s">
        <v>192</v>
      </c>
      <c r="C153" s="729"/>
      <c r="D153" s="729"/>
      <c r="E153" s="729"/>
      <c r="F153" s="365"/>
      <c r="G153" s="587"/>
      <c r="H153" s="386"/>
      <c r="I153" s="386"/>
      <c r="J153" s="386"/>
      <c r="K153" s="386"/>
      <c r="L153" s="315"/>
      <c r="M153" s="315"/>
      <c r="N153" s="335"/>
      <c r="O153" s="386"/>
      <c r="P153" s="315"/>
      <c r="Q153" s="315"/>
      <c r="R153" s="386"/>
      <c r="S153" s="386"/>
      <c r="T153" s="386"/>
      <c r="U153" s="101"/>
      <c r="V153" s="386"/>
      <c r="W153" s="101"/>
      <c r="X153" s="162"/>
      <c r="Y153" s="162"/>
      <c r="Z153" s="162"/>
      <c r="AA153" s="162"/>
      <c r="AB153" s="209">
        <v>351</v>
      </c>
    </row>
    <row r="154" spans="1:34" ht="12.6" customHeight="1" x14ac:dyDescent="0.2">
      <c r="A154" s="22"/>
      <c r="B154" s="720" t="s">
        <v>193</v>
      </c>
      <c r="C154" s="721"/>
      <c r="D154" s="721"/>
      <c r="E154" s="721"/>
      <c r="F154" s="364"/>
      <c r="G154" s="588"/>
      <c r="H154" s="569"/>
      <c r="I154" s="569"/>
      <c r="J154" s="569"/>
      <c r="K154" s="569"/>
      <c r="L154" s="312"/>
      <c r="M154" s="312"/>
      <c r="N154" s="108"/>
      <c r="O154" s="569"/>
      <c r="P154" s="312"/>
      <c r="Q154" s="312"/>
      <c r="R154" s="569"/>
      <c r="S154" s="569"/>
      <c r="T154" s="108"/>
      <c r="U154" s="575"/>
      <c r="V154" s="108"/>
      <c r="W154" s="575"/>
      <c r="X154" s="162"/>
      <c r="Y154" s="162"/>
      <c r="Z154" s="162"/>
      <c r="AA154" s="162"/>
      <c r="AB154" s="209">
        <v>352</v>
      </c>
    </row>
    <row r="155" spans="1:34" ht="12.6" customHeight="1" x14ac:dyDescent="0.2">
      <c r="A155" s="22"/>
      <c r="B155" s="716" t="s">
        <v>437</v>
      </c>
      <c r="C155" s="717"/>
      <c r="D155" s="717"/>
      <c r="E155" s="718"/>
      <c r="F155" s="493">
        <f>0.88*X2</f>
        <v>799.04</v>
      </c>
      <c r="G155" s="306">
        <f t="shared" ref="G155" si="254">+F155*$X$1</f>
        <v>799.04</v>
      </c>
      <c r="H155" s="574"/>
      <c r="I155" s="348"/>
      <c r="J155" s="386"/>
      <c r="K155" s="348"/>
      <c r="L155" s="386">
        <f t="shared" ref="L155" si="255">F155+70</f>
        <v>869.04</v>
      </c>
      <c r="M155" s="348">
        <f t="shared" ref="M155" si="256">+L155*$X$1</f>
        <v>869.04</v>
      </c>
      <c r="N155" s="386">
        <f t="shared" ref="N155" si="257">F155+42</f>
        <v>841.04</v>
      </c>
      <c r="O155" s="348">
        <f t="shared" ref="O155" si="258">+N155*$X$1</f>
        <v>841.04</v>
      </c>
      <c r="P155" s="386">
        <f t="shared" ref="P155" si="259">F155+38</f>
        <v>837.04</v>
      </c>
      <c r="Q155" s="348">
        <f t="shared" ref="Q155" si="260">+P155*$X$1</f>
        <v>837.04</v>
      </c>
      <c r="R155" s="386">
        <f t="shared" ref="R155" si="261">F155+29</f>
        <v>828.04</v>
      </c>
      <c r="S155" s="348">
        <f t="shared" ref="S155" si="262">+R155*$X$1</f>
        <v>828.04</v>
      </c>
      <c r="T155" s="109">
        <f t="shared" ref="T155" si="263">F155+24</f>
        <v>823.04</v>
      </c>
      <c r="U155" s="306">
        <f t="shared" ref="U155" si="264">+T155*$X$1</f>
        <v>823.04</v>
      </c>
      <c r="V155" s="109">
        <f t="shared" ref="V155" si="265">F155+19</f>
        <v>818.04</v>
      </c>
      <c r="W155" s="306">
        <f t="shared" ref="W155" si="266">+V155*$X$1</f>
        <v>818.04</v>
      </c>
      <c r="X155" s="967"/>
      <c r="Y155" s="973"/>
      <c r="Z155" s="973"/>
      <c r="AA155" s="974"/>
      <c r="AB155" s="209">
        <v>370</v>
      </c>
    </row>
    <row r="156" spans="1:34" ht="12.75" customHeight="1" x14ac:dyDescent="0.2">
      <c r="A156" s="20"/>
      <c r="B156" s="3"/>
      <c r="C156" s="3"/>
      <c r="D156" s="3"/>
      <c r="E156" s="3"/>
      <c r="F156" s="139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5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768" t="s">
        <v>11</v>
      </c>
      <c r="C159" s="754" t="s">
        <v>12</v>
      </c>
      <c r="D159" s="755"/>
      <c r="E159" s="755"/>
      <c r="F159" s="780" t="s">
        <v>13</v>
      </c>
      <c r="G159" s="780" t="s">
        <v>13</v>
      </c>
      <c r="H159" s="1061" t="s">
        <v>14</v>
      </c>
      <c r="I159" s="1061"/>
      <c r="J159" s="874"/>
      <c r="K159" s="874"/>
      <c r="L159" s="874"/>
      <c r="M159" s="874"/>
      <c r="N159" s="874"/>
      <c r="O159" s="874"/>
      <c r="P159" s="874"/>
      <c r="Q159" s="874"/>
      <c r="R159" s="874"/>
      <c r="S159" s="874"/>
      <c r="T159" s="874"/>
      <c r="U159" s="874"/>
      <c r="V159" s="874"/>
      <c r="W159" s="875"/>
      <c r="X159" s="770" t="s">
        <v>15</v>
      </c>
      <c r="Y159" s="771"/>
      <c r="Z159" s="771"/>
      <c r="AA159" s="1023"/>
      <c r="AB159" s="839" t="s">
        <v>16</v>
      </c>
      <c r="AF159" s="828" t="s">
        <v>3</v>
      </c>
      <c r="AG159" s="829"/>
      <c r="AH159" s="829"/>
    </row>
    <row r="160" spans="1:34" ht="12.6" customHeight="1" thickBot="1" x14ac:dyDescent="0.25">
      <c r="A160" s="20"/>
      <c r="B160" s="769"/>
      <c r="C160" s="756"/>
      <c r="D160" s="756"/>
      <c r="E160" s="756"/>
      <c r="F160" s="781"/>
      <c r="G160" s="781"/>
      <c r="H160" s="299"/>
      <c r="I160" s="295" t="s">
        <v>312</v>
      </c>
      <c r="J160" s="299"/>
      <c r="K160" s="295" t="s">
        <v>18</v>
      </c>
      <c r="L160" s="300"/>
      <c r="M160" s="300" t="s">
        <v>19</v>
      </c>
      <c r="N160" s="300"/>
      <c r="O160" s="295" t="s">
        <v>20</v>
      </c>
      <c r="P160" s="300"/>
      <c r="Q160" s="300" t="s">
        <v>314</v>
      </c>
      <c r="R160" s="300"/>
      <c r="S160" s="300" t="s">
        <v>21</v>
      </c>
      <c r="T160" s="300"/>
      <c r="U160" s="300" t="s">
        <v>22</v>
      </c>
      <c r="V160" s="300"/>
      <c r="W160" s="302" t="s">
        <v>23</v>
      </c>
      <c r="X160" s="772"/>
      <c r="Y160" s="773"/>
      <c r="Z160" s="773"/>
      <c r="AA160" s="1024"/>
      <c r="AB160" s="840"/>
      <c r="AG160" s="35"/>
    </row>
    <row r="161" spans="1:28" ht="12.6" customHeight="1" x14ac:dyDescent="0.2">
      <c r="A161" s="22"/>
      <c r="B161" s="700" t="s">
        <v>655</v>
      </c>
      <c r="C161" s="701"/>
      <c r="D161" s="701"/>
      <c r="E161" s="702"/>
      <c r="F161" s="349">
        <v>1154</v>
      </c>
      <c r="G161" s="374">
        <f t="shared" ref="G161:G165" si="267">+F161*$X$1</f>
        <v>1154</v>
      </c>
      <c r="H161" s="607"/>
      <c r="I161" s="349"/>
      <c r="J161" s="607">
        <f>F161+115</f>
        <v>1269</v>
      </c>
      <c r="K161" s="349">
        <f t="shared" ref="K161" si="268">+J161*$X$1</f>
        <v>1269</v>
      </c>
      <c r="L161" s="607">
        <f t="shared" ref="L161" si="269">F161+70</f>
        <v>1224</v>
      </c>
      <c r="M161" s="349">
        <f t="shared" ref="M161" si="270">+L161*$X$1</f>
        <v>1224</v>
      </c>
      <c r="N161" s="607">
        <f t="shared" ref="N161" si="271">F161+42</f>
        <v>1196</v>
      </c>
      <c r="O161" s="349">
        <f t="shared" ref="O161:O167" si="272">+N161*$X$1</f>
        <v>1196</v>
      </c>
      <c r="P161" s="607">
        <f t="shared" ref="P161" si="273">F161+38</f>
        <v>1192</v>
      </c>
      <c r="Q161" s="349">
        <f t="shared" ref="Q161" si="274">+P161*$X$1</f>
        <v>1192</v>
      </c>
      <c r="R161" s="607"/>
      <c r="S161" s="349"/>
      <c r="T161" s="108"/>
      <c r="U161" s="374"/>
      <c r="V161" s="108"/>
      <c r="W161" s="374"/>
      <c r="X161" s="967"/>
      <c r="Y161" s="973"/>
      <c r="Z161" s="973"/>
      <c r="AA161" s="974"/>
      <c r="AB161" s="209">
        <v>373</v>
      </c>
    </row>
    <row r="162" spans="1:28" ht="12.6" customHeight="1" x14ac:dyDescent="0.2">
      <c r="A162" s="22"/>
      <c r="B162" s="716" t="s">
        <v>194</v>
      </c>
      <c r="C162" s="717"/>
      <c r="D162" s="717"/>
      <c r="E162" s="718"/>
      <c r="F162" s="487">
        <f>1.352*X2</f>
        <v>1227.616</v>
      </c>
      <c r="G162" s="306">
        <f t="shared" si="267"/>
        <v>1227.616</v>
      </c>
      <c r="H162" s="390"/>
      <c r="I162" s="424"/>
      <c r="J162" s="386">
        <f>F162+115</f>
        <v>1342.616</v>
      </c>
      <c r="K162" s="348">
        <f t="shared" ref="K162:K163" si="275">+J162*$X$1</f>
        <v>1342.616</v>
      </c>
      <c r="L162" s="386">
        <f t="shared" ref="L162" si="276">F162+70</f>
        <v>1297.616</v>
      </c>
      <c r="M162" s="348">
        <f t="shared" ref="M162:M163" si="277">+L162*$X$1</f>
        <v>1297.616</v>
      </c>
      <c r="N162" s="386">
        <f t="shared" ref="N162" si="278">F162+42</f>
        <v>1269.616</v>
      </c>
      <c r="O162" s="348">
        <f t="shared" si="272"/>
        <v>1269.616</v>
      </c>
      <c r="P162" s="386">
        <f t="shared" ref="P162" si="279">F162+38</f>
        <v>1265.616</v>
      </c>
      <c r="Q162" s="348">
        <f t="shared" ref="Q162:Q163" si="280">+P162*$X$1</f>
        <v>1265.616</v>
      </c>
      <c r="R162" s="386">
        <f t="shared" ref="R162" si="281">F162+29</f>
        <v>1256.616</v>
      </c>
      <c r="S162" s="348">
        <f t="shared" ref="S162:S167" si="282">+R162*$X$1</f>
        <v>1256.616</v>
      </c>
      <c r="T162" s="109">
        <f t="shared" ref="T162" si="283">F162+24</f>
        <v>1251.616</v>
      </c>
      <c r="U162" s="306">
        <f t="shared" ref="U162:U167" si="284">+T162*$X$1</f>
        <v>1251.616</v>
      </c>
      <c r="V162" s="109">
        <f t="shared" ref="V162" si="285">F162+19</f>
        <v>1246.616</v>
      </c>
      <c r="W162" s="306">
        <f t="shared" ref="W162:W166" si="286">+V162*$X$1</f>
        <v>1246.616</v>
      </c>
      <c r="X162" s="967"/>
      <c r="Y162" s="973"/>
      <c r="Z162" s="973"/>
      <c r="AA162" s="974"/>
      <c r="AB162" s="209">
        <v>375</v>
      </c>
    </row>
    <row r="163" spans="1:28" ht="12.6" customHeight="1" x14ac:dyDescent="0.2">
      <c r="A163" s="22"/>
      <c r="B163" s="700" t="s">
        <v>195</v>
      </c>
      <c r="C163" s="701"/>
      <c r="D163" s="701"/>
      <c r="E163" s="702"/>
      <c r="F163" s="488">
        <f>4.65*X2</f>
        <v>4222.2000000000007</v>
      </c>
      <c r="G163" s="374">
        <f t="shared" si="267"/>
        <v>4222.2000000000007</v>
      </c>
      <c r="H163" s="607">
        <f>F163+250</f>
        <v>4472.2000000000007</v>
      </c>
      <c r="I163" s="349">
        <f t="shared" ref="I163" si="287">+H163*$X$1</f>
        <v>4472.2000000000007</v>
      </c>
      <c r="J163" s="607">
        <f>F163+80</f>
        <v>4302.2000000000007</v>
      </c>
      <c r="K163" s="349">
        <f t="shared" si="275"/>
        <v>4302.2000000000007</v>
      </c>
      <c r="L163" s="607">
        <f>F163+60</f>
        <v>4282.2000000000007</v>
      </c>
      <c r="M163" s="349">
        <f t="shared" si="277"/>
        <v>4282.2000000000007</v>
      </c>
      <c r="N163" s="607">
        <f>F163+40</f>
        <v>4262.2000000000007</v>
      </c>
      <c r="O163" s="349">
        <f t="shared" si="272"/>
        <v>4262.2000000000007</v>
      </c>
      <c r="P163" s="607">
        <f>F163+37</f>
        <v>4259.2000000000007</v>
      </c>
      <c r="Q163" s="349">
        <f t="shared" si="280"/>
        <v>4259.2000000000007</v>
      </c>
      <c r="R163" s="607">
        <f>F163+33</f>
        <v>4255.2000000000007</v>
      </c>
      <c r="S163" s="349">
        <f t="shared" si="282"/>
        <v>4255.2000000000007</v>
      </c>
      <c r="T163" s="607">
        <f>F163+29</f>
        <v>4251.2000000000007</v>
      </c>
      <c r="U163" s="349">
        <f t="shared" si="284"/>
        <v>4251.2000000000007</v>
      </c>
      <c r="V163" s="607">
        <f>F163+25</f>
        <v>4247.2000000000007</v>
      </c>
      <c r="W163" s="349">
        <f t="shared" si="286"/>
        <v>4247.2000000000007</v>
      </c>
      <c r="X163" s="877"/>
      <c r="Y163" s="942"/>
      <c r="Z163" s="942"/>
      <c r="AA163" s="817"/>
      <c r="AB163" s="209">
        <v>376</v>
      </c>
    </row>
    <row r="164" spans="1:28" ht="12.6" customHeight="1" x14ac:dyDescent="0.2">
      <c r="A164" s="22"/>
      <c r="B164" s="716" t="s">
        <v>196</v>
      </c>
      <c r="C164" s="717"/>
      <c r="D164" s="717"/>
      <c r="E164" s="718"/>
      <c r="F164" s="487">
        <f>3.54*X2</f>
        <v>3214.32</v>
      </c>
      <c r="G164" s="306">
        <f t="shared" si="267"/>
        <v>3214.32</v>
      </c>
      <c r="H164" s="390"/>
      <c r="I164" s="424"/>
      <c r="J164" s="386">
        <f>F164+120</f>
        <v>3334.32</v>
      </c>
      <c r="K164" s="348">
        <f t="shared" ref="K164:K167" si="288">+J164*$X$1</f>
        <v>3334.32</v>
      </c>
      <c r="L164" s="386">
        <f>F164+75</f>
        <v>3289.32</v>
      </c>
      <c r="M164" s="348">
        <f t="shared" ref="M164:M167" si="289">+L164*$X$1</f>
        <v>3289.32</v>
      </c>
      <c r="N164" s="386">
        <f>F164+44</f>
        <v>3258.32</v>
      </c>
      <c r="O164" s="348">
        <f t="shared" si="272"/>
        <v>3258.32</v>
      </c>
      <c r="P164" s="386">
        <f>F164+40</f>
        <v>3254.32</v>
      </c>
      <c r="Q164" s="348">
        <f t="shared" ref="Q164" si="290">+P164*$X$1</f>
        <v>3254.32</v>
      </c>
      <c r="R164" s="386">
        <f>F164+30</f>
        <v>3244.32</v>
      </c>
      <c r="S164" s="348">
        <f t="shared" si="282"/>
        <v>3244.32</v>
      </c>
      <c r="T164" s="109"/>
      <c r="U164" s="306"/>
      <c r="V164" s="109"/>
      <c r="W164" s="306"/>
      <c r="X164" s="967"/>
      <c r="Y164" s="973"/>
      <c r="Z164" s="973"/>
      <c r="AA164" s="974"/>
      <c r="AB164" s="209">
        <v>379</v>
      </c>
    </row>
    <row r="165" spans="1:28" ht="12.6" customHeight="1" x14ac:dyDescent="0.2">
      <c r="A165" s="112"/>
      <c r="B165" s="700" t="s">
        <v>462</v>
      </c>
      <c r="C165" s="701"/>
      <c r="D165" s="701"/>
      <c r="E165" s="702"/>
      <c r="F165" s="488">
        <f>1.843*X2</f>
        <v>1673.444</v>
      </c>
      <c r="G165" s="374">
        <f t="shared" si="267"/>
        <v>1673.444</v>
      </c>
      <c r="H165" s="347"/>
      <c r="I165" s="425"/>
      <c r="J165" s="607">
        <f>F165+120</f>
        <v>1793.444</v>
      </c>
      <c r="K165" s="349">
        <f t="shared" si="288"/>
        <v>1793.444</v>
      </c>
      <c r="L165" s="607">
        <f>F165+75</f>
        <v>1748.444</v>
      </c>
      <c r="M165" s="349">
        <f t="shared" si="289"/>
        <v>1748.444</v>
      </c>
      <c r="N165" s="607"/>
      <c r="O165" s="349"/>
      <c r="P165" s="607"/>
      <c r="Q165" s="349"/>
      <c r="R165" s="607"/>
      <c r="S165" s="349"/>
      <c r="T165" s="108"/>
      <c r="U165" s="374"/>
      <c r="V165" s="108"/>
      <c r="W165" s="374"/>
      <c r="X165" s="967"/>
      <c r="Y165" s="973"/>
      <c r="Z165" s="973"/>
      <c r="AA165" s="974"/>
      <c r="AB165" s="209">
        <v>382</v>
      </c>
    </row>
    <row r="166" spans="1:28" ht="12.6" customHeight="1" x14ac:dyDescent="0.2">
      <c r="A166" s="22"/>
      <c r="B166" s="716" t="s">
        <v>680</v>
      </c>
      <c r="C166" s="717"/>
      <c r="D166" s="717"/>
      <c r="E166" s="718"/>
      <c r="F166" s="487">
        <f>17.8*X2</f>
        <v>16162.400000000001</v>
      </c>
      <c r="G166" s="306">
        <f t="shared" ref="G166:G167" si="291">+F166*$X$1</f>
        <v>16162.400000000001</v>
      </c>
      <c r="H166" s="386">
        <f>F166+290</f>
        <v>16452.400000000001</v>
      </c>
      <c r="I166" s="348">
        <f>+H166*$X$1</f>
        <v>16452.400000000001</v>
      </c>
      <c r="J166" s="386">
        <f>F166+120</f>
        <v>16282.400000000001</v>
      </c>
      <c r="K166" s="348">
        <f t="shared" si="288"/>
        <v>16282.400000000001</v>
      </c>
      <c r="L166" s="386">
        <f>F166+74</f>
        <v>16236.400000000001</v>
      </c>
      <c r="M166" s="348">
        <f t="shared" si="289"/>
        <v>16236.400000000001</v>
      </c>
      <c r="N166" s="386">
        <f>F166+46</f>
        <v>16208.400000000001</v>
      </c>
      <c r="O166" s="348">
        <f t="shared" si="272"/>
        <v>16208.400000000001</v>
      </c>
      <c r="P166" s="386">
        <f>F166+42</f>
        <v>16204.400000000001</v>
      </c>
      <c r="Q166" s="348">
        <f t="shared" ref="Q166:Q167" si="292">+P166*$X$1</f>
        <v>16204.400000000001</v>
      </c>
      <c r="R166" s="386">
        <f>F166+35</f>
        <v>16197.400000000001</v>
      </c>
      <c r="S166" s="348">
        <f t="shared" si="282"/>
        <v>16197.400000000001</v>
      </c>
      <c r="T166" s="109">
        <f>F166+29</f>
        <v>16191.400000000001</v>
      </c>
      <c r="U166" s="306">
        <f t="shared" si="284"/>
        <v>16191.400000000001</v>
      </c>
      <c r="V166" s="109">
        <f>F166+24</f>
        <v>16186.400000000001</v>
      </c>
      <c r="W166" s="306">
        <f t="shared" si="286"/>
        <v>16186.400000000001</v>
      </c>
      <c r="X166" s="967"/>
      <c r="Y166" s="973"/>
      <c r="Z166" s="973"/>
      <c r="AA166" s="974"/>
      <c r="AB166" s="209">
        <v>395</v>
      </c>
    </row>
    <row r="167" spans="1:28" ht="12.6" customHeight="1" x14ac:dyDescent="0.2">
      <c r="A167" s="22"/>
      <c r="B167" s="700" t="s">
        <v>681</v>
      </c>
      <c r="C167" s="701"/>
      <c r="D167" s="701"/>
      <c r="E167" s="702"/>
      <c r="F167" s="488">
        <f>32.42*X2</f>
        <v>29437.360000000001</v>
      </c>
      <c r="G167" s="374">
        <f t="shared" si="291"/>
        <v>29437.360000000001</v>
      </c>
      <c r="H167" s="607">
        <f>F167+260</f>
        <v>29697.360000000001</v>
      </c>
      <c r="I167" s="349">
        <f t="shared" ref="I167" si="293">+H167*$X$1</f>
        <v>29697.360000000001</v>
      </c>
      <c r="J167" s="94">
        <f>F167+95</f>
        <v>29532.36</v>
      </c>
      <c r="K167" s="349">
        <f t="shared" si="288"/>
        <v>29532.36</v>
      </c>
      <c r="L167" s="607">
        <f>F167+70</f>
        <v>29507.360000000001</v>
      </c>
      <c r="M167" s="349">
        <f t="shared" si="289"/>
        <v>29507.360000000001</v>
      </c>
      <c r="N167" s="607">
        <f>F167+59</f>
        <v>29496.36</v>
      </c>
      <c r="O167" s="349">
        <f t="shared" si="272"/>
        <v>29496.36</v>
      </c>
      <c r="P167" s="607">
        <f>F167+55</f>
        <v>29492.36</v>
      </c>
      <c r="Q167" s="349">
        <f t="shared" si="292"/>
        <v>29492.36</v>
      </c>
      <c r="R167" s="607">
        <f>F167+51</f>
        <v>29488.36</v>
      </c>
      <c r="S167" s="349">
        <f t="shared" si="282"/>
        <v>29488.36</v>
      </c>
      <c r="T167" s="607">
        <f>F167+46</f>
        <v>29483.360000000001</v>
      </c>
      <c r="U167" s="349">
        <f t="shared" si="284"/>
        <v>29483.360000000001</v>
      </c>
      <c r="V167" s="607"/>
      <c r="W167" s="349"/>
      <c r="X167" s="967"/>
      <c r="Y167" s="973"/>
      <c r="Z167" s="973"/>
      <c r="AA167" s="974"/>
      <c r="AB167" s="209">
        <v>397</v>
      </c>
    </row>
    <row r="168" spans="1:28" ht="12.6" customHeight="1" x14ac:dyDescent="0.2">
      <c r="A168" s="22"/>
      <c r="B168" s="716" t="s">
        <v>682</v>
      </c>
      <c r="C168" s="717"/>
      <c r="D168" s="717"/>
      <c r="E168" s="718"/>
      <c r="F168" s="487">
        <f>22.04*X2</f>
        <v>20012.32</v>
      </c>
      <c r="G168" s="306">
        <f t="shared" ref="G168" si="294">+F168*$X$1</f>
        <v>20012.32</v>
      </c>
      <c r="H168" s="75">
        <f>F168+280</f>
        <v>20292.32</v>
      </c>
      <c r="I168" s="348">
        <f t="shared" ref="I168" si="295">+H168*$X$1</f>
        <v>20292.32</v>
      </c>
      <c r="J168" s="386">
        <f>F168+110</f>
        <v>20122.32</v>
      </c>
      <c r="K168" s="348">
        <f t="shared" ref="K168" si="296">+J168*$X$1</f>
        <v>20122.32</v>
      </c>
      <c r="L168" s="386">
        <f>F168+80</f>
        <v>20092.32</v>
      </c>
      <c r="M168" s="348">
        <f t="shared" ref="M168" si="297">+L168*$X$1</f>
        <v>20092.32</v>
      </c>
      <c r="N168" s="386">
        <f>F168+67</f>
        <v>20079.32</v>
      </c>
      <c r="O168" s="348">
        <f t="shared" ref="O168" si="298">+N168*$X$1</f>
        <v>20079.32</v>
      </c>
      <c r="P168" s="386">
        <f>F168+62</f>
        <v>20074.32</v>
      </c>
      <c r="Q168" s="348">
        <f t="shared" ref="Q168" si="299">+P168*$X$1</f>
        <v>20074.32</v>
      </c>
      <c r="R168" s="386">
        <f>F168+58</f>
        <v>20070.32</v>
      </c>
      <c r="S168" s="348">
        <f t="shared" ref="S168" si="300">+R168*$X$1</f>
        <v>20070.32</v>
      </c>
      <c r="T168" s="386">
        <f>F168+53</f>
        <v>20065.32</v>
      </c>
      <c r="U168" s="348">
        <f t="shared" ref="U168" si="301">+T168*$X$1</f>
        <v>20065.32</v>
      </c>
      <c r="V168" s="386"/>
      <c r="W168" s="348"/>
      <c r="X168" s="967"/>
      <c r="Y168" s="973"/>
      <c r="Z168" s="973"/>
      <c r="AA168" s="974"/>
      <c r="AB168" s="209">
        <v>398</v>
      </c>
    </row>
    <row r="169" spans="1:28" ht="12.6" customHeight="1" x14ac:dyDescent="0.2">
      <c r="A169" s="22"/>
      <c r="B169" s="722" t="s">
        <v>390</v>
      </c>
      <c r="C169" s="723"/>
      <c r="D169" s="723"/>
      <c r="E169" s="723"/>
      <c r="F169" s="488"/>
      <c r="G169" s="374"/>
      <c r="H169" s="607"/>
      <c r="I169" s="349"/>
      <c r="J169" s="607"/>
      <c r="K169" s="349"/>
      <c r="L169" s="607"/>
      <c r="M169" s="349"/>
      <c r="N169" s="607"/>
      <c r="O169" s="349"/>
      <c r="P169" s="607"/>
      <c r="Q169" s="349"/>
      <c r="R169" s="607"/>
      <c r="S169" s="349"/>
      <c r="T169" s="607"/>
      <c r="U169" s="349"/>
      <c r="V169" s="94"/>
      <c r="W169" s="94"/>
      <c r="X169" s="816"/>
      <c r="Y169" s="942"/>
      <c r="Z169" s="942"/>
      <c r="AA169" s="817"/>
      <c r="AB169" s="209" t="s">
        <v>197</v>
      </c>
    </row>
    <row r="170" spans="1:28" ht="12.6" customHeight="1" x14ac:dyDescent="0.2">
      <c r="A170" s="22"/>
      <c r="B170" s="712" t="s">
        <v>727</v>
      </c>
      <c r="C170" s="713"/>
      <c r="D170" s="713"/>
      <c r="E170" s="713"/>
      <c r="F170" s="487">
        <f>13.317*X2</f>
        <v>12091.835999999999</v>
      </c>
      <c r="G170" s="306">
        <f t="shared" ref="G170" si="302">+F170*$X$1</f>
        <v>12091.835999999999</v>
      </c>
      <c r="H170" s="386">
        <f>F170+250</f>
        <v>12341.835999999999</v>
      </c>
      <c r="I170" s="348">
        <f t="shared" ref="I170" si="303">+H170*$X$1</f>
        <v>12341.835999999999</v>
      </c>
      <c r="J170" s="386">
        <f>F170+80</f>
        <v>12171.835999999999</v>
      </c>
      <c r="K170" s="348">
        <f t="shared" ref="K170" si="304">+J170*$X$1</f>
        <v>12171.835999999999</v>
      </c>
      <c r="L170" s="386">
        <f>F170+60</f>
        <v>12151.835999999999</v>
      </c>
      <c r="M170" s="348">
        <f t="shared" ref="M170" si="305">+L170*$X$1</f>
        <v>12151.835999999999</v>
      </c>
      <c r="N170" s="386">
        <f>F170+40</f>
        <v>12131.835999999999</v>
      </c>
      <c r="O170" s="348">
        <f t="shared" ref="O170" si="306">+N170*$X$1</f>
        <v>12131.835999999999</v>
      </c>
      <c r="P170" s="386">
        <f>F170+37</f>
        <v>12128.835999999999</v>
      </c>
      <c r="Q170" s="348">
        <f t="shared" ref="Q170" si="307">+P170*$X$1</f>
        <v>12128.835999999999</v>
      </c>
      <c r="R170" s="386">
        <f>F170+33</f>
        <v>12124.835999999999</v>
      </c>
      <c r="S170" s="348">
        <f t="shared" ref="S170" si="308">+R170*$X$1</f>
        <v>12124.835999999999</v>
      </c>
      <c r="T170" s="386">
        <f>F170+29</f>
        <v>12120.835999999999</v>
      </c>
      <c r="U170" s="348">
        <f t="shared" ref="U170" si="309">+T170*$X$1</f>
        <v>12120.835999999999</v>
      </c>
      <c r="V170" s="386"/>
      <c r="W170" s="348"/>
      <c r="X170" s="816"/>
      <c r="Y170" s="942"/>
      <c r="Z170" s="942"/>
      <c r="AA170" s="817"/>
      <c r="AB170" s="209" t="s">
        <v>728</v>
      </c>
    </row>
    <row r="171" spans="1:28" ht="12.6" customHeight="1" x14ac:dyDescent="0.2">
      <c r="A171" s="22"/>
      <c r="B171" s="714" t="s">
        <v>736</v>
      </c>
      <c r="C171" s="715"/>
      <c r="D171" s="715"/>
      <c r="E171" s="715"/>
      <c r="F171" s="488">
        <f>17.78*X2</f>
        <v>16144.240000000002</v>
      </c>
      <c r="G171" s="374">
        <f t="shared" ref="G171" si="310">+F171*$X$1</f>
        <v>16144.240000000002</v>
      </c>
      <c r="H171" s="607">
        <f>F171+250</f>
        <v>16394.240000000002</v>
      </c>
      <c r="I171" s="349">
        <f t="shared" ref="I171" si="311">+H171*$X$1</f>
        <v>16394.240000000002</v>
      </c>
      <c r="J171" s="607">
        <f>F171+80</f>
        <v>16224.240000000002</v>
      </c>
      <c r="K171" s="349">
        <f t="shared" ref="K171" si="312">+J171*$X$1</f>
        <v>16224.240000000002</v>
      </c>
      <c r="L171" s="607">
        <f>F171+60</f>
        <v>16204.240000000002</v>
      </c>
      <c r="M171" s="349">
        <f t="shared" ref="M171" si="313">+L171*$X$1</f>
        <v>16204.240000000002</v>
      </c>
      <c r="N171" s="607">
        <f>F171+40</f>
        <v>16184.240000000002</v>
      </c>
      <c r="O171" s="349">
        <f t="shared" ref="O171" si="314">+N171*$X$1</f>
        <v>16184.240000000002</v>
      </c>
      <c r="P171" s="607">
        <f>F171+37</f>
        <v>16181.240000000002</v>
      </c>
      <c r="Q171" s="349">
        <f t="shared" ref="Q171" si="315">+P171*$X$1</f>
        <v>16181.240000000002</v>
      </c>
      <c r="R171" s="607">
        <f>F171+33</f>
        <v>16177.240000000002</v>
      </c>
      <c r="S171" s="349">
        <f t="shared" ref="S171" si="316">+R171*$X$1</f>
        <v>16177.240000000002</v>
      </c>
      <c r="T171" s="607">
        <f>F171+29</f>
        <v>16173.240000000002</v>
      </c>
      <c r="U171" s="349">
        <f t="shared" ref="U171" si="317">+T171*$X$1</f>
        <v>16173.240000000002</v>
      </c>
      <c r="V171" s="94"/>
      <c r="W171" s="94"/>
      <c r="X171" s="195"/>
      <c r="Y171" s="197"/>
      <c r="Z171" s="197"/>
      <c r="AA171" s="195"/>
      <c r="AB171" s="209" t="s">
        <v>735</v>
      </c>
    </row>
    <row r="172" spans="1:28" ht="12.6" customHeight="1" x14ac:dyDescent="0.2">
      <c r="A172" s="22"/>
      <c r="B172" s="712" t="s">
        <v>730</v>
      </c>
      <c r="C172" s="713"/>
      <c r="D172" s="713"/>
      <c r="E172" s="713"/>
      <c r="F172" s="487">
        <f>12.84*X2</f>
        <v>11658.72</v>
      </c>
      <c r="G172" s="306">
        <f t="shared" ref="G172" si="318">+F172*$X$1</f>
        <v>11658.72</v>
      </c>
      <c r="H172" s="386">
        <f>F172+290</f>
        <v>11948.72</v>
      </c>
      <c r="I172" s="348">
        <f>+H172*$X$1</f>
        <v>11948.72</v>
      </c>
      <c r="J172" s="386">
        <f>F172+120</f>
        <v>11778.72</v>
      </c>
      <c r="K172" s="348">
        <f t="shared" ref="K172:K175" si="319">+J172*$X$1</f>
        <v>11778.72</v>
      </c>
      <c r="L172" s="386">
        <f>F172+80</f>
        <v>11738.72</v>
      </c>
      <c r="M172" s="348">
        <f t="shared" ref="M172:M175" si="320">+L172*$X$1</f>
        <v>11738.72</v>
      </c>
      <c r="N172" s="386">
        <f>F172+60</f>
        <v>11718.72</v>
      </c>
      <c r="O172" s="348">
        <f t="shared" ref="O172:O175" si="321">+N172*$X$1</f>
        <v>11718.72</v>
      </c>
      <c r="P172" s="386">
        <f>F172+43</f>
        <v>11701.72</v>
      </c>
      <c r="Q172" s="348">
        <f t="shared" ref="Q172:Q175" si="322">+P172*$X$1</f>
        <v>11701.72</v>
      </c>
      <c r="R172" s="386">
        <f>F172+37</f>
        <v>11695.72</v>
      </c>
      <c r="S172" s="348">
        <f t="shared" ref="S172:S175" si="323">+R172*$X$1</f>
        <v>11695.72</v>
      </c>
      <c r="T172" s="109">
        <f>F172+30</f>
        <v>11688.72</v>
      </c>
      <c r="U172" s="306">
        <f t="shared" ref="U172:U175" si="324">+T172*$X$1</f>
        <v>11688.72</v>
      </c>
      <c r="V172" s="75"/>
      <c r="W172" s="75"/>
      <c r="X172" s="967"/>
      <c r="Y172" s="973"/>
      <c r="Z172" s="973"/>
      <c r="AA172" s="974"/>
      <c r="AB172" s="209" t="s">
        <v>729</v>
      </c>
    </row>
    <row r="173" spans="1:28" ht="12.6" customHeight="1" x14ac:dyDescent="0.2">
      <c r="A173" s="22"/>
      <c r="B173" s="722" t="s">
        <v>403</v>
      </c>
      <c r="C173" s="723"/>
      <c r="D173" s="723"/>
      <c r="E173" s="723"/>
      <c r="F173" s="488">
        <f>15.93*X2</f>
        <v>14464.44</v>
      </c>
      <c r="G173" s="374">
        <f t="shared" ref="G173:G174" si="325">+F173*$X$1</f>
        <v>14464.44</v>
      </c>
      <c r="H173" s="607"/>
      <c r="I173" s="349"/>
      <c r="J173" s="607">
        <f>F173+115</f>
        <v>14579.44</v>
      </c>
      <c r="K173" s="349">
        <f t="shared" si="319"/>
        <v>14579.44</v>
      </c>
      <c r="L173" s="607">
        <f t="shared" ref="L173" si="326">F173+70</f>
        <v>14534.44</v>
      </c>
      <c r="M173" s="349">
        <f t="shared" si="320"/>
        <v>14534.44</v>
      </c>
      <c r="N173" s="607">
        <f t="shared" ref="N173" si="327">F173+42</f>
        <v>14506.44</v>
      </c>
      <c r="O173" s="349">
        <f t="shared" si="321"/>
        <v>14506.44</v>
      </c>
      <c r="P173" s="607">
        <f t="shared" ref="P173" si="328">F173+38</f>
        <v>14502.44</v>
      </c>
      <c r="Q173" s="349">
        <f t="shared" si="322"/>
        <v>14502.44</v>
      </c>
      <c r="R173" s="607">
        <f t="shared" ref="R173" si="329">F173+29</f>
        <v>14493.44</v>
      </c>
      <c r="S173" s="349">
        <f t="shared" si="323"/>
        <v>14493.44</v>
      </c>
      <c r="T173" s="108">
        <f t="shared" ref="T173" si="330">F173+24</f>
        <v>14488.44</v>
      </c>
      <c r="U173" s="374">
        <f t="shared" si="324"/>
        <v>14488.44</v>
      </c>
      <c r="V173" s="94"/>
      <c r="W173" s="94"/>
      <c r="X173" s="967"/>
      <c r="Y173" s="973"/>
      <c r="Z173" s="973"/>
      <c r="AA173" s="974"/>
      <c r="AB173" s="209">
        <v>405</v>
      </c>
    </row>
    <row r="174" spans="1:28" ht="12.6" customHeight="1" x14ac:dyDescent="0.2">
      <c r="A174" s="22"/>
      <c r="B174" s="712" t="s">
        <v>734</v>
      </c>
      <c r="C174" s="713"/>
      <c r="D174" s="713"/>
      <c r="E174" s="713"/>
      <c r="F174" s="487">
        <f>15.6*X2</f>
        <v>14164.8</v>
      </c>
      <c r="G174" s="306">
        <f t="shared" si="325"/>
        <v>14164.8</v>
      </c>
      <c r="H174" s="386">
        <f>F174+250</f>
        <v>14414.8</v>
      </c>
      <c r="I174" s="348">
        <f t="shared" ref="I174:I175" si="331">+H174*$X$1</f>
        <v>14414.8</v>
      </c>
      <c r="J174" s="386">
        <f>F174+80</f>
        <v>14244.8</v>
      </c>
      <c r="K174" s="348">
        <f t="shared" si="319"/>
        <v>14244.8</v>
      </c>
      <c r="L174" s="386">
        <f>F174+60</f>
        <v>14224.8</v>
      </c>
      <c r="M174" s="348">
        <f t="shared" si="320"/>
        <v>14224.8</v>
      </c>
      <c r="N174" s="386">
        <f>F174+40</f>
        <v>14204.8</v>
      </c>
      <c r="O174" s="348">
        <f t="shared" si="321"/>
        <v>14204.8</v>
      </c>
      <c r="P174" s="386">
        <f>F174+37</f>
        <v>14201.8</v>
      </c>
      <c r="Q174" s="348">
        <f t="shared" si="322"/>
        <v>14201.8</v>
      </c>
      <c r="R174" s="386">
        <f>F174+33</f>
        <v>14197.8</v>
      </c>
      <c r="S174" s="348">
        <f t="shared" si="323"/>
        <v>14197.8</v>
      </c>
      <c r="T174" s="386">
        <f>F174+29</f>
        <v>14193.8</v>
      </c>
      <c r="U174" s="348">
        <f t="shared" si="324"/>
        <v>14193.8</v>
      </c>
      <c r="V174" s="75"/>
      <c r="W174" s="75"/>
      <c r="X174" s="816"/>
      <c r="Y174" s="942"/>
      <c r="Z174" s="942"/>
      <c r="AA174" s="817"/>
      <c r="AB174" s="209" t="s">
        <v>733</v>
      </c>
    </row>
    <row r="175" spans="1:28" ht="12.6" customHeight="1" x14ac:dyDescent="0.2">
      <c r="A175" s="22"/>
      <c r="B175" s="937" t="s">
        <v>732</v>
      </c>
      <c r="C175" s="938"/>
      <c r="D175" s="938"/>
      <c r="E175" s="938"/>
      <c r="F175" s="488">
        <f>16.54*X2</f>
        <v>15018.32</v>
      </c>
      <c r="G175" s="374">
        <f t="shared" ref="G175" si="332">+F175*$X$1</f>
        <v>15018.32</v>
      </c>
      <c r="H175" s="607">
        <f>F175+260</f>
        <v>15278.32</v>
      </c>
      <c r="I175" s="349">
        <f t="shared" si="331"/>
        <v>15278.32</v>
      </c>
      <c r="J175" s="94">
        <f>F175+95</f>
        <v>15113.32</v>
      </c>
      <c r="K175" s="349">
        <f t="shared" si="319"/>
        <v>15113.32</v>
      </c>
      <c r="L175" s="607">
        <f>F175+70</f>
        <v>15088.32</v>
      </c>
      <c r="M175" s="349">
        <f t="shared" si="320"/>
        <v>15088.32</v>
      </c>
      <c r="N175" s="607">
        <f>F175+59</f>
        <v>15077.32</v>
      </c>
      <c r="O175" s="349">
        <f t="shared" si="321"/>
        <v>15077.32</v>
      </c>
      <c r="P175" s="607">
        <f>F175+55</f>
        <v>15073.32</v>
      </c>
      <c r="Q175" s="349">
        <f t="shared" si="322"/>
        <v>15073.32</v>
      </c>
      <c r="R175" s="607">
        <f>F175+51</f>
        <v>15069.32</v>
      </c>
      <c r="S175" s="349">
        <f t="shared" si="323"/>
        <v>15069.32</v>
      </c>
      <c r="T175" s="607">
        <f>F175+46</f>
        <v>15064.32</v>
      </c>
      <c r="U175" s="349">
        <f t="shared" si="324"/>
        <v>15064.32</v>
      </c>
      <c r="V175" s="94"/>
      <c r="W175" s="94"/>
      <c r="X175" s="967"/>
      <c r="Y175" s="973"/>
      <c r="Z175" s="973"/>
      <c r="AA175" s="974"/>
      <c r="AB175" s="209" t="s">
        <v>731</v>
      </c>
    </row>
    <row r="176" spans="1:28" ht="12.6" customHeight="1" x14ac:dyDescent="0.2">
      <c r="A176" s="27"/>
      <c r="B176" s="814" t="s">
        <v>761</v>
      </c>
      <c r="C176" s="792"/>
      <c r="D176" s="792"/>
      <c r="E176" s="792"/>
      <c r="F176" s="375">
        <v>80</v>
      </c>
      <c r="G176" s="306">
        <f t="shared" ref="G176:G179" si="333">+F176*$X$1</f>
        <v>80</v>
      </c>
      <c r="H176" s="465"/>
      <c r="I176" s="1014" t="s">
        <v>693</v>
      </c>
      <c r="J176" s="1015"/>
      <c r="K176" s="1015"/>
      <c r="L176" s="1015"/>
      <c r="M176" s="1016"/>
      <c r="N176" s="386">
        <f>F176+90</f>
        <v>170</v>
      </c>
      <c r="O176" s="348">
        <f t="shared" ref="O176" si="334">+N176*$X$1</f>
        <v>170</v>
      </c>
      <c r="P176" s="386">
        <f>F176+80</f>
        <v>160</v>
      </c>
      <c r="Q176" s="348">
        <f t="shared" ref="Q176" si="335">+P176*$X$1</f>
        <v>160</v>
      </c>
      <c r="R176" s="386">
        <f>F176+65</f>
        <v>145</v>
      </c>
      <c r="S176" s="348">
        <f t="shared" ref="S176" si="336">+R176*$X$1</f>
        <v>145</v>
      </c>
      <c r="T176" s="386">
        <f>F176+55</f>
        <v>135</v>
      </c>
      <c r="U176" s="348">
        <f t="shared" ref="U176" si="337">+T176*$X$1</f>
        <v>135</v>
      </c>
      <c r="V176" s="386">
        <f>F176+51</f>
        <v>131</v>
      </c>
      <c r="W176" s="348">
        <f t="shared" ref="W176" si="338">+V176*$X$1</f>
        <v>131</v>
      </c>
      <c r="X176" s="172"/>
      <c r="Y176" s="162"/>
      <c r="Z176" s="162"/>
      <c r="AA176" s="162"/>
      <c r="AB176" s="209">
        <v>415</v>
      </c>
    </row>
    <row r="177" spans="1:28" ht="12.6" customHeight="1" x14ac:dyDescent="0.2">
      <c r="A177" s="27"/>
      <c r="B177" s="720" t="s">
        <v>633</v>
      </c>
      <c r="C177" s="721"/>
      <c r="D177" s="721"/>
      <c r="E177" s="721"/>
      <c r="F177" s="391">
        <v>90</v>
      </c>
      <c r="G177" s="374">
        <f t="shared" si="333"/>
        <v>90</v>
      </c>
      <c r="H177" s="466"/>
      <c r="I177" s="1017"/>
      <c r="J177" s="1017"/>
      <c r="K177" s="1017"/>
      <c r="L177" s="1017"/>
      <c r="M177" s="1018"/>
      <c r="N177" s="483">
        <f>F177+90</f>
        <v>180</v>
      </c>
      <c r="O177" s="349">
        <f t="shared" ref="O177:O179" si="339">+N177*$X$1</f>
        <v>180</v>
      </c>
      <c r="P177" s="483">
        <f>F177+80</f>
        <v>170</v>
      </c>
      <c r="Q177" s="349">
        <f t="shared" ref="Q177:Q179" si="340">+P177*$X$1</f>
        <v>170</v>
      </c>
      <c r="R177" s="483">
        <f>F177+65</f>
        <v>155</v>
      </c>
      <c r="S177" s="349">
        <f t="shared" ref="S177:S179" si="341">+R177*$X$1</f>
        <v>155</v>
      </c>
      <c r="T177" s="483">
        <f>F177+55</f>
        <v>145</v>
      </c>
      <c r="U177" s="349">
        <f t="shared" ref="U177:U179" si="342">+T177*$X$1</f>
        <v>145</v>
      </c>
      <c r="V177" s="483">
        <f>F177+51</f>
        <v>141</v>
      </c>
      <c r="W177" s="349">
        <f t="shared" ref="W177:W179" si="343">+V177*$X$1</f>
        <v>141</v>
      </c>
      <c r="X177" s="172"/>
      <c r="Y177" s="162"/>
      <c r="Z177" s="162"/>
      <c r="AA177" s="162"/>
      <c r="AB177" s="209">
        <v>416</v>
      </c>
    </row>
    <row r="178" spans="1:28" ht="12.6" customHeight="1" x14ac:dyDescent="0.2">
      <c r="A178" s="27"/>
      <c r="B178" s="706" t="s">
        <v>634</v>
      </c>
      <c r="C178" s="729"/>
      <c r="D178" s="729"/>
      <c r="E178" s="729"/>
      <c r="F178" s="375">
        <v>84</v>
      </c>
      <c r="G178" s="306">
        <f t="shared" si="333"/>
        <v>84</v>
      </c>
      <c r="H178" s="466"/>
      <c r="I178" s="1017"/>
      <c r="J178" s="1017"/>
      <c r="K178" s="1017"/>
      <c r="L178" s="1017"/>
      <c r="M178" s="1018"/>
      <c r="N178" s="386">
        <f>F178+90</f>
        <v>174</v>
      </c>
      <c r="O178" s="348">
        <f t="shared" si="339"/>
        <v>174</v>
      </c>
      <c r="P178" s="386">
        <f>F178+80</f>
        <v>164</v>
      </c>
      <c r="Q178" s="348">
        <f t="shared" si="340"/>
        <v>164</v>
      </c>
      <c r="R178" s="386">
        <f>F178+65</f>
        <v>149</v>
      </c>
      <c r="S178" s="348">
        <f t="shared" si="341"/>
        <v>149</v>
      </c>
      <c r="T178" s="386">
        <f>F178+55</f>
        <v>139</v>
      </c>
      <c r="U178" s="348">
        <f t="shared" si="342"/>
        <v>139</v>
      </c>
      <c r="V178" s="386">
        <f>F178+51</f>
        <v>135</v>
      </c>
      <c r="W178" s="348">
        <f t="shared" si="343"/>
        <v>135</v>
      </c>
      <c r="X178" s="172"/>
      <c r="Y178" s="162"/>
      <c r="Z178" s="162"/>
      <c r="AA178" s="162"/>
      <c r="AB178" s="209">
        <v>417</v>
      </c>
    </row>
    <row r="179" spans="1:28" ht="12.6" customHeight="1" x14ac:dyDescent="0.2">
      <c r="A179" s="27"/>
      <c r="B179" s="720" t="s">
        <v>635</v>
      </c>
      <c r="C179" s="721"/>
      <c r="D179" s="721"/>
      <c r="E179" s="721"/>
      <c r="F179" s="391">
        <v>84</v>
      </c>
      <c r="G179" s="374">
        <f t="shared" si="333"/>
        <v>84</v>
      </c>
      <c r="H179" s="467"/>
      <c r="I179" s="1019"/>
      <c r="J179" s="1019"/>
      <c r="K179" s="1019"/>
      <c r="L179" s="1019"/>
      <c r="M179" s="1020"/>
      <c r="N179" s="483">
        <f>F179+90</f>
        <v>174</v>
      </c>
      <c r="O179" s="349">
        <f t="shared" si="339"/>
        <v>174</v>
      </c>
      <c r="P179" s="483">
        <f>F179+80</f>
        <v>164</v>
      </c>
      <c r="Q179" s="349">
        <f t="shared" si="340"/>
        <v>164</v>
      </c>
      <c r="R179" s="483">
        <f>F179+65</f>
        <v>149</v>
      </c>
      <c r="S179" s="349">
        <f t="shared" si="341"/>
        <v>149</v>
      </c>
      <c r="T179" s="483">
        <f>F179+55</f>
        <v>139</v>
      </c>
      <c r="U179" s="349">
        <f t="shared" si="342"/>
        <v>139</v>
      </c>
      <c r="V179" s="483">
        <f>F179+51</f>
        <v>135</v>
      </c>
      <c r="W179" s="349">
        <f t="shared" si="343"/>
        <v>135</v>
      </c>
      <c r="X179" s="172"/>
      <c r="Y179" s="162"/>
      <c r="Z179" s="162"/>
      <c r="AA179" s="162"/>
      <c r="AB179" s="209">
        <v>418</v>
      </c>
    </row>
    <row r="180" spans="1:28" ht="12.6" customHeight="1" x14ac:dyDescent="0.2">
      <c r="A180" s="27"/>
      <c r="B180" s="706" t="s">
        <v>198</v>
      </c>
      <c r="C180" s="729"/>
      <c r="D180" s="729"/>
      <c r="E180" s="729"/>
      <c r="F180" s="493">
        <v>833</v>
      </c>
      <c r="G180" s="375">
        <f t="shared" ref="G180:G190" si="344">+F180*$X$1</f>
        <v>833</v>
      </c>
      <c r="H180" s="390"/>
      <c r="I180" s="433"/>
      <c r="J180" s="129"/>
      <c r="K180" s="472"/>
      <c r="L180" s="109">
        <f>F180+63</f>
        <v>896</v>
      </c>
      <c r="M180" s="306">
        <f t="shared" ref="M180:M181" si="345">+L180*$X$1</f>
        <v>896</v>
      </c>
      <c r="N180" s="109">
        <f>F180+43</f>
        <v>876</v>
      </c>
      <c r="O180" s="375">
        <f>+N180*$X$1</f>
        <v>876</v>
      </c>
      <c r="P180" s="109">
        <f>F180+38</f>
        <v>871</v>
      </c>
      <c r="Q180" s="375">
        <f>+P180*$X$1</f>
        <v>871</v>
      </c>
      <c r="R180" s="386">
        <f>F180+34</f>
        <v>867</v>
      </c>
      <c r="S180" s="348">
        <f>+R180*$X$1</f>
        <v>867</v>
      </c>
      <c r="T180" s="386">
        <f>F180+29</f>
        <v>862</v>
      </c>
      <c r="U180" s="348">
        <f>+T180*$X$1</f>
        <v>862</v>
      </c>
      <c r="V180" s="386">
        <f>F180+25</f>
        <v>858</v>
      </c>
      <c r="W180" s="348">
        <f>+V180*$X$1</f>
        <v>858</v>
      </c>
      <c r="X180" s="939"/>
      <c r="Y180" s="940"/>
      <c r="Z180" s="940"/>
      <c r="AA180" s="941"/>
      <c r="AB180" s="552">
        <v>421</v>
      </c>
    </row>
    <row r="181" spans="1:28" ht="12.6" customHeight="1" x14ac:dyDescent="0.2">
      <c r="A181" s="27"/>
      <c r="B181" s="937" t="s">
        <v>698</v>
      </c>
      <c r="C181" s="938"/>
      <c r="D181" s="938"/>
      <c r="E181" s="938"/>
      <c r="F181" s="492">
        <v>750</v>
      </c>
      <c r="G181" s="391">
        <f t="shared" si="344"/>
        <v>750</v>
      </c>
      <c r="H181" s="943" t="s">
        <v>743</v>
      </c>
      <c r="I181" s="944"/>
      <c r="J181" s="944"/>
      <c r="K181" s="945"/>
      <c r="L181" s="106">
        <f t="shared" ref="L181:L186" si="346">F181+80</f>
        <v>830</v>
      </c>
      <c r="M181" s="349">
        <f t="shared" si="345"/>
        <v>830</v>
      </c>
      <c r="N181" s="607">
        <f t="shared" ref="N181:N186" si="347">F181+60</f>
        <v>810</v>
      </c>
      <c r="O181" s="349">
        <f t="shared" ref="O181" si="348">+N181*$X$1</f>
        <v>810</v>
      </c>
      <c r="P181" s="607">
        <f t="shared" ref="P181:P186" si="349">F181+43</f>
        <v>793</v>
      </c>
      <c r="Q181" s="349">
        <f t="shared" ref="Q181" si="350">+P181*$X$1</f>
        <v>793</v>
      </c>
      <c r="R181" s="607">
        <f t="shared" ref="R181:R186" si="351">F181+37</f>
        <v>787</v>
      </c>
      <c r="S181" s="349">
        <f t="shared" ref="S181" si="352">+R181*$X$1</f>
        <v>787</v>
      </c>
      <c r="T181" s="108">
        <f t="shared" ref="T181:T186" si="353">F181+30</f>
        <v>780</v>
      </c>
      <c r="U181" s="374">
        <f t="shared" ref="U181" si="354">+T181*$X$1</f>
        <v>780</v>
      </c>
      <c r="V181" s="607">
        <f t="shared" ref="V181:V186" si="355">F181+26</f>
        <v>776</v>
      </c>
      <c r="W181" s="349">
        <f t="shared" ref="W181" si="356">+V181*$X$1</f>
        <v>776</v>
      </c>
      <c r="X181" s="939"/>
      <c r="Y181" s="940"/>
      <c r="Z181" s="940"/>
      <c r="AA181" s="941"/>
      <c r="AB181" s="552" t="s">
        <v>872</v>
      </c>
    </row>
    <row r="182" spans="1:28" ht="12.6" customHeight="1" x14ac:dyDescent="0.2">
      <c r="A182" s="27"/>
      <c r="B182" s="937" t="s">
        <v>695</v>
      </c>
      <c r="C182" s="938"/>
      <c r="D182" s="938"/>
      <c r="E182" s="938"/>
      <c r="F182" s="493">
        <v>750</v>
      </c>
      <c r="G182" s="375">
        <f t="shared" si="344"/>
        <v>750</v>
      </c>
      <c r="H182" s="946"/>
      <c r="I182" s="947"/>
      <c r="J182" s="947"/>
      <c r="K182" s="948"/>
      <c r="L182" s="510">
        <f t="shared" si="346"/>
        <v>830</v>
      </c>
      <c r="M182" s="348">
        <f t="shared" ref="M182:M184" si="357">+L182*$X$1</f>
        <v>830</v>
      </c>
      <c r="N182" s="386">
        <f t="shared" si="347"/>
        <v>810</v>
      </c>
      <c r="O182" s="348">
        <f t="shared" ref="O182:O184" si="358">+N182*$X$1</f>
        <v>810</v>
      </c>
      <c r="P182" s="386">
        <f t="shared" si="349"/>
        <v>793</v>
      </c>
      <c r="Q182" s="348">
        <f t="shared" ref="Q182:Q184" si="359">+P182*$X$1</f>
        <v>793</v>
      </c>
      <c r="R182" s="386">
        <f t="shared" si="351"/>
        <v>787</v>
      </c>
      <c r="S182" s="348">
        <f t="shared" ref="S182:S184" si="360">+R182*$X$1</f>
        <v>787</v>
      </c>
      <c r="T182" s="109">
        <f t="shared" si="353"/>
        <v>780</v>
      </c>
      <c r="U182" s="306">
        <f t="shared" ref="U182:U184" si="361">+T182*$X$1</f>
        <v>780</v>
      </c>
      <c r="V182" s="386">
        <f t="shared" si="355"/>
        <v>776</v>
      </c>
      <c r="W182" s="348">
        <f t="shared" ref="W182:W184" si="362">+V182*$X$1</f>
        <v>776</v>
      </c>
      <c r="X182" s="939"/>
      <c r="Y182" s="940"/>
      <c r="Z182" s="940"/>
      <c r="AA182" s="941"/>
      <c r="AB182" s="552" t="s">
        <v>867</v>
      </c>
    </row>
    <row r="183" spans="1:28" ht="12.6" customHeight="1" x14ac:dyDescent="0.2">
      <c r="A183" s="27"/>
      <c r="B183" s="937" t="s">
        <v>694</v>
      </c>
      <c r="C183" s="938"/>
      <c r="D183" s="938"/>
      <c r="E183" s="938"/>
      <c r="F183" s="492">
        <v>750</v>
      </c>
      <c r="G183" s="391">
        <f t="shared" si="344"/>
        <v>750</v>
      </c>
      <c r="H183" s="946"/>
      <c r="I183" s="947"/>
      <c r="J183" s="947"/>
      <c r="K183" s="948"/>
      <c r="L183" s="106">
        <f t="shared" si="346"/>
        <v>830</v>
      </c>
      <c r="M183" s="349">
        <f t="shared" si="357"/>
        <v>830</v>
      </c>
      <c r="N183" s="607">
        <f t="shared" si="347"/>
        <v>810</v>
      </c>
      <c r="O183" s="349">
        <f t="shared" si="358"/>
        <v>810</v>
      </c>
      <c r="P183" s="607">
        <f t="shared" si="349"/>
        <v>793</v>
      </c>
      <c r="Q183" s="349">
        <f t="shared" si="359"/>
        <v>793</v>
      </c>
      <c r="R183" s="607">
        <f t="shared" si="351"/>
        <v>787</v>
      </c>
      <c r="S183" s="349">
        <f t="shared" si="360"/>
        <v>787</v>
      </c>
      <c r="T183" s="108">
        <f t="shared" si="353"/>
        <v>780</v>
      </c>
      <c r="U183" s="374">
        <f t="shared" si="361"/>
        <v>780</v>
      </c>
      <c r="V183" s="607">
        <f t="shared" si="355"/>
        <v>776</v>
      </c>
      <c r="W183" s="349">
        <f t="shared" si="362"/>
        <v>776</v>
      </c>
      <c r="X183" s="939"/>
      <c r="Y183" s="940"/>
      <c r="Z183" s="940"/>
      <c r="AA183" s="941"/>
      <c r="AB183" s="552" t="s">
        <v>869</v>
      </c>
    </row>
    <row r="184" spans="1:28" ht="12.6" customHeight="1" x14ac:dyDescent="0.2">
      <c r="A184" s="27"/>
      <c r="B184" s="937" t="s">
        <v>697</v>
      </c>
      <c r="C184" s="938"/>
      <c r="D184" s="938"/>
      <c r="E184" s="938"/>
      <c r="F184" s="493">
        <v>750</v>
      </c>
      <c r="G184" s="375">
        <f t="shared" si="344"/>
        <v>750</v>
      </c>
      <c r="H184" s="946"/>
      <c r="I184" s="947"/>
      <c r="J184" s="947"/>
      <c r="K184" s="948"/>
      <c r="L184" s="510">
        <f t="shared" si="346"/>
        <v>830</v>
      </c>
      <c r="M184" s="348">
        <f t="shared" si="357"/>
        <v>830</v>
      </c>
      <c r="N184" s="386">
        <f t="shared" si="347"/>
        <v>810</v>
      </c>
      <c r="O184" s="348">
        <f t="shared" si="358"/>
        <v>810</v>
      </c>
      <c r="P184" s="386">
        <f t="shared" si="349"/>
        <v>793</v>
      </c>
      <c r="Q184" s="348">
        <f t="shared" si="359"/>
        <v>793</v>
      </c>
      <c r="R184" s="386">
        <f t="shared" si="351"/>
        <v>787</v>
      </c>
      <c r="S184" s="348">
        <f t="shared" si="360"/>
        <v>787</v>
      </c>
      <c r="T184" s="109">
        <f t="shared" si="353"/>
        <v>780</v>
      </c>
      <c r="U184" s="306">
        <f t="shared" si="361"/>
        <v>780</v>
      </c>
      <c r="V184" s="386">
        <f t="shared" si="355"/>
        <v>776</v>
      </c>
      <c r="W184" s="348">
        <f t="shared" si="362"/>
        <v>776</v>
      </c>
      <c r="X184" s="964"/>
      <c r="Y184" s="965"/>
      <c r="Z184" s="965"/>
      <c r="AA184" s="966"/>
      <c r="AB184" s="552" t="s">
        <v>868</v>
      </c>
    </row>
    <row r="185" spans="1:28" ht="12.6" customHeight="1" x14ac:dyDescent="0.2">
      <c r="A185" s="27"/>
      <c r="B185" s="937" t="s">
        <v>871</v>
      </c>
      <c r="C185" s="938"/>
      <c r="D185" s="938"/>
      <c r="E185" s="938"/>
      <c r="F185" s="492">
        <v>750</v>
      </c>
      <c r="G185" s="391">
        <f t="shared" ref="G185" si="363">+F185*$X$1</f>
        <v>750</v>
      </c>
      <c r="H185" s="946"/>
      <c r="I185" s="947"/>
      <c r="J185" s="947"/>
      <c r="K185" s="948"/>
      <c r="L185" s="106">
        <f t="shared" si="346"/>
        <v>830</v>
      </c>
      <c r="M185" s="349">
        <f t="shared" ref="M185:M189" si="364">+L185*$X$1</f>
        <v>830</v>
      </c>
      <c r="N185" s="607">
        <f t="shared" si="347"/>
        <v>810</v>
      </c>
      <c r="O185" s="349">
        <f t="shared" ref="O185:O189" si="365">+N185*$X$1</f>
        <v>810</v>
      </c>
      <c r="P185" s="607">
        <f t="shared" si="349"/>
        <v>793</v>
      </c>
      <c r="Q185" s="349">
        <f t="shared" ref="Q185:Q189" si="366">+P185*$X$1</f>
        <v>793</v>
      </c>
      <c r="R185" s="607">
        <f t="shared" si="351"/>
        <v>787</v>
      </c>
      <c r="S185" s="349">
        <f t="shared" ref="S185:S189" si="367">+R185*$X$1</f>
        <v>787</v>
      </c>
      <c r="T185" s="108">
        <f t="shared" si="353"/>
        <v>780</v>
      </c>
      <c r="U185" s="374">
        <f t="shared" ref="U185:U189" si="368">+T185*$X$1</f>
        <v>780</v>
      </c>
      <c r="V185" s="607">
        <f t="shared" si="355"/>
        <v>776</v>
      </c>
      <c r="W185" s="349">
        <f t="shared" ref="W185:W189" si="369">+V185*$X$1</f>
        <v>776</v>
      </c>
      <c r="X185" s="939"/>
      <c r="Y185" s="940"/>
      <c r="Z185" s="940"/>
      <c r="AA185" s="941"/>
      <c r="AB185" s="552" t="s">
        <v>870</v>
      </c>
    </row>
    <row r="186" spans="1:28" ht="12.6" customHeight="1" x14ac:dyDescent="0.2">
      <c r="A186" s="27"/>
      <c r="B186" s="937" t="s">
        <v>696</v>
      </c>
      <c r="C186" s="938"/>
      <c r="D186" s="938"/>
      <c r="E186" s="938"/>
      <c r="F186" s="493">
        <v>833</v>
      </c>
      <c r="G186" s="375">
        <f t="shared" si="344"/>
        <v>833</v>
      </c>
      <c r="H186" s="949"/>
      <c r="I186" s="950"/>
      <c r="J186" s="950"/>
      <c r="K186" s="951"/>
      <c r="L186" s="510">
        <f t="shared" si="346"/>
        <v>913</v>
      </c>
      <c r="M186" s="348">
        <f t="shared" si="364"/>
        <v>913</v>
      </c>
      <c r="N186" s="386">
        <f t="shared" si="347"/>
        <v>893</v>
      </c>
      <c r="O186" s="348">
        <f t="shared" si="365"/>
        <v>893</v>
      </c>
      <c r="P186" s="386">
        <f t="shared" si="349"/>
        <v>876</v>
      </c>
      <c r="Q186" s="348">
        <f t="shared" si="366"/>
        <v>876</v>
      </c>
      <c r="R186" s="386">
        <f t="shared" si="351"/>
        <v>870</v>
      </c>
      <c r="S186" s="348">
        <f t="shared" si="367"/>
        <v>870</v>
      </c>
      <c r="T186" s="109">
        <f t="shared" si="353"/>
        <v>863</v>
      </c>
      <c r="U186" s="306">
        <f t="shared" si="368"/>
        <v>863</v>
      </c>
      <c r="V186" s="386">
        <f t="shared" si="355"/>
        <v>859</v>
      </c>
      <c r="W186" s="348">
        <f t="shared" si="369"/>
        <v>859</v>
      </c>
      <c r="X186" s="939"/>
      <c r="Y186" s="940"/>
      <c r="Z186" s="940"/>
      <c r="AA186" s="941"/>
      <c r="AB186" s="552" t="s">
        <v>866</v>
      </c>
    </row>
    <row r="187" spans="1:28" ht="12.6" customHeight="1" x14ac:dyDescent="0.2">
      <c r="A187" s="112"/>
      <c r="B187" s="997" t="s">
        <v>456</v>
      </c>
      <c r="C187" s="1005"/>
      <c r="D187" s="1005"/>
      <c r="E187" s="1005"/>
      <c r="F187" s="496">
        <f>1.17*X2</f>
        <v>1062.3599999999999</v>
      </c>
      <c r="G187" s="431">
        <f t="shared" si="344"/>
        <v>1062.3599999999999</v>
      </c>
      <c r="H187" s="347"/>
      <c r="I187" s="471"/>
      <c r="J187" s="108"/>
      <c r="K187" s="391"/>
      <c r="L187" s="607">
        <f>F187+74</f>
        <v>1136.3599999999999</v>
      </c>
      <c r="M187" s="349">
        <f t="shared" si="364"/>
        <v>1136.3599999999999</v>
      </c>
      <c r="N187" s="607">
        <f>F187+46</f>
        <v>1108.3599999999999</v>
      </c>
      <c r="O187" s="349">
        <f t="shared" si="365"/>
        <v>1108.3599999999999</v>
      </c>
      <c r="P187" s="607">
        <f>F187+42</f>
        <v>1104.3599999999999</v>
      </c>
      <c r="Q187" s="349">
        <f t="shared" si="366"/>
        <v>1104.3599999999999</v>
      </c>
      <c r="R187" s="607">
        <f>F187+35</f>
        <v>1097.3599999999999</v>
      </c>
      <c r="S187" s="349">
        <f t="shared" si="367"/>
        <v>1097.3599999999999</v>
      </c>
      <c r="T187" s="108">
        <f>F187+29</f>
        <v>1091.3599999999999</v>
      </c>
      <c r="U187" s="374">
        <f t="shared" si="368"/>
        <v>1091.3599999999999</v>
      </c>
      <c r="V187" s="108">
        <f>F187+24</f>
        <v>1086.3599999999999</v>
      </c>
      <c r="W187" s="374">
        <f t="shared" si="369"/>
        <v>1086.3599999999999</v>
      </c>
      <c r="X187" s="162"/>
      <c r="Y187" s="171"/>
      <c r="Z187" s="162"/>
      <c r="AA187" s="162"/>
      <c r="AB187" s="209">
        <v>425</v>
      </c>
    </row>
    <row r="188" spans="1:28" ht="12.6" customHeight="1" x14ac:dyDescent="0.2">
      <c r="A188" s="112"/>
      <c r="B188" s="706" t="s">
        <v>594</v>
      </c>
      <c r="C188" s="729"/>
      <c r="D188" s="729"/>
      <c r="E188" s="729"/>
      <c r="F188" s="487">
        <f>1.01*X2</f>
        <v>917.08</v>
      </c>
      <c r="G188" s="348">
        <f t="shared" si="344"/>
        <v>917.08</v>
      </c>
      <c r="H188" s="390"/>
      <c r="I188" s="424"/>
      <c r="J188" s="386"/>
      <c r="K188" s="348"/>
      <c r="L188" s="386">
        <f>F188+74</f>
        <v>991.08</v>
      </c>
      <c r="M188" s="348">
        <f t="shared" si="364"/>
        <v>991.08</v>
      </c>
      <c r="N188" s="386">
        <f>F188+46</f>
        <v>963.08</v>
      </c>
      <c r="O188" s="348">
        <f t="shared" si="365"/>
        <v>963.08</v>
      </c>
      <c r="P188" s="386">
        <f>F188+42</f>
        <v>959.08</v>
      </c>
      <c r="Q188" s="348">
        <f t="shared" si="366"/>
        <v>959.08</v>
      </c>
      <c r="R188" s="386">
        <f>F188+35</f>
        <v>952.08</v>
      </c>
      <c r="S188" s="348">
        <f t="shared" si="367"/>
        <v>952.08</v>
      </c>
      <c r="T188" s="109">
        <f>F188+29</f>
        <v>946.08</v>
      </c>
      <c r="U188" s="306">
        <f t="shared" si="368"/>
        <v>946.08</v>
      </c>
      <c r="V188" s="109">
        <f>F188+24</f>
        <v>941.08</v>
      </c>
      <c r="W188" s="306">
        <f t="shared" si="369"/>
        <v>941.08</v>
      </c>
      <c r="X188" s="162"/>
      <c r="Y188" s="171"/>
      <c r="Z188" s="162"/>
      <c r="AA188" s="162"/>
      <c r="AB188" s="209" t="s">
        <v>654</v>
      </c>
    </row>
    <row r="189" spans="1:28" ht="12.6" customHeight="1" x14ac:dyDescent="0.2">
      <c r="A189" s="112"/>
      <c r="B189" s="720" t="s">
        <v>580</v>
      </c>
      <c r="C189" s="721"/>
      <c r="D189" s="721"/>
      <c r="E189" s="721"/>
      <c r="F189" s="488">
        <f>0.98*X2</f>
        <v>889.84</v>
      </c>
      <c r="G189" s="349">
        <f t="shared" ref="G189" si="370">+F189*$X$1</f>
        <v>889.84</v>
      </c>
      <c r="H189" s="347"/>
      <c r="I189" s="425"/>
      <c r="J189" s="607"/>
      <c r="K189" s="349"/>
      <c r="L189" s="607">
        <f>F189+74</f>
        <v>963.84</v>
      </c>
      <c r="M189" s="349">
        <f t="shared" si="364"/>
        <v>963.84</v>
      </c>
      <c r="N189" s="607">
        <f>F189+46</f>
        <v>935.84</v>
      </c>
      <c r="O189" s="349">
        <f t="shared" si="365"/>
        <v>935.84</v>
      </c>
      <c r="P189" s="607">
        <f>F189+42</f>
        <v>931.84</v>
      </c>
      <c r="Q189" s="349">
        <f t="shared" si="366"/>
        <v>931.84</v>
      </c>
      <c r="R189" s="607">
        <f>F189+35</f>
        <v>924.84</v>
      </c>
      <c r="S189" s="349">
        <f t="shared" si="367"/>
        <v>924.84</v>
      </c>
      <c r="T189" s="108">
        <f>F189+29</f>
        <v>918.84</v>
      </c>
      <c r="U189" s="374">
        <f t="shared" si="368"/>
        <v>918.84</v>
      </c>
      <c r="V189" s="108">
        <f>F189+24</f>
        <v>913.84</v>
      </c>
      <c r="W189" s="374">
        <f t="shared" si="369"/>
        <v>913.84</v>
      </c>
      <c r="X189" s="162"/>
      <c r="Y189" s="171"/>
      <c r="Z189" s="162"/>
      <c r="AA189" s="162"/>
      <c r="AB189" s="209">
        <v>428</v>
      </c>
    </row>
    <row r="190" spans="1:28" ht="12.6" customHeight="1" x14ac:dyDescent="0.2">
      <c r="A190" s="20"/>
      <c r="B190" s="706" t="s">
        <v>199</v>
      </c>
      <c r="C190" s="729"/>
      <c r="D190" s="729"/>
      <c r="E190" s="729"/>
      <c r="F190" s="487">
        <f>1.527*X2</f>
        <v>1386.5159999999998</v>
      </c>
      <c r="G190" s="348">
        <f t="shared" si="344"/>
        <v>1386.5159999999998</v>
      </c>
      <c r="H190" s="386">
        <f>F190+290</f>
        <v>1676.5159999999998</v>
      </c>
      <c r="I190" s="348">
        <f>+H190*$X$1</f>
        <v>1676.5159999999998</v>
      </c>
      <c r="J190" s="386">
        <f>F190+120</f>
        <v>1506.5159999999998</v>
      </c>
      <c r="K190" s="348">
        <f t="shared" ref="K190" si="371">+J190*$X$1</f>
        <v>1506.5159999999998</v>
      </c>
      <c r="L190" s="386">
        <f>F190+74</f>
        <v>1460.5159999999998</v>
      </c>
      <c r="M190" s="348">
        <f t="shared" ref="M190" si="372">+L190*$X$1</f>
        <v>1460.5159999999998</v>
      </c>
      <c r="N190" s="386">
        <f>F190+46</f>
        <v>1432.5159999999998</v>
      </c>
      <c r="O190" s="348">
        <f t="shared" ref="O190" si="373">+N190*$X$1</f>
        <v>1432.5159999999998</v>
      </c>
      <c r="P190" s="386">
        <f>F190+42</f>
        <v>1428.5159999999998</v>
      </c>
      <c r="Q190" s="348">
        <f t="shared" ref="Q190" si="374">+P190*$X$1</f>
        <v>1428.5159999999998</v>
      </c>
      <c r="R190" s="386">
        <f>F190+35</f>
        <v>1421.5159999999998</v>
      </c>
      <c r="S190" s="348">
        <f t="shared" ref="S190" si="375">+R190*$X$1</f>
        <v>1421.5159999999998</v>
      </c>
      <c r="T190" s="109">
        <f>F190+29</f>
        <v>1415.5159999999998</v>
      </c>
      <c r="U190" s="306">
        <f t="shared" ref="U190" si="376">+T190*$X$1</f>
        <v>1415.5159999999998</v>
      </c>
      <c r="V190" s="109">
        <f>F190+24</f>
        <v>1410.5159999999998</v>
      </c>
      <c r="W190" s="306">
        <f t="shared" ref="W190" si="377">+V190*$X$1</f>
        <v>1410.5159999999998</v>
      </c>
      <c r="X190" s="162"/>
      <c r="Y190" s="171"/>
      <c r="Z190" s="162"/>
      <c r="AA190" s="162"/>
      <c r="AB190" s="209">
        <v>442</v>
      </c>
    </row>
    <row r="191" spans="1:28" ht="12.6" customHeight="1" x14ac:dyDescent="0.2">
      <c r="A191" s="20"/>
      <c r="B191" s="747" t="s">
        <v>200</v>
      </c>
      <c r="C191" s="748"/>
      <c r="D191" s="748"/>
      <c r="E191" s="748"/>
      <c r="F191" s="470"/>
      <c r="G191" s="979" t="s">
        <v>440</v>
      </c>
      <c r="H191" s="980"/>
      <c r="I191" s="980"/>
      <c r="J191" s="980"/>
      <c r="K191" s="980"/>
      <c r="L191" s="980"/>
      <c r="M191" s="980"/>
      <c r="N191" s="980"/>
      <c r="O191" s="980"/>
      <c r="P191" s="981"/>
      <c r="Q191" s="981"/>
      <c r="R191" s="981"/>
      <c r="S191" s="982"/>
      <c r="T191" s="75"/>
      <c r="U191" s="349"/>
      <c r="V191" s="108"/>
      <c r="W191" s="374"/>
      <c r="X191" s="172"/>
      <c r="Y191" s="171"/>
      <c r="Z191" s="162"/>
      <c r="AA191" s="162"/>
      <c r="AB191" s="209">
        <v>450</v>
      </c>
    </row>
    <row r="192" spans="1:28" ht="12.6" customHeight="1" x14ac:dyDescent="0.2">
      <c r="A192" s="20"/>
      <c r="B192" s="706" t="s">
        <v>201</v>
      </c>
      <c r="C192" s="729"/>
      <c r="D192" s="729"/>
      <c r="E192" s="729"/>
      <c r="F192" s="138"/>
      <c r="G192" s="983"/>
      <c r="H192" s="984"/>
      <c r="I192" s="984"/>
      <c r="J192" s="984"/>
      <c r="K192" s="984"/>
      <c r="L192" s="984"/>
      <c r="M192" s="984"/>
      <c r="N192" s="984"/>
      <c r="O192" s="984"/>
      <c r="P192" s="985"/>
      <c r="Q192" s="986"/>
      <c r="R192" s="985"/>
      <c r="S192" s="987"/>
      <c r="T192" s="75"/>
      <c r="U192" s="348"/>
      <c r="V192" s="109"/>
      <c r="W192" s="306"/>
      <c r="X192" s="172"/>
      <c r="Y192" s="171"/>
      <c r="Z192" s="162"/>
      <c r="AA192" s="162"/>
      <c r="AB192" s="209">
        <v>451</v>
      </c>
    </row>
    <row r="193" spans="1:28" ht="12.6" customHeight="1" x14ac:dyDescent="0.2">
      <c r="A193" s="20"/>
      <c r="B193" s="720" t="s">
        <v>202</v>
      </c>
      <c r="C193" s="721"/>
      <c r="D193" s="721"/>
      <c r="E193" s="721"/>
      <c r="F193" s="96"/>
      <c r="G193" s="983"/>
      <c r="H193" s="984"/>
      <c r="I193" s="984"/>
      <c r="J193" s="984"/>
      <c r="K193" s="984"/>
      <c r="L193" s="984"/>
      <c r="M193" s="984"/>
      <c r="N193" s="984"/>
      <c r="O193" s="984"/>
      <c r="P193" s="985"/>
      <c r="Q193" s="986"/>
      <c r="R193" s="985"/>
      <c r="S193" s="987"/>
      <c r="T193" s="75"/>
      <c r="U193" s="349"/>
      <c r="V193" s="108"/>
      <c r="W193" s="374"/>
      <c r="X193" s="172"/>
      <c r="Y193" s="171"/>
      <c r="Z193" s="162"/>
      <c r="AA193" s="162"/>
      <c r="AB193" s="209">
        <v>452</v>
      </c>
    </row>
    <row r="194" spans="1:28" ht="12.6" customHeight="1" x14ac:dyDescent="0.2">
      <c r="A194" s="20"/>
      <c r="B194" s="706" t="s">
        <v>203</v>
      </c>
      <c r="C194" s="729"/>
      <c r="D194" s="729"/>
      <c r="E194" s="729"/>
      <c r="F194" s="138"/>
      <c r="G194" s="983"/>
      <c r="H194" s="984"/>
      <c r="I194" s="984"/>
      <c r="J194" s="984"/>
      <c r="K194" s="984"/>
      <c r="L194" s="984"/>
      <c r="M194" s="984"/>
      <c r="N194" s="984"/>
      <c r="O194" s="984"/>
      <c r="P194" s="985"/>
      <c r="Q194" s="986"/>
      <c r="R194" s="985"/>
      <c r="S194" s="987"/>
      <c r="T194" s="75"/>
      <c r="U194" s="348"/>
      <c r="V194" s="109"/>
      <c r="W194" s="306"/>
      <c r="X194" s="172"/>
      <c r="Y194" s="171"/>
      <c r="Z194" s="162"/>
      <c r="AA194" s="162"/>
      <c r="AB194" s="209">
        <v>453</v>
      </c>
    </row>
    <row r="195" spans="1:28" ht="12.6" customHeight="1" x14ac:dyDescent="0.2">
      <c r="A195" s="20"/>
      <c r="B195" s="720" t="s">
        <v>204</v>
      </c>
      <c r="C195" s="721"/>
      <c r="D195" s="721"/>
      <c r="E195" s="721"/>
      <c r="F195" s="96"/>
      <c r="G195" s="983"/>
      <c r="H195" s="984"/>
      <c r="I195" s="984"/>
      <c r="J195" s="984"/>
      <c r="K195" s="984"/>
      <c r="L195" s="984"/>
      <c r="M195" s="984"/>
      <c r="N195" s="984"/>
      <c r="O195" s="984"/>
      <c r="P195" s="985"/>
      <c r="Q195" s="986"/>
      <c r="R195" s="985"/>
      <c r="S195" s="987"/>
      <c r="T195" s="75"/>
      <c r="U195" s="349"/>
      <c r="V195" s="108"/>
      <c r="W195" s="374"/>
      <c r="X195" s="172"/>
      <c r="Y195" s="171"/>
      <c r="Z195" s="162"/>
      <c r="AA195" s="162"/>
      <c r="AB195" s="209">
        <v>454</v>
      </c>
    </row>
    <row r="196" spans="1:28" ht="12.6" customHeight="1" x14ac:dyDescent="0.2">
      <c r="A196" s="20"/>
      <c r="B196" s="706" t="s">
        <v>205</v>
      </c>
      <c r="C196" s="729"/>
      <c r="D196" s="729"/>
      <c r="E196" s="729"/>
      <c r="F196" s="469"/>
      <c r="G196" s="988"/>
      <c r="H196" s="989"/>
      <c r="I196" s="989"/>
      <c r="J196" s="989"/>
      <c r="K196" s="989"/>
      <c r="L196" s="989"/>
      <c r="M196" s="989"/>
      <c r="N196" s="989"/>
      <c r="O196" s="989"/>
      <c r="P196" s="990"/>
      <c r="Q196" s="990"/>
      <c r="R196" s="990"/>
      <c r="S196" s="991"/>
      <c r="T196" s="75"/>
      <c r="U196" s="348"/>
      <c r="V196" s="109"/>
      <c r="W196" s="306"/>
      <c r="X196" s="172"/>
      <c r="Y196" s="171"/>
      <c r="Z196" s="162"/>
      <c r="AA196" s="162"/>
      <c r="AB196" s="209">
        <v>460</v>
      </c>
    </row>
    <row r="197" spans="1:28" ht="12.6" customHeight="1" x14ac:dyDescent="0.2">
      <c r="A197" s="20"/>
      <c r="B197" s="720" t="s">
        <v>430</v>
      </c>
      <c r="C197" s="740"/>
      <c r="D197" s="740"/>
      <c r="E197" s="740"/>
      <c r="F197" s="488">
        <f>1.974*X2</f>
        <v>1792.3920000000001</v>
      </c>
      <c r="G197" s="418">
        <f t="shared" ref="G197:G198" si="378">+F197*$X$1</f>
        <v>1792.3920000000001</v>
      </c>
      <c r="H197" s="337"/>
      <c r="I197" s="337"/>
      <c r="J197" s="607">
        <f>F197+120</f>
        <v>1912.3920000000001</v>
      </c>
      <c r="K197" s="349">
        <f t="shared" ref="K197" si="379">+J197*$X$1</f>
        <v>1912.3920000000001</v>
      </c>
      <c r="L197" s="607">
        <f>F197+74</f>
        <v>1866.3920000000001</v>
      </c>
      <c r="M197" s="349">
        <f t="shared" ref="M197" si="380">+L197*$X$1</f>
        <v>1866.3920000000001</v>
      </c>
      <c r="N197" s="607">
        <f t="shared" ref="N197:N204" si="381">F197+46</f>
        <v>1838.3920000000001</v>
      </c>
      <c r="O197" s="349">
        <f t="shared" ref="O197" si="382">+N197*$X$1</f>
        <v>1838.3920000000001</v>
      </c>
      <c r="P197" s="607">
        <f t="shared" ref="P197:P204" si="383">F197+42</f>
        <v>1834.3920000000001</v>
      </c>
      <c r="Q197" s="349">
        <f t="shared" ref="Q197" si="384">+P197*$X$1</f>
        <v>1834.3920000000001</v>
      </c>
      <c r="R197" s="607">
        <f t="shared" ref="R197:R204" si="385">F197+35</f>
        <v>1827.3920000000001</v>
      </c>
      <c r="S197" s="349">
        <f t="shared" ref="S197" si="386">+R197*$X$1</f>
        <v>1827.3920000000001</v>
      </c>
      <c r="T197" s="108">
        <f t="shared" ref="T197:T204" si="387">F197+29</f>
        <v>1821.3920000000001</v>
      </c>
      <c r="U197" s="374">
        <f t="shared" ref="U197" si="388">+T197*$X$1</f>
        <v>1821.3920000000001</v>
      </c>
      <c r="V197" s="108">
        <f t="shared" ref="V197:V204" si="389">F197+24</f>
        <v>1816.3920000000001</v>
      </c>
      <c r="W197" s="374">
        <f t="shared" ref="W197" si="390">+V197*$X$1</f>
        <v>1816.3920000000001</v>
      </c>
      <c r="X197" s="162"/>
      <c r="Y197" s="171"/>
      <c r="Z197" s="162"/>
      <c r="AA197" s="162"/>
      <c r="AB197" s="209">
        <v>465</v>
      </c>
    </row>
    <row r="198" spans="1:28" ht="12.6" customHeight="1" x14ac:dyDescent="0.2">
      <c r="A198" s="20"/>
      <c r="B198" s="814" t="s">
        <v>751</v>
      </c>
      <c r="C198" s="848"/>
      <c r="D198" s="848"/>
      <c r="E198" s="848"/>
      <c r="F198" s="493">
        <f>1.137*X2</f>
        <v>1032.396</v>
      </c>
      <c r="G198" s="376">
        <f t="shared" si="378"/>
        <v>1032.396</v>
      </c>
      <c r="H198" s="338"/>
      <c r="I198" s="338"/>
      <c r="J198" s="386">
        <f>F198+120</f>
        <v>1152.396</v>
      </c>
      <c r="K198" s="348">
        <f t="shared" ref="K198:K199" si="391">+J198*$X$1</f>
        <v>1152.396</v>
      </c>
      <c r="L198" s="386">
        <f>F198+74</f>
        <v>1106.396</v>
      </c>
      <c r="M198" s="348">
        <f t="shared" ref="M198:M199" si="392">+L198*$X$1</f>
        <v>1106.396</v>
      </c>
      <c r="N198" s="386">
        <f t="shared" si="381"/>
        <v>1078.396</v>
      </c>
      <c r="O198" s="348">
        <f t="shared" ref="O198:O199" si="393">+N198*$X$1</f>
        <v>1078.396</v>
      </c>
      <c r="P198" s="386">
        <f t="shared" si="383"/>
        <v>1074.396</v>
      </c>
      <c r="Q198" s="348">
        <f t="shared" ref="Q198:Q199" si="394">+P198*$X$1</f>
        <v>1074.396</v>
      </c>
      <c r="R198" s="386">
        <f t="shared" si="385"/>
        <v>1067.396</v>
      </c>
      <c r="S198" s="348">
        <f t="shared" ref="S198:S199" si="395">+R198*$X$1</f>
        <v>1067.396</v>
      </c>
      <c r="T198" s="109">
        <f t="shared" si="387"/>
        <v>1061.396</v>
      </c>
      <c r="U198" s="306">
        <f t="shared" ref="U198:U199" si="396">+T198*$X$1</f>
        <v>1061.396</v>
      </c>
      <c r="V198" s="109">
        <f t="shared" si="389"/>
        <v>1056.396</v>
      </c>
      <c r="W198" s="306">
        <f t="shared" ref="W198:W199" si="397">+V198*$X$1</f>
        <v>1056.396</v>
      </c>
      <c r="X198" s="162"/>
      <c r="Y198" s="162"/>
      <c r="Z198" s="162"/>
      <c r="AA198" s="162"/>
      <c r="AB198" s="209">
        <v>528</v>
      </c>
    </row>
    <row r="199" spans="1:28" ht="12.6" customHeight="1" x14ac:dyDescent="0.2">
      <c r="A199" s="20"/>
      <c r="B199" s="700" t="s">
        <v>431</v>
      </c>
      <c r="C199" s="724"/>
      <c r="D199" s="724"/>
      <c r="E199" s="725"/>
      <c r="F199" s="391">
        <v>3200</v>
      </c>
      <c r="G199" s="381">
        <f t="shared" ref="G199:G202" si="398">+F199*$X$1</f>
        <v>3200</v>
      </c>
      <c r="H199" s="337"/>
      <c r="I199" s="337"/>
      <c r="J199" s="607">
        <f>F199+120</f>
        <v>3320</v>
      </c>
      <c r="K199" s="349">
        <f t="shared" si="391"/>
        <v>3320</v>
      </c>
      <c r="L199" s="607">
        <f>F199+74</f>
        <v>3274</v>
      </c>
      <c r="M199" s="349">
        <f t="shared" si="392"/>
        <v>3274</v>
      </c>
      <c r="N199" s="607">
        <f t="shared" si="381"/>
        <v>3246</v>
      </c>
      <c r="O199" s="349">
        <f t="shared" si="393"/>
        <v>3246</v>
      </c>
      <c r="P199" s="607">
        <f t="shared" si="383"/>
        <v>3242</v>
      </c>
      <c r="Q199" s="349">
        <f t="shared" si="394"/>
        <v>3242</v>
      </c>
      <c r="R199" s="607">
        <f t="shared" si="385"/>
        <v>3235</v>
      </c>
      <c r="S199" s="349">
        <f t="shared" si="395"/>
        <v>3235</v>
      </c>
      <c r="T199" s="108">
        <f t="shared" si="387"/>
        <v>3229</v>
      </c>
      <c r="U199" s="374">
        <f t="shared" si="396"/>
        <v>3229</v>
      </c>
      <c r="V199" s="108">
        <f t="shared" si="389"/>
        <v>3224</v>
      </c>
      <c r="W199" s="374">
        <f t="shared" si="397"/>
        <v>3224</v>
      </c>
      <c r="X199" s="162"/>
      <c r="Y199" s="162"/>
      <c r="Z199" s="162"/>
      <c r="AA199" s="162"/>
      <c r="AB199" s="209"/>
    </row>
    <row r="200" spans="1:28" ht="12.6" customHeight="1" x14ac:dyDescent="0.2">
      <c r="A200" s="20"/>
      <c r="B200" s="716" t="s">
        <v>432</v>
      </c>
      <c r="C200" s="717"/>
      <c r="D200" s="717"/>
      <c r="E200" s="718"/>
      <c r="F200" s="375">
        <v>970</v>
      </c>
      <c r="G200" s="382">
        <f t="shared" si="398"/>
        <v>970</v>
      </c>
      <c r="H200" s="338"/>
      <c r="I200" s="338"/>
      <c r="J200" s="386">
        <f>F200+120</f>
        <v>1090</v>
      </c>
      <c r="K200" s="348">
        <f t="shared" ref="K200" si="399">+J200*$X$1</f>
        <v>1090</v>
      </c>
      <c r="L200" s="386">
        <f>F200+74</f>
        <v>1044</v>
      </c>
      <c r="M200" s="348">
        <f t="shared" ref="M200" si="400">+L200*$X$1</f>
        <v>1044</v>
      </c>
      <c r="N200" s="386">
        <f t="shared" si="381"/>
        <v>1016</v>
      </c>
      <c r="O200" s="348">
        <f t="shared" ref="O200" si="401">+N200*$X$1</f>
        <v>1016</v>
      </c>
      <c r="P200" s="386">
        <f t="shared" si="383"/>
        <v>1012</v>
      </c>
      <c r="Q200" s="348">
        <f t="shared" ref="Q200" si="402">+P200*$X$1</f>
        <v>1012</v>
      </c>
      <c r="R200" s="386">
        <f t="shared" si="385"/>
        <v>1005</v>
      </c>
      <c r="S200" s="348">
        <f t="shared" ref="S200" si="403">+R200*$X$1</f>
        <v>1005</v>
      </c>
      <c r="T200" s="109">
        <f t="shared" si="387"/>
        <v>999</v>
      </c>
      <c r="U200" s="306">
        <f t="shared" ref="U200" si="404">+T200*$X$1</f>
        <v>999</v>
      </c>
      <c r="V200" s="109">
        <f t="shared" si="389"/>
        <v>994</v>
      </c>
      <c r="W200" s="306">
        <f t="shared" ref="W200" si="405">+V200*$X$1</f>
        <v>994</v>
      </c>
      <c r="X200" s="162"/>
      <c r="Y200" s="162"/>
      <c r="Z200" s="162"/>
      <c r="AA200" s="162"/>
      <c r="AB200" s="209"/>
    </row>
    <row r="201" spans="1:28" ht="12.6" customHeight="1" x14ac:dyDescent="0.2">
      <c r="A201" s="20"/>
      <c r="B201" s="747" t="s">
        <v>206</v>
      </c>
      <c r="C201" s="748"/>
      <c r="D201" s="748"/>
      <c r="E201" s="748"/>
      <c r="F201" s="391">
        <v>175</v>
      </c>
      <c r="G201" s="438">
        <f>+F201*$X$1</f>
        <v>175</v>
      </c>
      <c r="H201" s="1027" t="s">
        <v>420</v>
      </c>
      <c r="I201" s="1027"/>
      <c r="J201" s="1028"/>
      <c r="K201" s="1028"/>
      <c r="L201" s="1028"/>
      <c r="M201" s="1029"/>
      <c r="N201" s="626">
        <f t="shared" si="381"/>
        <v>221</v>
      </c>
      <c r="O201" s="349">
        <f t="shared" ref="O201:O204" si="406">+N201*$X$1</f>
        <v>221</v>
      </c>
      <c r="P201" s="626">
        <f t="shared" si="383"/>
        <v>217</v>
      </c>
      <c r="Q201" s="349">
        <f t="shared" ref="Q201:Q204" si="407">+P201*$X$1</f>
        <v>217</v>
      </c>
      <c r="R201" s="626">
        <f t="shared" si="385"/>
        <v>210</v>
      </c>
      <c r="S201" s="349">
        <f t="shared" ref="S201:S204" si="408">+R201*$X$1</f>
        <v>210</v>
      </c>
      <c r="T201" s="108">
        <f t="shared" si="387"/>
        <v>204</v>
      </c>
      <c r="U201" s="374">
        <f t="shared" ref="U201:U204" si="409">+T201*$X$1</f>
        <v>204</v>
      </c>
      <c r="V201" s="108">
        <f t="shared" si="389"/>
        <v>199</v>
      </c>
      <c r="W201" s="374">
        <f t="shared" ref="W201:W204" si="410">+V201*$X$1</f>
        <v>199</v>
      </c>
      <c r="X201" s="162"/>
      <c r="Y201" s="162"/>
      <c r="Z201" s="162"/>
      <c r="AA201" s="162"/>
      <c r="AB201" s="209">
        <v>539</v>
      </c>
    </row>
    <row r="202" spans="1:28" ht="12.6" customHeight="1" x14ac:dyDescent="0.2">
      <c r="A202" s="20"/>
      <c r="B202" s="814" t="s">
        <v>571</v>
      </c>
      <c r="C202" s="848"/>
      <c r="D202" s="848"/>
      <c r="E202" s="848"/>
      <c r="F202" s="375">
        <v>372</v>
      </c>
      <c r="G202" s="376">
        <f t="shared" si="398"/>
        <v>372</v>
      </c>
      <c r="H202" s="338"/>
      <c r="I202" s="338"/>
      <c r="J202" s="75"/>
      <c r="K202" s="348"/>
      <c r="L202" s="386"/>
      <c r="M202" s="348"/>
      <c r="N202" s="386">
        <f t="shared" si="381"/>
        <v>418</v>
      </c>
      <c r="O202" s="348">
        <f t="shared" si="406"/>
        <v>418</v>
      </c>
      <c r="P202" s="386">
        <f t="shared" si="383"/>
        <v>414</v>
      </c>
      <c r="Q202" s="348">
        <f t="shared" si="407"/>
        <v>414</v>
      </c>
      <c r="R202" s="386">
        <f t="shared" si="385"/>
        <v>407</v>
      </c>
      <c r="S202" s="348">
        <f t="shared" si="408"/>
        <v>407</v>
      </c>
      <c r="T202" s="109">
        <f t="shared" si="387"/>
        <v>401</v>
      </c>
      <c r="U202" s="306">
        <f t="shared" si="409"/>
        <v>401</v>
      </c>
      <c r="V202" s="109">
        <f t="shared" si="389"/>
        <v>396</v>
      </c>
      <c r="W202" s="306">
        <f t="shared" si="410"/>
        <v>396</v>
      </c>
      <c r="X202" s="162"/>
      <c r="Y202" s="162"/>
      <c r="Z202" s="162"/>
      <c r="AA202" s="162"/>
      <c r="AB202" s="209">
        <v>540</v>
      </c>
    </row>
    <row r="203" spans="1:28" ht="12.6" customHeight="1" x14ac:dyDescent="0.2">
      <c r="A203" s="20"/>
      <c r="B203" s="747" t="s">
        <v>573</v>
      </c>
      <c r="C203" s="855"/>
      <c r="D203" s="855"/>
      <c r="E203" s="855"/>
      <c r="F203" s="391">
        <v>670</v>
      </c>
      <c r="G203" s="417">
        <f t="shared" ref="G203" si="411">+F203*$X$1</f>
        <v>670</v>
      </c>
      <c r="H203" s="337"/>
      <c r="I203" s="337"/>
      <c r="J203" s="94"/>
      <c r="K203" s="349"/>
      <c r="L203" s="626"/>
      <c r="M203" s="349"/>
      <c r="N203" s="626">
        <f t="shared" si="381"/>
        <v>716</v>
      </c>
      <c r="O203" s="349">
        <f t="shared" si="406"/>
        <v>716</v>
      </c>
      <c r="P203" s="626">
        <f t="shared" si="383"/>
        <v>712</v>
      </c>
      <c r="Q203" s="349">
        <f t="shared" si="407"/>
        <v>712</v>
      </c>
      <c r="R203" s="626">
        <f t="shared" si="385"/>
        <v>705</v>
      </c>
      <c r="S203" s="349">
        <f t="shared" si="408"/>
        <v>705</v>
      </c>
      <c r="T203" s="108">
        <f t="shared" si="387"/>
        <v>699</v>
      </c>
      <c r="U203" s="374">
        <f t="shared" si="409"/>
        <v>699</v>
      </c>
      <c r="V203" s="108">
        <f t="shared" si="389"/>
        <v>694</v>
      </c>
      <c r="W203" s="374">
        <f t="shared" si="410"/>
        <v>694</v>
      </c>
      <c r="X203" s="162"/>
      <c r="Y203" s="162"/>
      <c r="Z203" s="162"/>
      <c r="AA203" s="162"/>
      <c r="AB203" s="209" t="s">
        <v>673</v>
      </c>
    </row>
    <row r="204" spans="1:28" ht="12.6" customHeight="1" x14ac:dyDescent="0.2">
      <c r="A204" s="20"/>
      <c r="B204" s="716" t="s">
        <v>520</v>
      </c>
      <c r="C204" s="717"/>
      <c r="D204" s="717"/>
      <c r="E204" s="718"/>
      <c r="F204" s="493">
        <f>18.74*X2</f>
        <v>17015.919999999998</v>
      </c>
      <c r="G204" s="376">
        <f t="shared" ref="G204" si="412">+F204*$X$1</f>
        <v>17015.919999999998</v>
      </c>
      <c r="H204" s="386">
        <f>F204+290</f>
        <v>17305.919999999998</v>
      </c>
      <c r="I204" s="348">
        <f>+H204*$X$1</f>
        <v>17305.919999999998</v>
      </c>
      <c r="J204" s="386">
        <f>F204+120</f>
        <v>17135.919999999998</v>
      </c>
      <c r="K204" s="348">
        <f t="shared" ref="K204" si="413">+J204*$X$1</f>
        <v>17135.919999999998</v>
      </c>
      <c r="L204" s="386">
        <f>F204+74</f>
        <v>17089.919999999998</v>
      </c>
      <c r="M204" s="348">
        <f t="shared" ref="M204" si="414">+L204*$X$1</f>
        <v>17089.919999999998</v>
      </c>
      <c r="N204" s="386">
        <f t="shared" si="381"/>
        <v>17061.919999999998</v>
      </c>
      <c r="O204" s="348">
        <f t="shared" si="406"/>
        <v>17061.919999999998</v>
      </c>
      <c r="P204" s="386">
        <f t="shared" si="383"/>
        <v>17057.919999999998</v>
      </c>
      <c r="Q204" s="348">
        <f t="shared" si="407"/>
        <v>17057.919999999998</v>
      </c>
      <c r="R204" s="386">
        <f t="shared" si="385"/>
        <v>17050.919999999998</v>
      </c>
      <c r="S204" s="348">
        <f t="shared" si="408"/>
        <v>17050.919999999998</v>
      </c>
      <c r="T204" s="109">
        <f t="shared" si="387"/>
        <v>17044.919999999998</v>
      </c>
      <c r="U204" s="306">
        <f t="shared" si="409"/>
        <v>17044.919999999998</v>
      </c>
      <c r="V204" s="109">
        <f t="shared" si="389"/>
        <v>17039.919999999998</v>
      </c>
      <c r="W204" s="306">
        <f t="shared" si="410"/>
        <v>17039.919999999998</v>
      </c>
      <c r="X204" s="162"/>
      <c r="Y204" s="162"/>
      <c r="Z204" s="162"/>
      <c r="AA204" s="162"/>
      <c r="AB204" s="209">
        <v>542</v>
      </c>
    </row>
    <row r="205" spans="1:28" ht="12.6" customHeight="1" x14ac:dyDescent="0.2">
      <c r="A205" s="20"/>
      <c r="B205" s="720" t="s">
        <v>572</v>
      </c>
      <c r="C205" s="721"/>
      <c r="D205" s="721"/>
      <c r="E205" s="721"/>
      <c r="F205" s="349"/>
      <c r="G205" s="349"/>
      <c r="H205" s="626"/>
      <c r="I205" s="626"/>
      <c r="J205" s="626"/>
      <c r="K205" s="349"/>
      <c r="L205" s="626"/>
      <c r="M205" s="349"/>
      <c r="N205" s="626"/>
      <c r="O205" s="349"/>
      <c r="P205" s="626"/>
      <c r="Q205" s="349"/>
      <c r="R205" s="626"/>
      <c r="S205" s="349"/>
      <c r="T205" s="626"/>
      <c r="U205" s="349"/>
      <c r="V205" s="94"/>
      <c r="W205" s="426"/>
      <c r="X205" s="162"/>
      <c r="Y205" s="162"/>
      <c r="Z205" s="162"/>
      <c r="AA205" s="162"/>
      <c r="AB205" s="209">
        <v>544</v>
      </c>
    </row>
    <row r="206" spans="1:28" ht="12.6" customHeight="1" x14ac:dyDescent="0.2">
      <c r="A206" s="20"/>
      <c r="B206" s="922" t="s">
        <v>207</v>
      </c>
      <c r="C206" s="1296"/>
      <c r="D206" s="1296"/>
      <c r="E206" s="1296"/>
      <c r="F206" s="415">
        <v>350</v>
      </c>
      <c r="G206" s="414">
        <f t="shared" ref="G206:G211" si="415">+F206*$X$1</f>
        <v>350</v>
      </c>
      <c r="H206" s="345"/>
      <c r="I206" s="345"/>
      <c r="J206" s="608">
        <f t="shared" ref="J206:J212" si="416">F206+120</f>
        <v>470</v>
      </c>
      <c r="K206" s="414">
        <f t="shared" ref="K206" si="417">+J206*$X$1</f>
        <v>470</v>
      </c>
      <c r="L206" s="608">
        <f t="shared" ref="L206:L212" si="418">F206+74</f>
        <v>424</v>
      </c>
      <c r="M206" s="414">
        <f t="shared" ref="M206" si="419">+L206*$X$1</f>
        <v>424</v>
      </c>
      <c r="N206" s="608">
        <f t="shared" ref="N206:N212" si="420">F206+46</f>
        <v>396</v>
      </c>
      <c r="O206" s="414">
        <f t="shared" ref="O206" si="421">+N206*$X$1</f>
        <v>396</v>
      </c>
      <c r="P206" s="110"/>
      <c r="Q206" s="928" t="s">
        <v>155</v>
      </c>
      <c r="R206" s="929"/>
      <c r="S206" s="929"/>
      <c r="T206" s="929"/>
      <c r="U206" s="929"/>
      <c r="V206" s="929"/>
      <c r="W206" s="930"/>
      <c r="X206" s="142"/>
      <c r="Y206" s="142"/>
      <c r="Z206" s="142"/>
      <c r="AA206" s="142"/>
      <c r="AB206" s="209">
        <v>547</v>
      </c>
    </row>
    <row r="207" spans="1:28" ht="12.6" customHeight="1" x14ac:dyDescent="0.2">
      <c r="A207" s="20"/>
      <c r="B207" s="716" t="s">
        <v>433</v>
      </c>
      <c r="C207" s="1025"/>
      <c r="D207" s="1025"/>
      <c r="E207" s="1026"/>
      <c r="F207" s="348">
        <v>3100</v>
      </c>
      <c r="G207" s="348">
        <f t="shared" si="415"/>
        <v>3100</v>
      </c>
      <c r="H207" s="338"/>
      <c r="I207" s="338"/>
      <c r="J207" s="386">
        <f t="shared" si="416"/>
        <v>3220</v>
      </c>
      <c r="K207" s="348">
        <f t="shared" ref="K207:K212" si="422">+J207*$X$1</f>
        <v>3220</v>
      </c>
      <c r="L207" s="386">
        <f t="shared" si="418"/>
        <v>3174</v>
      </c>
      <c r="M207" s="348">
        <f t="shared" ref="M207:M212" si="423">+L207*$X$1</f>
        <v>3174</v>
      </c>
      <c r="N207" s="386">
        <f t="shared" si="420"/>
        <v>3146</v>
      </c>
      <c r="O207" s="348">
        <f t="shared" ref="O207:O212" si="424">+N207*$X$1</f>
        <v>3146</v>
      </c>
      <c r="P207" s="386">
        <f t="shared" ref="P207:P212" si="425">F207+42</f>
        <v>3142</v>
      </c>
      <c r="Q207" s="348">
        <f t="shared" ref="Q207:Q212" si="426">+P207*$X$1</f>
        <v>3142</v>
      </c>
      <c r="R207" s="386">
        <f t="shared" ref="R207:R212" si="427">F207+35</f>
        <v>3135</v>
      </c>
      <c r="S207" s="348">
        <f t="shared" ref="S207:S212" si="428">+R207*$X$1</f>
        <v>3135</v>
      </c>
      <c r="T207" s="109">
        <f t="shared" ref="T207:T212" si="429">F207+29</f>
        <v>3129</v>
      </c>
      <c r="U207" s="306">
        <f t="shared" ref="U207:U212" si="430">+T207*$X$1</f>
        <v>3129</v>
      </c>
      <c r="V207" s="109">
        <f t="shared" ref="V207:V212" si="431">F207+24</f>
        <v>3124</v>
      </c>
      <c r="W207" s="306">
        <f t="shared" ref="W207:W212" si="432">+V207*$X$1</f>
        <v>3124</v>
      </c>
      <c r="X207" s="142"/>
      <c r="Y207" s="142"/>
      <c r="Z207" s="142"/>
      <c r="AA207" s="142"/>
      <c r="AB207" s="561"/>
    </row>
    <row r="208" spans="1:28" ht="12.6" customHeight="1" x14ac:dyDescent="0.2">
      <c r="A208" s="20"/>
      <c r="B208" s="700" t="s">
        <v>592</v>
      </c>
      <c r="C208" s="701"/>
      <c r="D208" s="701"/>
      <c r="E208" s="702"/>
      <c r="F208" s="391">
        <v>890</v>
      </c>
      <c r="G208" s="349">
        <f t="shared" si="415"/>
        <v>890</v>
      </c>
      <c r="H208" s="337"/>
      <c r="I208" s="337"/>
      <c r="J208" s="607">
        <f t="shared" si="416"/>
        <v>1010</v>
      </c>
      <c r="K208" s="349">
        <f t="shared" si="422"/>
        <v>1010</v>
      </c>
      <c r="L208" s="607">
        <f t="shared" si="418"/>
        <v>964</v>
      </c>
      <c r="M208" s="349">
        <f t="shared" si="423"/>
        <v>964</v>
      </c>
      <c r="N208" s="607">
        <f t="shared" si="420"/>
        <v>936</v>
      </c>
      <c r="O208" s="349">
        <f t="shared" si="424"/>
        <v>936</v>
      </c>
      <c r="P208" s="607">
        <f t="shared" si="425"/>
        <v>932</v>
      </c>
      <c r="Q208" s="349">
        <f t="shared" si="426"/>
        <v>932</v>
      </c>
      <c r="R208" s="607">
        <f t="shared" si="427"/>
        <v>925</v>
      </c>
      <c r="S208" s="349">
        <f t="shared" si="428"/>
        <v>925</v>
      </c>
      <c r="T208" s="108">
        <f t="shared" si="429"/>
        <v>919</v>
      </c>
      <c r="U208" s="374">
        <f t="shared" si="430"/>
        <v>919</v>
      </c>
      <c r="V208" s="108">
        <f t="shared" si="431"/>
        <v>914</v>
      </c>
      <c r="W208" s="374">
        <f t="shared" si="432"/>
        <v>914</v>
      </c>
      <c r="X208" s="162"/>
      <c r="Y208" s="162"/>
      <c r="Z208" s="162"/>
      <c r="AA208" s="162"/>
      <c r="AB208" s="209"/>
    </row>
    <row r="209" spans="1:28" ht="12.6" customHeight="1" x14ac:dyDescent="0.2">
      <c r="A209" s="20"/>
      <c r="B209" s="716" t="s">
        <v>544</v>
      </c>
      <c r="C209" s="1025"/>
      <c r="D209" s="1025"/>
      <c r="E209" s="1026"/>
      <c r="F209" s="348">
        <v>2990</v>
      </c>
      <c r="G209" s="348">
        <f t="shared" si="415"/>
        <v>2990</v>
      </c>
      <c r="H209" s="338"/>
      <c r="I209" s="338"/>
      <c r="J209" s="386">
        <f t="shared" si="416"/>
        <v>3110</v>
      </c>
      <c r="K209" s="348">
        <f t="shared" si="422"/>
        <v>3110</v>
      </c>
      <c r="L209" s="386">
        <f t="shared" si="418"/>
        <v>3064</v>
      </c>
      <c r="M209" s="348">
        <f t="shared" si="423"/>
        <v>3064</v>
      </c>
      <c r="N209" s="386">
        <f t="shared" si="420"/>
        <v>3036</v>
      </c>
      <c r="O209" s="348">
        <f t="shared" si="424"/>
        <v>3036</v>
      </c>
      <c r="P209" s="386">
        <f t="shared" si="425"/>
        <v>3032</v>
      </c>
      <c r="Q209" s="348">
        <f t="shared" si="426"/>
        <v>3032</v>
      </c>
      <c r="R209" s="386">
        <f t="shared" si="427"/>
        <v>3025</v>
      </c>
      <c r="S209" s="348">
        <f t="shared" si="428"/>
        <v>3025</v>
      </c>
      <c r="T209" s="109">
        <f t="shared" si="429"/>
        <v>3019</v>
      </c>
      <c r="U209" s="306">
        <f t="shared" si="430"/>
        <v>3019</v>
      </c>
      <c r="V209" s="109">
        <f t="shared" si="431"/>
        <v>3014</v>
      </c>
      <c r="W209" s="306">
        <f t="shared" si="432"/>
        <v>3014</v>
      </c>
      <c r="X209" s="142"/>
      <c r="Y209" s="142"/>
      <c r="Z209" s="142"/>
      <c r="AA209" s="142"/>
      <c r="AB209" s="209">
        <v>551</v>
      </c>
    </row>
    <row r="210" spans="1:28" ht="12.6" customHeight="1" x14ac:dyDescent="0.2">
      <c r="A210" s="20"/>
      <c r="B210" s="1297" t="s">
        <v>542</v>
      </c>
      <c r="C210" s="1298"/>
      <c r="D210" s="1298"/>
      <c r="E210" s="1299"/>
      <c r="F210" s="391">
        <v>3350</v>
      </c>
      <c r="G210" s="349">
        <f t="shared" si="415"/>
        <v>3350</v>
      </c>
      <c r="H210" s="337"/>
      <c r="I210" s="337"/>
      <c r="J210" s="607">
        <f t="shared" si="416"/>
        <v>3470</v>
      </c>
      <c r="K210" s="349">
        <f t="shared" si="422"/>
        <v>3470</v>
      </c>
      <c r="L210" s="607">
        <f t="shared" si="418"/>
        <v>3424</v>
      </c>
      <c r="M210" s="349">
        <f t="shared" si="423"/>
        <v>3424</v>
      </c>
      <c r="N210" s="607">
        <f t="shared" si="420"/>
        <v>3396</v>
      </c>
      <c r="O210" s="349">
        <f t="shared" si="424"/>
        <v>3396</v>
      </c>
      <c r="P210" s="607">
        <f t="shared" si="425"/>
        <v>3392</v>
      </c>
      <c r="Q210" s="349">
        <f t="shared" si="426"/>
        <v>3392</v>
      </c>
      <c r="R210" s="607">
        <f t="shared" si="427"/>
        <v>3385</v>
      </c>
      <c r="S210" s="349">
        <f t="shared" si="428"/>
        <v>3385</v>
      </c>
      <c r="T210" s="108">
        <f t="shared" si="429"/>
        <v>3379</v>
      </c>
      <c r="U210" s="374">
        <f t="shared" si="430"/>
        <v>3379</v>
      </c>
      <c r="V210" s="108">
        <f t="shared" si="431"/>
        <v>3374</v>
      </c>
      <c r="W210" s="374">
        <f t="shared" si="432"/>
        <v>3374</v>
      </c>
      <c r="X210" s="142"/>
      <c r="Y210" s="142"/>
      <c r="Z210" s="142"/>
      <c r="AA210" s="142"/>
      <c r="AB210" s="209" t="s">
        <v>541</v>
      </c>
    </row>
    <row r="211" spans="1:28" ht="12.6" customHeight="1" x14ac:dyDescent="0.2">
      <c r="A211" s="20"/>
      <c r="B211" s="976" t="s">
        <v>543</v>
      </c>
      <c r="C211" s="977"/>
      <c r="D211" s="977"/>
      <c r="E211" s="978"/>
      <c r="F211" s="375">
        <v>3600</v>
      </c>
      <c r="G211" s="348">
        <f t="shared" si="415"/>
        <v>3600</v>
      </c>
      <c r="H211" s="338"/>
      <c r="I211" s="338"/>
      <c r="J211" s="386">
        <f t="shared" si="416"/>
        <v>3720</v>
      </c>
      <c r="K211" s="348">
        <f t="shared" si="422"/>
        <v>3720</v>
      </c>
      <c r="L211" s="386">
        <f t="shared" si="418"/>
        <v>3674</v>
      </c>
      <c r="M211" s="348">
        <f t="shared" si="423"/>
        <v>3674</v>
      </c>
      <c r="N211" s="386">
        <f t="shared" si="420"/>
        <v>3646</v>
      </c>
      <c r="O211" s="348">
        <f t="shared" si="424"/>
        <v>3646</v>
      </c>
      <c r="P211" s="386">
        <f t="shared" si="425"/>
        <v>3642</v>
      </c>
      <c r="Q211" s="348">
        <f t="shared" si="426"/>
        <v>3642</v>
      </c>
      <c r="R211" s="386">
        <f t="shared" si="427"/>
        <v>3635</v>
      </c>
      <c r="S211" s="348">
        <f t="shared" si="428"/>
        <v>3635</v>
      </c>
      <c r="T211" s="109">
        <f t="shared" si="429"/>
        <v>3629</v>
      </c>
      <c r="U211" s="306">
        <f t="shared" si="430"/>
        <v>3629</v>
      </c>
      <c r="V211" s="109">
        <f t="shared" si="431"/>
        <v>3624</v>
      </c>
      <c r="W211" s="306">
        <f t="shared" si="432"/>
        <v>3624</v>
      </c>
      <c r="X211" s="142"/>
      <c r="Y211" s="142"/>
      <c r="Z211" s="142"/>
      <c r="AA211" s="142"/>
      <c r="AB211" s="209" t="s">
        <v>545</v>
      </c>
    </row>
    <row r="212" spans="1:28" ht="12.6" customHeight="1" x14ac:dyDescent="0.2">
      <c r="A212" s="20"/>
      <c r="B212" s="720" t="s">
        <v>485</v>
      </c>
      <c r="C212" s="740"/>
      <c r="D212" s="740"/>
      <c r="E212" s="740"/>
      <c r="F212" s="349">
        <v>3220</v>
      </c>
      <c r="G212" s="349">
        <f t="shared" ref="G212" si="433">+F212*$X$1</f>
        <v>3220</v>
      </c>
      <c r="H212" s="337"/>
      <c r="I212" s="337"/>
      <c r="J212" s="607">
        <f t="shared" si="416"/>
        <v>3340</v>
      </c>
      <c r="K212" s="349">
        <f t="shared" si="422"/>
        <v>3340</v>
      </c>
      <c r="L212" s="607">
        <f t="shared" si="418"/>
        <v>3294</v>
      </c>
      <c r="M212" s="349">
        <f t="shared" si="423"/>
        <v>3294</v>
      </c>
      <c r="N212" s="607">
        <f t="shared" si="420"/>
        <v>3266</v>
      </c>
      <c r="O212" s="349">
        <f t="shared" si="424"/>
        <v>3266</v>
      </c>
      <c r="P212" s="607">
        <f t="shared" si="425"/>
        <v>3262</v>
      </c>
      <c r="Q212" s="349">
        <f t="shared" si="426"/>
        <v>3262</v>
      </c>
      <c r="R212" s="607">
        <f t="shared" si="427"/>
        <v>3255</v>
      </c>
      <c r="S212" s="349">
        <f t="shared" si="428"/>
        <v>3255</v>
      </c>
      <c r="T212" s="108">
        <f t="shared" si="429"/>
        <v>3249</v>
      </c>
      <c r="U212" s="374">
        <f t="shared" si="430"/>
        <v>3249</v>
      </c>
      <c r="V212" s="108">
        <f t="shared" si="431"/>
        <v>3244</v>
      </c>
      <c r="W212" s="374">
        <f t="shared" si="432"/>
        <v>3244</v>
      </c>
      <c r="X212" s="142"/>
      <c r="Y212" s="142"/>
      <c r="Z212" s="142"/>
      <c r="AA212" s="142"/>
      <c r="AB212" s="209">
        <v>553</v>
      </c>
    </row>
    <row r="213" spans="1:28" ht="12.6" customHeight="1" x14ac:dyDescent="0.2">
      <c r="A213" s="20"/>
      <c r="B213" s="716" t="s">
        <v>526</v>
      </c>
      <c r="C213" s="717"/>
      <c r="D213" s="717"/>
      <c r="E213" s="718"/>
      <c r="F213" s="386"/>
      <c r="G213" s="386"/>
      <c r="H213" s="386"/>
      <c r="I213" s="386"/>
      <c r="J213" s="386"/>
      <c r="K213" s="386"/>
      <c r="L213" s="386"/>
      <c r="M213" s="386"/>
      <c r="N213" s="386"/>
      <c r="O213" s="386"/>
      <c r="P213" s="386"/>
      <c r="Q213" s="386"/>
      <c r="R213" s="75"/>
      <c r="S213" s="75"/>
      <c r="T213" s="75"/>
      <c r="U213" s="75"/>
      <c r="V213" s="75"/>
      <c r="W213" s="75"/>
      <c r="X213" s="165"/>
      <c r="Y213" s="147"/>
      <c r="Z213" s="142"/>
      <c r="AA213" s="142"/>
      <c r="AB213" s="209">
        <v>563</v>
      </c>
    </row>
    <row r="214" spans="1:28" ht="12.6" customHeight="1" x14ac:dyDescent="0.2">
      <c r="A214" s="20"/>
      <c r="B214" s="720" t="s">
        <v>208</v>
      </c>
      <c r="C214" s="740"/>
      <c r="D214" s="740"/>
      <c r="E214" s="740"/>
      <c r="F214" s="108"/>
      <c r="G214" s="99"/>
      <c r="H214" s="108"/>
      <c r="I214" s="99"/>
      <c r="J214" s="108"/>
      <c r="K214" s="99"/>
      <c r="L214" s="108"/>
      <c r="M214" s="99"/>
      <c r="N214" s="108"/>
      <c r="O214" s="99"/>
      <c r="P214" s="108"/>
      <c r="Q214" s="99"/>
      <c r="R214" s="95"/>
      <c r="S214" s="93"/>
      <c r="T214" s="95"/>
      <c r="U214" s="93"/>
      <c r="V214" s="95"/>
      <c r="W214" s="410"/>
      <c r="X214" s="821"/>
      <c r="Y214" s="822"/>
      <c r="Z214" s="822"/>
      <c r="AA214" s="822"/>
      <c r="AB214" s="209">
        <v>572</v>
      </c>
    </row>
    <row r="215" spans="1:28" ht="12.6" customHeight="1" x14ac:dyDescent="0.2">
      <c r="A215" s="20"/>
      <c r="B215" s="814" t="s">
        <v>750</v>
      </c>
      <c r="C215" s="848"/>
      <c r="D215" s="848"/>
      <c r="E215" s="848"/>
      <c r="F215" s="493">
        <f>7.391*X2</f>
        <v>6711.0280000000002</v>
      </c>
      <c r="G215" s="376">
        <f t="shared" ref="G215" si="434">+F215*$X$1</f>
        <v>6711.0280000000002</v>
      </c>
      <c r="H215" s="338"/>
      <c r="I215" s="338"/>
      <c r="J215" s="386">
        <f>F215+120</f>
        <v>6831.0280000000002</v>
      </c>
      <c r="K215" s="348">
        <f t="shared" ref="K215" si="435">+J215*$X$1</f>
        <v>6831.0280000000002</v>
      </c>
      <c r="L215" s="386">
        <f t="shared" ref="L215:L223" si="436">F215+74</f>
        <v>6785.0280000000002</v>
      </c>
      <c r="M215" s="348">
        <f t="shared" ref="M215" si="437">+L215*$X$1</f>
        <v>6785.0280000000002</v>
      </c>
      <c r="N215" s="386">
        <f t="shared" ref="N215:N223" si="438">F215+46</f>
        <v>6757.0280000000002</v>
      </c>
      <c r="O215" s="348">
        <f t="shared" ref="O215" si="439">+N215*$X$1</f>
        <v>6757.0280000000002</v>
      </c>
      <c r="P215" s="386">
        <f>F215+42</f>
        <v>6753.0280000000002</v>
      </c>
      <c r="Q215" s="348">
        <f t="shared" ref="Q215" si="440">+P215*$X$1</f>
        <v>6753.0280000000002</v>
      </c>
      <c r="R215" s="386">
        <f>F215+35</f>
        <v>6746.0280000000002</v>
      </c>
      <c r="S215" s="348">
        <f t="shared" ref="S215" si="441">+R215*$X$1</f>
        <v>6746.0280000000002</v>
      </c>
      <c r="T215" s="109">
        <f>F215+29</f>
        <v>6740.0280000000002</v>
      </c>
      <c r="U215" s="306">
        <f t="shared" ref="U215" si="442">+T215*$X$1</f>
        <v>6740.0280000000002</v>
      </c>
      <c r="V215" s="109">
        <f>F215+24</f>
        <v>6735.0280000000002</v>
      </c>
      <c r="W215" s="306">
        <f t="shared" ref="W215" si="443">+V215*$X$1</f>
        <v>6735.0280000000002</v>
      </c>
      <c r="X215" s="162"/>
      <c r="Y215" s="162"/>
      <c r="Z215" s="162"/>
      <c r="AA215" s="162"/>
      <c r="AB215" s="209">
        <v>616</v>
      </c>
    </row>
    <row r="216" spans="1:28" ht="12.6" customHeight="1" x14ac:dyDescent="0.2">
      <c r="A216" s="20"/>
      <c r="B216" s="1001" t="s">
        <v>425</v>
      </c>
      <c r="C216" s="1002"/>
      <c r="D216" s="1002"/>
      <c r="E216" s="1002"/>
      <c r="F216" s="414">
        <v>180</v>
      </c>
      <c r="G216" s="414">
        <f t="shared" ref="G216:G219" si="444">+F216*$X$1</f>
        <v>180</v>
      </c>
      <c r="H216" s="345"/>
      <c r="I216" s="423"/>
      <c r="J216" s="110">
        <f>F216+120</f>
        <v>300</v>
      </c>
      <c r="K216" s="414">
        <f>+J216*$X$1</f>
        <v>300</v>
      </c>
      <c r="L216" s="608">
        <f t="shared" si="436"/>
        <v>254</v>
      </c>
      <c r="M216" s="414">
        <f t="shared" ref="M216:M223" si="445">+L216*$X$1</f>
        <v>254</v>
      </c>
      <c r="N216" s="608">
        <f t="shared" si="438"/>
        <v>226</v>
      </c>
      <c r="O216" s="414">
        <f t="shared" ref="O216" si="446">+N216*$X$1</f>
        <v>226</v>
      </c>
      <c r="P216" s="608"/>
      <c r="Q216" s="608"/>
      <c r="R216" s="608"/>
      <c r="S216" s="608"/>
      <c r="T216" s="608"/>
      <c r="U216" s="608"/>
      <c r="V216" s="110"/>
      <c r="W216" s="110"/>
      <c r="X216" s="162"/>
      <c r="Y216" s="162"/>
      <c r="Z216" s="162"/>
      <c r="AA216" s="162"/>
      <c r="AB216" s="209">
        <v>618</v>
      </c>
    </row>
    <row r="217" spans="1:28" ht="12.6" customHeight="1" x14ac:dyDescent="0.2">
      <c r="A217" s="112"/>
      <c r="B217" s="738" t="s">
        <v>584</v>
      </c>
      <c r="C217" s="739"/>
      <c r="D217" s="739"/>
      <c r="E217" s="739"/>
      <c r="F217" s="414">
        <v>400</v>
      </c>
      <c r="G217" s="414">
        <f t="shared" si="444"/>
        <v>400</v>
      </c>
      <c r="H217" s="625"/>
      <c r="I217" s="414"/>
      <c r="J217" s="345"/>
      <c r="K217" s="423"/>
      <c r="L217" s="625">
        <f t="shared" si="436"/>
        <v>474</v>
      </c>
      <c r="M217" s="414">
        <f t="shared" si="445"/>
        <v>474</v>
      </c>
      <c r="N217" s="625"/>
      <c r="O217" s="414"/>
      <c r="P217" s="625">
        <f>F217+5.1</f>
        <v>405.1</v>
      </c>
      <c r="Q217" s="1021" t="s">
        <v>155</v>
      </c>
      <c r="R217" s="1022"/>
      <c r="S217" s="1022"/>
      <c r="T217" s="1022"/>
      <c r="U217" s="1022"/>
      <c r="V217" s="1022"/>
      <c r="W217" s="1022"/>
      <c r="X217" s="143"/>
      <c r="Y217" s="162"/>
      <c r="Z217" s="162"/>
      <c r="AA217" s="162"/>
      <c r="AB217" s="209">
        <v>621</v>
      </c>
    </row>
    <row r="218" spans="1:28" ht="12.6" customHeight="1" x14ac:dyDescent="0.2">
      <c r="A218" s="23"/>
      <c r="B218" s="706" t="s">
        <v>209</v>
      </c>
      <c r="C218" s="707"/>
      <c r="D218" s="707"/>
      <c r="E218" s="707"/>
      <c r="F218" s="487">
        <f>2.93*X2</f>
        <v>2660.44</v>
      </c>
      <c r="G218" s="348">
        <f>+F218*$X$1</f>
        <v>2660.44</v>
      </c>
      <c r="H218" s="390"/>
      <c r="I218" s="424"/>
      <c r="J218" s="386">
        <f t="shared" ref="J218:J223" si="447">F218+120</f>
        <v>2780.44</v>
      </c>
      <c r="K218" s="348">
        <f t="shared" ref="K218:K224" si="448">+J218*$X$1</f>
        <v>2780.44</v>
      </c>
      <c r="L218" s="386">
        <f t="shared" si="436"/>
        <v>2734.44</v>
      </c>
      <c r="M218" s="348">
        <f t="shared" si="445"/>
        <v>2734.44</v>
      </c>
      <c r="N218" s="386">
        <f t="shared" si="438"/>
        <v>2706.44</v>
      </c>
      <c r="O218" s="348">
        <f t="shared" ref="O218:O223" si="449">+N218*$X$1</f>
        <v>2706.44</v>
      </c>
      <c r="P218" s="386">
        <f t="shared" ref="P218:P223" si="450">F218+42</f>
        <v>2702.44</v>
      </c>
      <c r="Q218" s="348">
        <f t="shared" ref="Q218:Q223" si="451">+P218*$X$1</f>
        <v>2702.44</v>
      </c>
      <c r="R218" s="386">
        <f t="shared" ref="R218:R223" si="452">F218+35</f>
        <v>2695.44</v>
      </c>
      <c r="S218" s="348">
        <f t="shared" ref="S218:S223" si="453">+R218*$X$1</f>
        <v>2695.44</v>
      </c>
      <c r="T218" s="109">
        <f t="shared" ref="T218:T223" si="454">F218+29</f>
        <v>2689.44</v>
      </c>
      <c r="U218" s="306">
        <f t="shared" ref="U218:U223" si="455">+T218*$X$1</f>
        <v>2689.44</v>
      </c>
      <c r="V218" s="109">
        <f t="shared" ref="V218:V223" si="456">F218+24</f>
        <v>2684.44</v>
      </c>
      <c r="W218" s="306">
        <f t="shared" ref="W218:W223" si="457">+V218*$X$1</f>
        <v>2684.44</v>
      </c>
      <c r="X218" s="162"/>
      <c r="Y218" s="171"/>
      <c r="Z218" s="162"/>
      <c r="AA218" s="162"/>
      <c r="AB218" s="209">
        <v>624</v>
      </c>
    </row>
    <row r="219" spans="1:28" ht="12.6" customHeight="1" x14ac:dyDescent="0.2">
      <c r="A219" s="23"/>
      <c r="B219" s="997" t="s">
        <v>210</v>
      </c>
      <c r="C219" s="998"/>
      <c r="D219" s="998"/>
      <c r="E219" s="998"/>
      <c r="F219" s="488">
        <f>5.057*X2</f>
        <v>4591.7560000000003</v>
      </c>
      <c r="G219" s="349">
        <f t="shared" si="444"/>
        <v>4591.7560000000003</v>
      </c>
      <c r="H219" s="347"/>
      <c r="I219" s="425"/>
      <c r="J219" s="607">
        <f t="shared" si="447"/>
        <v>4711.7560000000003</v>
      </c>
      <c r="K219" s="349">
        <f t="shared" si="448"/>
        <v>4711.7560000000003</v>
      </c>
      <c r="L219" s="607">
        <f t="shared" si="436"/>
        <v>4665.7560000000003</v>
      </c>
      <c r="M219" s="349">
        <f t="shared" si="445"/>
        <v>4665.7560000000003</v>
      </c>
      <c r="N219" s="607">
        <f t="shared" si="438"/>
        <v>4637.7560000000003</v>
      </c>
      <c r="O219" s="349">
        <f t="shared" si="449"/>
        <v>4637.7560000000003</v>
      </c>
      <c r="P219" s="607">
        <f t="shared" si="450"/>
        <v>4633.7560000000003</v>
      </c>
      <c r="Q219" s="349">
        <f t="shared" si="451"/>
        <v>4633.7560000000003</v>
      </c>
      <c r="R219" s="607">
        <f t="shared" si="452"/>
        <v>4626.7560000000003</v>
      </c>
      <c r="S219" s="349">
        <f t="shared" si="453"/>
        <v>4626.7560000000003</v>
      </c>
      <c r="T219" s="108">
        <f t="shared" si="454"/>
        <v>4620.7560000000003</v>
      </c>
      <c r="U219" s="374">
        <f t="shared" si="455"/>
        <v>4620.7560000000003</v>
      </c>
      <c r="V219" s="108">
        <f t="shared" si="456"/>
        <v>4615.7560000000003</v>
      </c>
      <c r="W219" s="374">
        <f t="shared" si="457"/>
        <v>4615.7560000000003</v>
      </c>
      <c r="X219" s="162"/>
      <c r="Y219" s="171"/>
      <c r="Z219" s="162"/>
      <c r="AA219" s="162"/>
      <c r="AB219" s="209" t="s">
        <v>211</v>
      </c>
    </row>
    <row r="220" spans="1:28" ht="12.6" customHeight="1" x14ac:dyDescent="0.2">
      <c r="A220" s="23"/>
      <c r="B220" s="716" t="s">
        <v>212</v>
      </c>
      <c r="C220" s="717"/>
      <c r="D220" s="717"/>
      <c r="E220" s="718"/>
      <c r="F220" s="487">
        <f>5.595*X2</f>
        <v>5080.26</v>
      </c>
      <c r="G220" s="348">
        <f t="shared" ref="G220:G225" si="458">+F220*$X$1</f>
        <v>5080.26</v>
      </c>
      <c r="H220" s="390"/>
      <c r="I220" s="424"/>
      <c r="J220" s="386">
        <f t="shared" si="447"/>
        <v>5200.26</v>
      </c>
      <c r="K220" s="348">
        <f t="shared" si="448"/>
        <v>5200.26</v>
      </c>
      <c r="L220" s="386">
        <f t="shared" si="436"/>
        <v>5154.26</v>
      </c>
      <c r="M220" s="348">
        <f t="shared" si="445"/>
        <v>5154.26</v>
      </c>
      <c r="N220" s="386">
        <f t="shared" si="438"/>
        <v>5126.26</v>
      </c>
      <c r="O220" s="348">
        <f t="shared" si="449"/>
        <v>5126.26</v>
      </c>
      <c r="P220" s="386">
        <f t="shared" si="450"/>
        <v>5122.26</v>
      </c>
      <c r="Q220" s="348">
        <f t="shared" si="451"/>
        <v>5122.26</v>
      </c>
      <c r="R220" s="386">
        <f t="shared" si="452"/>
        <v>5115.26</v>
      </c>
      <c r="S220" s="348">
        <f t="shared" si="453"/>
        <v>5115.26</v>
      </c>
      <c r="T220" s="109">
        <f t="shared" si="454"/>
        <v>5109.26</v>
      </c>
      <c r="U220" s="306">
        <f t="shared" si="455"/>
        <v>5109.26</v>
      </c>
      <c r="V220" s="109">
        <f t="shared" si="456"/>
        <v>5104.26</v>
      </c>
      <c r="W220" s="306">
        <f t="shared" si="457"/>
        <v>5104.26</v>
      </c>
      <c r="X220" s="162"/>
      <c r="Y220" s="171"/>
      <c r="Z220" s="162"/>
      <c r="AA220" s="162"/>
      <c r="AB220" s="209">
        <v>629</v>
      </c>
    </row>
    <row r="221" spans="1:28" ht="12.6" customHeight="1" x14ac:dyDescent="0.2">
      <c r="A221" s="23"/>
      <c r="B221" s="700" t="s">
        <v>496</v>
      </c>
      <c r="C221" s="701"/>
      <c r="D221" s="701"/>
      <c r="E221" s="702"/>
      <c r="F221" s="488">
        <f>10.631*X2</f>
        <v>9652.9480000000003</v>
      </c>
      <c r="G221" s="349">
        <f t="shared" si="458"/>
        <v>9652.9480000000003</v>
      </c>
      <c r="H221" s="347"/>
      <c r="I221" s="425"/>
      <c r="J221" s="607">
        <f t="shared" si="447"/>
        <v>9772.9480000000003</v>
      </c>
      <c r="K221" s="349">
        <f t="shared" si="448"/>
        <v>9772.9480000000003</v>
      </c>
      <c r="L221" s="607">
        <f t="shared" si="436"/>
        <v>9726.9480000000003</v>
      </c>
      <c r="M221" s="349">
        <f t="shared" si="445"/>
        <v>9726.9480000000003</v>
      </c>
      <c r="N221" s="607">
        <f t="shared" si="438"/>
        <v>9698.9480000000003</v>
      </c>
      <c r="O221" s="349">
        <f t="shared" si="449"/>
        <v>9698.9480000000003</v>
      </c>
      <c r="P221" s="607">
        <f t="shared" si="450"/>
        <v>9694.9480000000003</v>
      </c>
      <c r="Q221" s="349">
        <f t="shared" si="451"/>
        <v>9694.9480000000003</v>
      </c>
      <c r="R221" s="607">
        <f t="shared" si="452"/>
        <v>9687.9480000000003</v>
      </c>
      <c r="S221" s="349">
        <f t="shared" si="453"/>
        <v>9687.9480000000003</v>
      </c>
      <c r="T221" s="108">
        <f t="shared" si="454"/>
        <v>9681.9480000000003</v>
      </c>
      <c r="U221" s="374">
        <f t="shared" si="455"/>
        <v>9681.9480000000003</v>
      </c>
      <c r="V221" s="108">
        <f t="shared" si="456"/>
        <v>9676.9480000000003</v>
      </c>
      <c r="W221" s="374">
        <f t="shared" si="457"/>
        <v>9676.9480000000003</v>
      </c>
      <c r="X221" s="162"/>
      <c r="Y221" s="171"/>
      <c r="Z221" s="162"/>
      <c r="AA221" s="162"/>
      <c r="AB221" s="209">
        <v>630</v>
      </c>
    </row>
    <row r="222" spans="1:28" ht="12.6" customHeight="1" x14ac:dyDescent="0.2">
      <c r="A222" s="23"/>
      <c r="B222" s="716" t="s">
        <v>650</v>
      </c>
      <c r="C222" s="717"/>
      <c r="D222" s="717"/>
      <c r="E222" s="718"/>
      <c r="F222" s="487">
        <f>1.326*X2</f>
        <v>1204.008</v>
      </c>
      <c r="G222" s="350">
        <f t="shared" ref="G222" si="459">+F222*$X$1</f>
        <v>1204.008</v>
      </c>
      <c r="H222" s="390"/>
      <c r="I222" s="433"/>
      <c r="J222" s="386">
        <f t="shared" si="447"/>
        <v>1324.008</v>
      </c>
      <c r="K222" s="348">
        <f t="shared" si="448"/>
        <v>1324.008</v>
      </c>
      <c r="L222" s="386">
        <f t="shared" si="436"/>
        <v>1278.008</v>
      </c>
      <c r="M222" s="348">
        <f t="shared" si="445"/>
        <v>1278.008</v>
      </c>
      <c r="N222" s="386">
        <f t="shared" si="438"/>
        <v>1250.008</v>
      </c>
      <c r="O222" s="348">
        <f t="shared" si="449"/>
        <v>1250.008</v>
      </c>
      <c r="P222" s="386">
        <f t="shared" si="450"/>
        <v>1246.008</v>
      </c>
      <c r="Q222" s="348">
        <f t="shared" si="451"/>
        <v>1246.008</v>
      </c>
      <c r="R222" s="386">
        <f t="shared" si="452"/>
        <v>1239.008</v>
      </c>
      <c r="S222" s="348">
        <f t="shared" si="453"/>
        <v>1239.008</v>
      </c>
      <c r="T222" s="109">
        <f t="shared" si="454"/>
        <v>1233.008</v>
      </c>
      <c r="U222" s="306">
        <f t="shared" si="455"/>
        <v>1233.008</v>
      </c>
      <c r="V222" s="109">
        <f t="shared" si="456"/>
        <v>1228.008</v>
      </c>
      <c r="W222" s="306">
        <f t="shared" si="457"/>
        <v>1228.008</v>
      </c>
      <c r="X222" s="162"/>
      <c r="Y222" s="171"/>
      <c r="Z222" s="162"/>
      <c r="AA222" s="162"/>
      <c r="AB222" s="209">
        <v>631</v>
      </c>
    </row>
    <row r="223" spans="1:28" ht="12.6" customHeight="1" x14ac:dyDescent="0.2">
      <c r="A223" s="23"/>
      <c r="B223" s="700" t="s">
        <v>607</v>
      </c>
      <c r="C223" s="701"/>
      <c r="D223" s="701"/>
      <c r="E223" s="702"/>
      <c r="F223" s="488">
        <f>1.352*X2</f>
        <v>1227.616</v>
      </c>
      <c r="G223" s="351">
        <f t="shared" si="458"/>
        <v>1227.616</v>
      </c>
      <c r="H223" s="347"/>
      <c r="I223" s="434"/>
      <c r="J223" s="607">
        <f t="shared" si="447"/>
        <v>1347.616</v>
      </c>
      <c r="K223" s="349">
        <f t="shared" si="448"/>
        <v>1347.616</v>
      </c>
      <c r="L223" s="607">
        <f t="shared" si="436"/>
        <v>1301.616</v>
      </c>
      <c r="M223" s="349">
        <f t="shared" si="445"/>
        <v>1301.616</v>
      </c>
      <c r="N223" s="607">
        <f t="shared" si="438"/>
        <v>1273.616</v>
      </c>
      <c r="O223" s="349">
        <f t="shared" si="449"/>
        <v>1273.616</v>
      </c>
      <c r="P223" s="607">
        <f t="shared" si="450"/>
        <v>1269.616</v>
      </c>
      <c r="Q223" s="349">
        <f t="shared" si="451"/>
        <v>1269.616</v>
      </c>
      <c r="R223" s="607">
        <f t="shared" si="452"/>
        <v>1262.616</v>
      </c>
      <c r="S223" s="349">
        <f t="shared" si="453"/>
        <v>1262.616</v>
      </c>
      <c r="T223" s="108">
        <f t="shared" si="454"/>
        <v>1256.616</v>
      </c>
      <c r="U223" s="374">
        <f t="shared" si="455"/>
        <v>1256.616</v>
      </c>
      <c r="V223" s="108">
        <f t="shared" si="456"/>
        <v>1251.616</v>
      </c>
      <c r="W223" s="374">
        <f t="shared" si="457"/>
        <v>1251.616</v>
      </c>
      <c r="X223" s="162"/>
      <c r="Y223" s="171"/>
      <c r="Z223" s="162"/>
      <c r="AA223" s="162"/>
      <c r="AB223" s="209">
        <v>640</v>
      </c>
    </row>
    <row r="224" spans="1:28" ht="12.6" customHeight="1" x14ac:dyDescent="0.2">
      <c r="A224" s="23"/>
      <c r="B224" s="716" t="s">
        <v>629</v>
      </c>
      <c r="C224" s="717"/>
      <c r="D224" s="717"/>
      <c r="E224" s="718"/>
      <c r="F224" s="487">
        <f>21.95*X2</f>
        <v>19930.599999999999</v>
      </c>
      <c r="G224" s="350">
        <f t="shared" si="458"/>
        <v>19930.599999999999</v>
      </c>
      <c r="H224" s="386">
        <f>F224+250</f>
        <v>20180.599999999999</v>
      </c>
      <c r="I224" s="348">
        <f t="shared" ref="I224" si="460">+H224*$X$1</f>
        <v>20180.599999999999</v>
      </c>
      <c r="J224" s="386">
        <f>F224+80</f>
        <v>20010.599999999999</v>
      </c>
      <c r="K224" s="348">
        <f t="shared" si="448"/>
        <v>20010.599999999999</v>
      </c>
      <c r="L224" s="386"/>
      <c r="M224" s="348"/>
      <c r="N224" s="386"/>
      <c r="O224" s="348"/>
      <c r="P224" s="386"/>
      <c r="Q224" s="348"/>
      <c r="R224" s="386"/>
      <c r="S224" s="348"/>
      <c r="T224" s="386"/>
      <c r="U224" s="348"/>
      <c r="V224" s="386"/>
      <c r="W224" s="348"/>
      <c r="X224" s="162"/>
      <c r="Y224" s="171"/>
      <c r="Z224" s="162"/>
      <c r="AA224" s="162"/>
      <c r="AB224" s="209">
        <v>672</v>
      </c>
    </row>
    <row r="225" spans="1:34" ht="12.6" customHeight="1" x14ac:dyDescent="0.2">
      <c r="A225" s="20"/>
      <c r="B225" s="720" t="s">
        <v>213</v>
      </c>
      <c r="C225" s="721"/>
      <c r="D225" s="721"/>
      <c r="E225" s="721"/>
      <c r="F225" s="488">
        <f>6.848*X2</f>
        <v>6217.9839999999995</v>
      </c>
      <c r="G225" s="349">
        <f t="shared" si="458"/>
        <v>6217.9839999999995</v>
      </c>
      <c r="H225" s="607">
        <f>F225+250</f>
        <v>6467.9839999999995</v>
      </c>
      <c r="I225" s="349">
        <f t="shared" ref="I225" si="461">+H225*$X$1</f>
        <v>6467.9839999999995</v>
      </c>
      <c r="J225" s="607">
        <f>F225+80</f>
        <v>6297.9839999999995</v>
      </c>
      <c r="K225" s="349">
        <f t="shared" ref="K225" si="462">+J225*$X$1</f>
        <v>6297.9839999999995</v>
      </c>
      <c r="L225" s="607">
        <f>F225+60</f>
        <v>6277.9839999999995</v>
      </c>
      <c r="M225" s="349">
        <f t="shared" ref="M225" si="463">+L225*$X$1</f>
        <v>6277.9839999999995</v>
      </c>
      <c r="N225" s="607">
        <f>F225+40</f>
        <v>6257.9839999999995</v>
      </c>
      <c r="O225" s="349">
        <f t="shared" ref="O225" si="464">+N225*$X$1</f>
        <v>6257.9839999999995</v>
      </c>
      <c r="P225" s="607">
        <f>F225+37</f>
        <v>6254.9839999999995</v>
      </c>
      <c r="Q225" s="349">
        <f t="shared" ref="Q225" si="465">+P225*$X$1</f>
        <v>6254.9839999999995</v>
      </c>
      <c r="R225" s="607">
        <f>F225+33</f>
        <v>6250.9839999999995</v>
      </c>
      <c r="S225" s="349">
        <f t="shared" ref="S225" si="466">+R225*$X$1</f>
        <v>6250.9839999999995</v>
      </c>
      <c r="T225" s="607">
        <f t="shared" ref="T225:T235" si="467">F225+29</f>
        <v>6246.9839999999995</v>
      </c>
      <c r="U225" s="349">
        <f t="shared" ref="U225:U226" si="468">+T225*$X$1</f>
        <v>6246.9839999999995</v>
      </c>
      <c r="V225" s="607">
        <f t="shared" ref="V225:V235" si="469">F225+24</f>
        <v>6241.9839999999995</v>
      </c>
      <c r="W225" s="349">
        <f t="shared" ref="W225:W226" si="470">+V225*$X$1</f>
        <v>6241.9839999999995</v>
      </c>
      <c r="X225" s="816"/>
      <c r="Y225" s="942"/>
      <c r="Z225" s="942"/>
      <c r="AA225" s="817"/>
      <c r="AB225" s="209">
        <v>705</v>
      </c>
    </row>
    <row r="226" spans="1:34" ht="12.6" customHeight="1" x14ac:dyDescent="0.2">
      <c r="A226" s="20"/>
      <c r="B226" s="706" t="s">
        <v>623</v>
      </c>
      <c r="C226" s="729"/>
      <c r="D226" s="729"/>
      <c r="E226" s="729"/>
      <c r="F226" s="404">
        <v>7700</v>
      </c>
      <c r="G226" s="348">
        <f t="shared" ref="G226" si="471">+F226*$X$1</f>
        <v>7700</v>
      </c>
      <c r="H226" s="386">
        <f t="shared" ref="H226:H235" si="472">F226+290</f>
        <v>7990</v>
      </c>
      <c r="I226" s="348">
        <f t="shared" ref="I226:I235" si="473">+H226*$X$1</f>
        <v>7990</v>
      </c>
      <c r="J226" s="386">
        <f t="shared" ref="J226:J235" si="474">F226+120</f>
        <v>7820</v>
      </c>
      <c r="K226" s="348">
        <f t="shared" ref="K226" si="475">+J226*$X$1</f>
        <v>7820</v>
      </c>
      <c r="L226" s="386">
        <f t="shared" ref="L226:L235" si="476">F226+74</f>
        <v>7774</v>
      </c>
      <c r="M226" s="348">
        <f t="shared" ref="M226" si="477">+L226*$X$1</f>
        <v>7774</v>
      </c>
      <c r="N226" s="386">
        <f t="shared" ref="N226:N235" si="478">F226+46</f>
        <v>7746</v>
      </c>
      <c r="O226" s="348">
        <f t="shared" ref="O226" si="479">+N226*$X$1</f>
        <v>7746</v>
      </c>
      <c r="P226" s="386">
        <f t="shared" ref="P226:P235" si="480">F226+42</f>
        <v>7742</v>
      </c>
      <c r="Q226" s="348">
        <f t="shared" ref="Q226" si="481">+P226*$X$1</f>
        <v>7742</v>
      </c>
      <c r="R226" s="386">
        <f t="shared" ref="R226:R235" si="482">F226+35</f>
        <v>7735</v>
      </c>
      <c r="S226" s="348">
        <f t="shared" ref="S226" si="483">+R226*$X$1</f>
        <v>7735</v>
      </c>
      <c r="T226" s="109">
        <f t="shared" si="467"/>
        <v>7729</v>
      </c>
      <c r="U226" s="306">
        <f t="shared" si="468"/>
        <v>7729</v>
      </c>
      <c r="V226" s="109">
        <f t="shared" si="469"/>
        <v>7724</v>
      </c>
      <c r="W226" s="306">
        <f t="shared" si="470"/>
        <v>7724</v>
      </c>
      <c r="X226" s="708"/>
      <c r="Y226" s="711"/>
      <c r="Z226" s="711"/>
      <c r="AA226" s="710"/>
      <c r="AB226" s="209">
        <v>815</v>
      </c>
    </row>
    <row r="227" spans="1:34" ht="12.6" customHeight="1" x14ac:dyDescent="0.2">
      <c r="A227" s="20"/>
      <c r="B227" s="720" t="s">
        <v>622</v>
      </c>
      <c r="C227" s="721"/>
      <c r="D227" s="721"/>
      <c r="E227" s="721"/>
      <c r="F227" s="403">
        <v>13720</v>
      </c>
      <c r="G227" s="349">
        <f t="shared" ref="G227" si="484">+F227*$X$1</f>
        <v>13720</v>
      </c>
      <c r="H227" s="607">
        <f t="shared" si="472"/>
        <v>14010</v>
      </c>
      <c r="I227" s="349">
        <f t="shared" si="473"/>
        <v>14010</v>
      </c>
      <c r="J227" s="607">
        <f t="shared" si="474"/>
        <v>13840</v>
      </c>
      <c r="K227" s="349">
        <f t="shared" ref="K227:K235" si="485">+J227*$X$1</f>
        <v>13840</v>
      </c>
      <c r="L227" s="607">
        <f t="shared" si="476"/>
        <v>13794</v>
      </c>
      <c r="M227" s="349">
        <f t="shared" ref="M227:M235" si="486">+L227*$X$1</f>
        <v>13794</v>
      </c>
      <c r="N227" s="607">
        <f t="shared" si="478"/>
        <v>13766</v>
      </c>
      <c r="O227" s="349">
        <f t="shared" ref="O227:O235" si="487">+N227*$X$1</f>
        <v>13766</v>
      </c>
      <c r="P227" s="607">
        <f t="shared" si="480"/>
        <v>13762</v>
      </c>
      <c r="Q227" s="349">
        <f t="shared" ref="Q227:Q235" si="488">+P227*$X$1</f>
        <v>13762</v>
      </c>
      <c r="R227" s="607">
        <f t="shared" si="482"/>
        <v>13755</v>
      </c>
      <c r="S227" s="349">
        <f t="shared" ref="S227:S235" si="489">+R227*$X$1</f>
        <v>13755</v>
      </c>
      <c r="T227" s="108">
        <f t="shared" si="467"/>
        <v>13749</v>
      </c>
      <c r="U227" s="374">
        <f t="shared" ref="U227:U235" si="490">+T227*$X$1</f>
        <v>13749</v>
      </c>
      <c r="V227" s="108">
        <f t="shared" si="469"/>
        <v>13744</v>
      </c>
      <c r="W227" s="374">
        <f t="shared" ref="W227:W235" si="491">+V227*$X$1</f>
        <v>13744</v>
      </c>
      <c r="X227" s="708"/>
      <c r="Y227" s="711"/>
      <c r="Z227" s="711"/>
      <c r="AA227" s="710"/>
      <c r="AB227" s="209">
        <v>819</v>
      </c>
    </row>
    <row r="228" spans="1:34" ht="12.6" customHeight="1" x14ac:dyDescent="0.2">
      <c r="A228" s="20"/>
      <c r="B228" s="937" t="s">
        <v>849</v>
      </c>
      <c r="C228" s="938"/>
      <c r="D228" s="938"/>
      <c r="E228" s="938"/>
      <c r="F228" s="487">
        <f>7.8*X2</f>
        <v>7082.4</v>
      </c>
      <c r="G228" s="348">
        <f>+F228*$X$1</f>
        <v>7082.4</v>
      </c>
      <c r="H228" s="386">
        <f t="shared" si="472"/>
        <v>7372.4</v>
      </c>
      <c r="I228" s="348">
        <f t="shared" si="473"/>
        <v>7372.4</v>
      </c>
      <c r="J228" s="386">
        <f t="shared" si="474"/>
        <v>7202.4</v>
      </c>
      <c r="K228" s="348">
        <f t="shared" si="485"/>
        <v>7202.4</v>
      </c>
      <c r="L228" s="386">
        <f t="shared" si="476"/>
        <v>7156.4</v>
      </c>
      <c r="M228" s="348">
        <f t="shared" si="486"/>
        <v>7156.4</v>
      </c>
      <c r="N228" s="386">
        <f t="shared" si="478"/>
        <v>7128.4</v>
      </c>
      <c r="O228" s="348">
        <f t="shared" si="487"/>
        <v>7128.4</v>
      </c>
      <c r="P228" s="386">
        <f t="shared" si="480"/>
        <v>7124.4</v>
      </c>
      <c r="Q228" s="348">
        <f t="shared" si="488"/>
        <v>7124.4</v>
      </c>
      <c r="R228" s="386">
        <f t="shared" si="482"/>
        <v>7117.4</v>
      </c>
      <c r="S228" s="348">
        <f t="shared" si="489"/>
        <v>7117.4</v>
      </c>
      <c r="T228" s="109">
        <f t="shared" si="467"/>
        <v>7111.4</v>
      </c>
      <c r="U228" s="306">
        <f t="shared" si="490"/>
        <v>7111.4</v>
      </c>
      <c r="V228" s="109">
        <f t="shared" si="469"/>
        <v>7106.4</v>
      </c>
      <c r="W228" s="306">
        <f t="shared" si="491"/>
        <v>7106.4</v>
      </c>
      <c r="X228" s="708"/>
      <c r="Y228" s="711"/>
      <c r="Z228" s="711"/>
      <c r="AA228" s="710"/>
      <c r="AB228" s="209"/>
    </row>
    <row r="229" spans="1:34" ht="12.6" customHeight="1" x14ac:dyDescent="0.2">
      <c r="A229" s="20"/>
      <c r="B229" s="720" t="s">
        <v>616</v>
      </c>
      <c r="C229" s="721"/>
      <c r="D229" s="721"/>
      <c r="E229" s="721"/>
      <c r="F229" s="403">
        <v>10920</v>
      </c>
      <c r="G229" s="349">
        <f t="shared" ref="G229:G232" si="492">+F229*$X$1</f>
        <v>10920</v>
      </c>
      <c r="H229" s="626">
        <f t="shared" si="472"/>
        <v>11210</v>
      </c>
      <c r="I229" s="349">
        <f t="shared" si="473"/>
        <v>11210</v>
      </c>
      <c r="J229" s="626">
        <f t="shared" si="474"/>
        <v>11040</v>
      </c>
      <c r="K229" s="349">
        <f t="shared" si="485"/>
        <v>11040</v>
      </c>
      <c r="L229" s="626">
        <f t="shared" si="476"/>
        <v>10994</v>
      </c>
      <c r="M229" s="349">
        <f t="shared" si="486"/>
        <v>10994</v>
      </c>
      <c r="N229" s="626">
        <f t="shared" si="478"/>
        <v>10966</v>
      </c>
      <c r="O229" s="349">
        <f t="shared" si="487"/>
        <v>10966</v>
      </c>
      <c r="P229" s="626">
        <f t="shared" si="480"/>
        <v>10962</v>
      </c>
      <c r="Q229" s="349">
        <f t="shared" si="488"/>
        <v>10962</v>
      </c>
      <c r="R229" s="626">
        <f t="shared" si="482"/>
        <v>10955</v>
      </c>
      <c r="S229" s="349">
        <f t="shared" si="489"/>
        <v>10955</v>
      </c>
      <c r="T229" s="108">
        <f t="shared" si="467"/>
        <v>10949</v>
      </c>
      <c r="U229" s="374">
        <f t="shared" si="490"/>
        <v>10949</v>
      </c>
      <c r="V229" s="108">
        <f t="shared" si="469"/>
        <v>10944</v>
      </c>
      <c r="W229" s="374">
        <f t="shared" si="491"/>
        <v>10944</v>
      </c>
      <c r="X229" s="708"/>
      <c r="Y229" s="711"/>
      <c r="Z229" s="711"/>
      <c r="AA229" s="710"/>
      <c r="AB229" s="209">
        <v>823</v>
      </c>
    </row>
    <row r="230" spans="1:34" ht="12.6" customHeight="1" x14ac:dyDescent="0.2">
      <c r="A230" s="20"/>
      <c r="B230" s="937" t="s">
        <v>843</v>
      </c>
      <c r="C230" s="938"/>
      <c r="D230" s="938"/>
      <c r="E230" s="938"/>
      <c r="F230" s="487">
        <f>7.5*X2</f>
        <v>6810</v>
      </c>
      <c r="G230" s="348">
        <f>+F230*$X$1</f>
        <v>6810</v>
      </c>
      <c r="H230" s="386">
        <f t="shared" si="472"/>
        <v>7100</v>
      </c>
      <c r="I230" s="348">
        <f t="shared" si="473"/>
        <v>7100</v>
      </c>
      <c r="J230" s="386">
        <f t="shared" si="474"/>
        <v>6930</v>
      </c>
      <c r="K230" s="348">
        <f t="shared" si="485"/>
        <v>6930</v>
      </c>
      <c r="L230" s="386">
        <f t="shared" si="476"/>
        <v>6884</v>
      </c>
      <c r="M230" s="348">
        <f t="shared" si="486"/>
        <v>6884</v>
      </c>
      <c r="N230" s="386">
        <f t="shared" si="478"/>
        <v>6856</v>
      </c>
      <c r="O230" s="348">
        <f t="shared" si="487"/>
        <v>6856</v>
      </c>
      <c r="P230" s="386">
        <f t="shared" si="480"/>
        <v>6852</v>
      </c>
      <c r="Q230" s="348">
        <f t="shared" si="488"/>
        <v>6852</v>
      </c>
      <c r="R230" s="386">
        <f t="shared" si="482"/>
        <v>6845</v>
      </c>
      <c r="S230" s="348">
        <f t="shared" si="489"/>
        <v>6845</v>
      </c>
      <c r="T230" s="109">
        <f t="shared" si="467"/>
        <v>6839</v>
      </c>
      <c r="U230" s="306">
        <f t="shared" si="490"/>
        <v>6839</v>
      </c>
      <c r="V230" s="109">
        <f t="shared" si="469"/>
        <v>6834</v>
      </c>
      <c r="W230" s="306">
        <f t="shared" si="491"/>
        <v>6834</v>
      </c>
      <c r="X230" s="708"/>
      <c r="Y230" s="711"/>
      <c r="Z230" s="711"/>
      <c r="AA230" s="710"/>
      <c r="AB230" s="209">
        <v>826</v>
      </c>
    </row>
    <row r="231" spans="1:34" ht="12.6" customHeight="1" x14ac:dyDescent="0.2">
      <c r="A231" s="20"/>
      <c r="B231" s="937" t="s">
        <v>844</v>
      </c>
      <c r="C231" s="938"/>
      <c r="D231" s="938"/>
      <c r="E231" s="938"/>
      <c r="F231" s="488">
        <f>8.781*X2</f>
        <v>7973.1480000000001</v>
      </c>
      <c r="G231" s="349">
        <f>+F231*$X$1</f>
        <v>7973.1480000000001</v>
      </c>
      <c r="H231" s="626">
        <f t="shared" ref="H231" si="493">F231+290</f>
        <v>8263.148000000001</v>
      </c>
      <c r="I231" s="349">
        <f t="shared" ref="I231" si="494">+H231*$X$1</f>
        <v>8263.148000000001</v>
      </c>
      <c r="J231" s="626">
        <f t="shared" ref="J231" si="495">F231+120</f>
        <v>8093.1480000000001</v>
      </c>
      <c r="K231" s="349">
        <f t="shared" ref="K231" si="496">+J231*$X$1</f>
        <v>8093.1480000000001</v>
      </c>
      <c r="L231" s="626">
        <f t="shared" ref="L231" si="497">F231+74</f>
        <v>8047.1480000000001</v>
      </c>
      <c r="M231" s="349">
        <f t="shared" ref="M231" si="498">+L231*$X$1</f>
        <v>8047.1480000000001</v>
      </c>
      <c r="N231" s="626">
        <f t="shared" ref="N231" si="499">F231+46</f>
        <v>8019.1480000000001</v>
      </c>
      <c r="O231" s="349">
        <f t="shared" ref="O231" si="500">+N231*$X$1</f>
        <v>8019.1480000000001</v>
      </c>
      <c r="P231" s="626">
        <f t="shared" ref="P231" si="501">F231+42</f>
        <v>8015.1480000000001</v>
      </c>
      <c r="Q231" s="349">
        <f t="shared" ref="Q231" si="502">+P231*$X$1</f>
        <v>8015.1480000000001</v>
      </c>
      <c r="R231" s="626">
        <f t="shared" ref="R231" si="503">F231+35</f>
        <v>8008.1480000000001</v>
      </c>
      <c r="S231" s="349">
        <f t="shared" ref="S231" si="504">+R231*$X$1</f>
        <v>8008.1480000000001</v>
      </c>
      <c r="T231" s="108">
        <f t="shared" ref="T231" si="505">F231+29</f>
        <v>8002.1480000000001</v>
      </c>
      <c r="U231" s="374">
        <f t="shared" ref="U231" si="506">+T231*$X$1</f>
        <v>8002.1480000000001</v>
      </c>
      <c r="V231" s="108">
        <f t="shared" ref="V231" si="507">F231+24</f>
        <v>7997.1480000000001</v>
      </c>
      <c r="W231" s="374">
        <f t="shared" ref="W231" si="508">+V231*$X$1</f>
        <v>7997.1480000000001</v>
      </c>
      <c r="X231" s="708"/>
      <c r="Y231" s="711"/>
      <c r="Z231" s="711"/>
      <c r="AA231" s="710"/>
      <c r="AB231" s="209">
        <v>828</v>
      </c>
    </row>
    <row r="232" spans="1:34" ht="12.6" customHeight="1" x14ac:dyDescent="0.2">
      <c r="A232" s="20"/>
      <c r="B232" s="706" t="s">
        <v>746</v>
      </c>
      <c r="C232" s="729"/>
      <c r="D232" s="729"/>
      <c r="E232" s="729"/>
      <c r="F232" s="487">
        <f>3.612*X2</f>
        <v>3279.6959999999999</v>
      </c>
      <c r="G232" s="348">
        <f t="shared" si="492"/>
        <v>3279.6959999999999</v>
      </c>
      <c r="H232" s="386">
        <f t="shared" si="472"/>
        <v>3569.6959999999999</v>
      </c>
      <c r="I232" s="348">
        <f t="shared" si="473"/>
        <v>3569.6959999999999</v>
      </c>
      <c r="J232" s="386">
        <f t="shared" si="474"/>
        <v>3399.6959999999999</v>
      </c>
      <c r="K232" s="348">
        <f t="shared" si="485"/>
        <v>3399.6959999999999</v>
      </c>
      <c r="L232" s="386">
        <f t="shared" si="476"/>
        <v>3353.6959999999999</v>
      </c>
      <c r="M232" s="348">
        <f t="shared" si="486"/>
        <v>3353.6959999999999</v>
      </c>
      <c r="N232" s="386">
        <f t="shared" si="478"/>
        <v>3325.6959999999999</v>
      </c>
      <c r="O232" s="348">
        <f t="shared" si="487"/>
        <v>3325.6959999999999</v>
      </c>
      <c r="P232" s="386">
        <f t="shared" si="480"/>
        <v>3321.6959999999999</v>
      </c>
      <c r="Q232" s="348">
        <f t="shared" si="488"/>
        <v>3321.6959999999999</v>
      </c>
      <c r="R232" s="386">
        <f t="shared" si="482"/>
        <v>3314.6959999999999</v>
      </c>
      <c r="S232" s="348">
        <f t="shared" si="489"/>
        <v>3314.6959999999999</v>
      </c>
      <c r="T232" s="109">
        <f t="shared" si="467"/>
        <v>3308.6959999999999</v>
      </c>
      <c r="U232" s="306">
        <f t="shared" si="490"/>
        <v>3308.6959999999999</v>
      </c>
      <c r="V232" s="109">
        <f t="shared" si="469"/>
        <v>3303.6959999999999</v>
      </c>
      <c r="W232" s="306">
        <f t="shared" si="491"/>
        <v>3303.6959999999999</v>
      </c>
      <c r="X232" s="708"/>
      <c r="Y232" s="711"/>
      <c r="Z232" s="711"/>
      <c r="AA232" s="710"/>
      <c r="AB232" s="209">
        <v>829</v>
      </c>
    </row>
    <row r="233" spans="1:34" ht="12.6" customHeight="1" x14ac:dyDescent="0.2">
      <c r="A233" s="20"/>
      <c r="B233" s="937" t="s">
        <v>678</v>
      </c>
      <c r="C233" s="938"/>
      <c r="D233" s="938"/>
      <c r="E233" s="938"/>
      <c r="F233" s="488">
        <f>13.042*X2</f>
        <v>11842.136</v>
      </c>
      <c r="G233" s="349">
        <f t="shared" ref="G233" si="509">+F233*$X$1</f>
        <v>11842.136</v>
      </c>
      <c r="H233" s="626">
        <f t="shared" si="472"/>
        <v>12132.136</v>
      </c>
      <c r="I233" s="349">
        <f t="shared" si="473"/>
        <v>12132.136</v>
      </c>
      <c r="J233" s="626">
        <f t="shared" si="474"/>
        <v>11962.136</v>
      </c>
      <c r="K233" s="349">
        <f t="shared" si="485"/>
        <v>11962.136</v>
      </c>
      <c r="L233" s="626">
        <f t="shared" si="476"/>
        <v>11916.136</v>
      </c>
      <c r="M233" s="349">
        <f t="shared" si="486"/>
        <v>11916.136</v>
      </c>
      <c r="N233" s="626">
        <f t="shared" si="478"/>
        <v>11888.136</v>
      </c>
      <c r="O233" s="349">
        <f t="shared" si="487"/>
        <v>11888.136</v>
      </c>
      <c r="P233" s="626">
        <f t="shared" si="480"/>
        <v>11884.136</v>
      </c>
      <c r="Q233" s="349">
        <f t="shared" si="488"/>
        <v>11884.136</v>
      </c>
      <c r="R233" s="626">
        <f t="shared" si="482"/>
        <v>11877.136</v>
      </c>
      <c r="S233" s="349">
        <f t="shared" si="489"/>
        <v>11877.136</v>
      </c>
      <c r="T233" s="108">
        <f t="shared" si="467"/>
        <v>11871.136</v>
      </c>
      <c r="U233" s="374">
        <f t="shared" si="490"/>
        <v>11871.136</v>
      </c>
      <c r="V233" s="108">
        <f t="shared" si="469"/>
        <v>11866.136</v>
      </c>
      <c r="W233" s="374">
        <f t="shared" si="491"/>
        <v>11866.136</v>
      </c>
      <c r="X233" s="708"/>
      <c r="Y233" s="711"/>
      <c r="Z233" s="711"/>
      <c r="AA233" s="710"/>
      <c r="AB233" s="209">
        <v>833</v>
      </c>
    </row>
    <row r="234" spans="1:34" ht="12.6" customHeight="1" x14ac:dyDescent="0.2">
      <c r="A234" s="20"/>
      <c r="B234" s="937" t="s">
        <v>741</v>
      </c>
      <c r="C234" s="938"/>
      <c r="D234" s="938"/>
      <c r="E234" s="938"/>
      <c r="F234" s="487">
        <f>9.8*X2</f>
        <v>8898.4000000000015</v>
      </c>
      <c r="G234" s="348">
        <f t="shared" ref="G234:G235" si="510">+F234*$X$1</f>
        <v>8898.4000000000015</v>
      </c>
      <c r="H234" s="386">
        <f t="shared" si="472"/>
        <v>9188.4000000000015</v>
      </c>
      <c r="I234" s="348">
        <f t="shared" si="473"/>
        <v>9188.4000000000015</v>
      </c>
      <c r="J234" s="386">
        <f t="shared" si="474"/>
        <v>9018.4000000000015</v>
      </c>
      <c r="K234" s="348">
        <f t="shared" si="485"/>
        <v>9018.4000000000015</v>
      </c>
      <c r="L234" s="386">
        <f t="shared" si="476"/>
        <v>8972.4000000000015</v>
      </c>
      <c r="M234" s="348">
        <f t="shared" si="486"/>
        <v>8972.4000000000015</v>
      </c>
      <c r="N234" s="386">
        <f t="shared" si="478"/>
        <v>8944.4000000000015</v>
      </c>
      <c r="O234" s="348">
        <f t="shared" si="487"/>
        <v>8944.4000000000015</v>
      </c>
      <c r="P234" s="386">
        <f t="shared" si="480"/>
        <v>8940.4000000000015</v>
      </c>
      <c r="Q234" s="348">
        <f t="shared" si="488"/>
        <v>8940.4000000000015</v>
      </c>
      <c r="R234" s="386">
        <f t="shared" si="482"/>
        <v>8933.4000000000015</v>
      </c>
      <c r="S234" s="348">
        <f t="shared" si="489"/>
        <v>8933.4000000000015</v>
      </c>
      <c r="T234" s="109">
        <f t="shared" si="467"/>
        <v>8927.4000000000015</v>
      </c>
      <c r="U234" s="306">
        <f t="shared" si="490"/>
        <v>8927.4000000000015</v>
      </c>
      <c r="V234" s="109">
        <f t="shared" si="469"/>
        <v>8922.4000000000015</v>
      </c>
      <c r="W234" s="306">
        <f t="shared" si="491"/>
        <v>8922.4000000000015</v>
      </c>
      <c r="X234" s="708"/>
      <c r="Y234" s="711"/>
      <c r="Z234" s="711"/>
      <c r="AA234" s="710"/>
      <c r="AB234" s="209">
        <v>834</v>
      </c>
    </row>
    <row r="235" spans="1:34" ht="12.6" customHeight="1" x14ac:dyDescent="0.2">
      <c r="A235" s="20"/>
      <c r="B235" s="720" t="s">
        <v>744</v>
      </c>
      <c r="C235" s="721"/>
      <c r="D235" s="721"/>
      <c r="E235" s="721"/>
      <c r="F235" s="488">
        <f>7.188*X2</f>
        <v>6526.7039999999997</v>
      </c>
      <c r="G235" s="349">
        <f t="shared" si="510"/>
        <v>6526.7039999999997</v>
      </c>
      <c r="H235" s="626">
        <f t="shared" si="472"/>
        <v>6816.7039999999997</v>
      </c>
      <c r="I235" s="349">
        <f t="shared" si="473"/>
        <v>6816.7039999999997</v>
      </c>
      <c r="J235" s="626">
        <f t="shared" si="474"/>
        <v>6646.7039999999997</v>
      </c>
      <c r="K235" s="349">
        <f t="shared" si="485"/>
        <v>6646.7039999999997</v>
      </c>
      <c r="L235" s="626">
        <f t="shared" si="476"/>
        <v>6600.7039999999997</v>
      </c>
      <c r="M235" s="349">
        <f t="shared" si="486"/>
        <v>6600.7039999999997</v>
      </c>
      <c r="N235" s="626">
        <f t="shared" si="478"/>
        <v>6572.7039999999997</v>
      </c>
      <c r="O235" s="349">
        <f t="shared" si="487"/>
        <v>6572.7039999999997</v>
      </c>
      <c r="P235" s="626">
        <f t="shared" si="480"/>
        <v>6568.7039999999997</v>
      </c>
      <c r="Q235" s="349">
        <f t="shared" si="488"/>
        <v>6568.7039999999997</v>
      </c>
      <c r="R235" s="626">
        <f t="shared" si="482"/>
        <v>6561.7039999999997</v>
      </c>
      <c r="S235" s="349">
        <f t="shared" si="489"/>
        <v>6561.7039999999997</v>
      </c>
      <c r="T235" s="108">
        <f t="shared" si="467"/>
        <v>6555.7039999999997</v>
      </c>
      <c r="U235" s="374">
        <f t="shared" si="490"/>
        <v>6555.7039999999997</v>
      </c>
      <c r="V235" s="108">
        <f t="shared" si="469"/>
        <v>6550.7039999999997</v>
      </c>
      <c r="W235" s="374">
        <f t="shared" si="491"/>
        <v>6550.7039999999997</v>
      </c>
      <c r="X235" s="708"/>
      <c r="Y235" s="711"/>
      <c r="Z235" s="711"/>
      <c r="AA235" s="710"/>
      <c r="AB235" s="209">
        <v>836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3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AB236" s="105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3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975"/>
      <c r="G238" s="975"/>
      <c r="H238" s="975"/>
      <c r="I238" s="975"/>
      <c r="J238" s="975"/>
      <c r="K238" s="333"/>
      <c r="L238" s="332"/>
      <c r="M238" s="332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AB238" s="4"/>
    </row>
    <row r="239" spans="1:34" ht="15.75" customHeight="1" x14ac:dyDescent="0.2">
      <c r="A239" s="20"/>
      <c r="B239" s="1300" t="s">
        <v>11</v>
      </c>
      <c r="C239" s="1056" t="s">
        <v>12</v>
      </c>
      <c r="D239" s="1057"/>
      <c r="E239" s="1057"/>
      <c r="F239" s="780" t="s">
        <v>13</v>
      </c>
      <c r="G239" s="780" t="s">
        <v>13</v>
      </c>
      <c r="H239" s="1061" t="s">
        <v>14</v>
      </c>
      <c r="I239" s="1061"/>
      <c r="J239" s="874"/>
      <c r="K239" s="874"/>
      <c r="L239" s="874"/>
      <c r="M239" s="874"/>
      <c r="N239" s="874"/>
      <c r="O239" s="874"/>
      <c r="P239" s="874"/>
      <c r="Q239" s="874"/>
      <c r="R239" s="874"/>
      <c r="S239" s="874"/>
      <c r="T239" s="874"/>
      <c r="U239" s="874"/>
      <c r="V239" s="874"/>
      <c r="W239" s="875"/>
      <c r="X239" s="770" t="s">
        <v>15</v>
      </c>
      <c r="Y239" s="771"/>
      <c r="Z239" s="771"/>
      <c r="AA239" s="771"/>
      <c r="AB239" s="839" t="s">
        <v>16</v>
      </c>
      <c r="AF239" s="828" t="s">
        <v>3</v>
      </c>
      <c r="AG239" s="829"/>
      <c r="AH239" s="829"/>
    </row>
    <row r="240" spans="1:34" ht="11.25" customHeight="1" thickBot="1" x14ac:dyDescent="0.25">
      <c r="A240" s="20"/>
      <c r="B240" s="1301"/>
      <c r="C240" s="1058"/>
      <c r="D240" s="1058"/>
      <c r="E240" s="1058"/>
      <c r="F240" s="781"/>
      <c r="G240" s="781"/>
      <c r="H240" s="298"/>
      <c r="I240" s="295" t="s">
        <v>312</v>
      </c>
      <c r="J240" s="299"/>
      <c r="K240" s="295" t="s">
        <v>18</v>
      </c>
      <c r="L240" s="300"/>
      <c r="M240" s="300" t="s">
        <v>19</v>
      </c>
      <c r="N240" s="300"/>
      <c r="O240" s="295" t="s">
        <v>20</v>
      </c>
      <c r="P240" s="300"/>
      <c r="Q240" s="300" t="s">
        <v>314</v>
      </c>
      <c r="R240" s="300"/>
      <c r="S240" s="300" t="s">
        <v>21</v>
      </c>
      <c r="T240" s="300"/>
      <c r="U240" s="300" t="s">
        <v>22</v>
      </c>
      <c r="V240" s="300"/>
      <c r="W240" s="302" t="s">
        <v>23</v>
      </c>
      <c r="X240" s="772"/>
      <c r="Y240" s="773"/>
      <c r="Z240" s="773"/>
      <c r="AA240" s="773"/>
      <c r="AB240" s="840"/>
    </row>
    <row r="241" spans="1:33" ht="12.6" customHeight="1" x14ac:dyDescent="0.2">
      <c r="A241" s="20"/>
      <c r="B241" s="706" t="s">
        <v>740</v>
      </c>
      <c r="C241" s="729"/>
      <c r="D241" s="729"/>
      <c r="E241" s="729"/>
      <c r="F241" s="487">
        <f>4.78*X2</f>
        <v>4340.24</v>
      </c>
      <c r="G241" s="348">
        <f t="shared" ref="G241" si="511">+F241*$X$1</f>
        <v>4340.24</v>
      </c>
      <c r="H241" s="386">
        <f>F241+290</f>
        <v>4630.24</v>
      </c>
      <c r="I241" s="348">
        <f>+H241*$X$1</f>
        <v>4630.24</v>
      </c>
      <c r="J241" s="386">
        <f>F241+120</f>
        <v>4460.24</v>
      </c>
      <c r="K241" s="348">
        <f>+J241*$X$1</f>
        <v>4460.24</v>
      </c>
      <c r="L241" s="386">
        <f>F241+74</f>
        <v>4414.24</v>
      </c>
      <c r="M241" s="348">
        <f>+L241*$X$1</f>
        <v>4414.24</v>
      </c>
      <c r="N241" s="386">
        <f>F241+46</f>
        <v>4386.24</v>
      </c>
      <c r="O241" s="348">
        <f>+N241*$X$1</f>
        <v>4386.24</v>
      </c>
      <c r="P241" s="386">
        <f>F241+42</f>
        <v>4382.24</v>
      </c>
      <c r="Q241" s="348">
        <f>+P241*$X$1</f>
        <v>4382.24</v>
      </c>
      <c r="R241" s="386">
        <f>F241+35</f>
        <v>4375.24</v>
      </c>
      <c r="S241" s="348">
        <f>+R241*$X$1</f>
        <v>4375.24</v>
      </c>
      <c r="T241" s="109">
        <f>F241+29</f>
        <v>4369.24</v>
      </c>
      <c r="U241" s="306">
        <f>+T241*$X$1</f>
        <v>4369.24</v>
      </c>
      <c r="V241" s="109">
        <f>F241+24</f>
        <v>4364.24</v>
      </c>
      <c r="W241" s="306">
        <f>+V241*$X$1</f>
        <v>4364.24</v>
      </c>
      <c r="X241" s="708"/>
      <c r="Y241" s="711"/>
      <c r="Z241" s="711"/>
      <c r="AA241" s="710"/>
      <c r="AB241" s="209">
        <v>837</v>
      </c>
    </row>
    <row r="242" spans="1:33" ht="12.6" customHeight="1" x14ac:dyDescent="0.2">
      <c r="A242" s="20"/>
      <c r="B242" s="720" t="s">
        <v>593</v>
      </c>
      <c r="C242" s="721"/>
      <c r="D242" s="721"/>
      <c r="E242" s="721"/>
      <c r="F242" s="488">
        <f>8.45*X2</f>
        <v>7672.5999999999995</v>
      </c>
      <c r="G242" s="349">
        <f>+F242*$X$1</f>
        <v>7672.5999999999995</v>
      </c>
      <c r="H242" s="638">
        <f>F242+290</f>
        <v>7962.5999999999995</v>
      </c>
      <c r="I242" s="349">
        <f>+H242*$X$1</f>
        <v>7962.5999999999995</v>
      </c>
      <c r="J242" s="638">
        <f>F242+120</f>
        <v>7792.5999999999995</v>
      </c>
      <c r="K242" s="349">
        <f>+J242*$X$1</f>
        <v>7792.5999999999995</v>
      </c>
      <c r="L242" s="638">
        <f>F242+74</f>
        <v>7746.5999999999995</v>
      </c>
      <c r="M242" s="349">
        <f>+L242*$X$1</f>
        <v>7746.5999999999995</v>
      </c>
      <c r="N242" s="638">
        <f>F242+46</f>
        <v>7718.5999999999995</v>
      </c>
      <c r="O242" s="349">
        <f>+N242*$X$1</f>
        <v>7718.5999999999995</v>
      </c>
      <c r="P242" s="638">
        <f>F242+42</f>
        <v>7714.5999999999995</v>
      </c>
      <c r="Q242" s="349">
        <f>+P242*$X$1</f>
        <v>7714.5999999999995</v>
      </c>
      <c r="R242" s="638">
        <f>F242+35</f>
        <v>7707.5999999999995</v>
      </c>
      <c r="S242" s="349">
        <f>+R242*$X$1</f>
        <v>7707.5999999999995</v>
      </c>
      <c r="T242" s="108">
        <f>F242+29</f>
        <v>7701.5999999999995</v>
      </c>
      <c r="U242" s="374">
        <f>+T242*$X$1</f>
        <v>7701.5999999999995</v>
      </c>
      <c r="V242" s="108">
        <f>F242+24</f>
        <v>7696.5999999999995</v>
      </c>
      <c r="W242" s="374">
        <f>+V242*$X$1</f>
        <v>7696.5999999999995</v>
      </c>
      <c r="X242" s="708"/>
      <c r="Y242" s="711"/>
      <c r="Z242" s="711"/>
      <c r="AA242" s="710"/>
      <c r="AB242" s="209">
        <v>916</v>
      </c>
    </row>
    <row r="243" spans="1:33" ht="12.6" customHeight="1" x14ac:dyDescent="0.2">
      <c r="A243" s="20"/>
      <c r="B243" s="706" t="s">
        <v>214</v>
      </c>
      <c r="C243" s="729"/>
      <c r="D243" s="729"/>
      <c r="E243" s="729"/>
      <c r="F243" s="487">
        <f>10.35*X2</f>
        <v>9397.7999999999993</v>
      </c>
      <c r="G243" s="348">
        <f t="shared" ref="G243:G246" si="512">+F243*$X$1</f>
        <v>9397.7999999999993</v>
      </c>
      <c r="H243" s="386">
        <f t="shared" ref="H243:H248" si="513">F243+290</f>
        <v>9687.7999999999993</v>
      </c>
      <c r="I243" s="348">
        <f t="shared" ref="I243:I248" si="514">+H243*$X$1</f>
        <v>9687.7999999999993</v>
      </c>
      <c r="J243" s="386">
        <f t="shared" ref="J243:J248" si="515">F243+120</f>
        <v>9517.7999999999993</v>
      </c>
      <c r="K243" s="348">
        <f t="shared" ref="K243" si="516">+J243*$X$1</f>
        <v>9517.7999999999993</v>
      </c>
      <c r="L243" s="386">
        <f t="shared" ref="L243:L248" si="517">F243+74</f>
        <v>9471.7999999999993</v>
      </c>
      <c r="M243" s="348">
        <f t="shared" ref="M243" si="518">+L243*$X$1</f>
        <v>9471.7999999999993</v>
      </c>
      <c r="N243" s="386">
        <f t="shared" ref="N243:N248" si="519">F243+46</f>
        <v>9443.7999999999993</v>
      </c>
      <c r="O243" s="348">
        <f t="shared" ref="O243" si="520">+N243*$X$1</f>
        <v>9443.7999999999993</v>
      </c>
      <c r="P243" s="386">
        <f t="shared" ref="P243:P248" si="521">F243+42</f>
        <v>9439.7999999999993</v>
      </c>
      <c r="Q243" s="348">
        <f t="shared" ref="Q243" si="522">+P243*$X$1</f>
        <v>9439.7999999999993</v>
      </c>
      <c r="R243" s="386">
        <f t="shared" ref="R243:R248" si="523">F243+35</f>
        <v>9432.7999999999993</v>
      </c>
      <c r="S243" s="348">
        <f t="shared" ref="S243" si="524">+R243*$X$1</f>
        <v>9432.7999999999993</v>
      </c>
      <c r="T243" s="109">
        <f t="shared" ref="T243:T248" si="525">F243+29</f>
        <v>9426.7999999999993</v>
      </c>
      <c r="U243" s="306">
        <f t="shared" ref="U243" si="526">+T243*$X$1</f>
        <v>9426.7999999999993</v>
      </c>
      <c r="V243" s="109">
        <f t="shared" ref="V243:V248" si="527">F243+24</f>
        <v>9421.7999999999993</v>
      </c>
      <c r="W243" s="306">
        <f t="shared" ref="W243" si="528">+V243*$X$1</f>
        <v>9421.7999999999993</v>
      </c>
      <c r="X243" s="931"/>
      <c r="Y243" s="932"/>
      <c r="Z243" s="932"/>
      <c r="AA243" s="933"/>
      <c r="AB243" s="552">
        <v>918</v>
      </c>
    </row>
    <row r="244" spans="1:33" ht="12.6" customHeight="1" x14ac:dyDescent="0.2">
      <c r="A244" s="20"/>
      <c r="B244" s="720" t="s">
        <v>533</v>
      </c>
      <c r="C244" s="721"/>
      <c r="D244" s="721"/>
      <c r="E244" s="721"/>
      <c r="F244" s="488">
        <f>9.331*X2</f>
        <v>8472.5479999999989</v>
      </c>
      <c r="G244" s="349">
        <f t="shared" si="512"/>
        <v>8472.5479999999989</v>
      </c>
      <c r="H244" s="638">
        <f t="shared" si="513"/>
        <v>8762.5479999999989</v>
      </c>
      <c r="I244" s="349">
        <f t="shared" si="514"/>
        <v>8762.5479999999989</v>
      </c>
      <c r="J244" s="638">
        <f t="shared" si="515"/>
        <v>8592.5479999999989</v>
      </c>
      <c r="K244" s="349">
        <f t="shared" ref="K244:K248" si="529">+J244*$X$1</f>
        <v>8592.5479999999989</v>
      </c>
      <c r="L244" s="638">
        <f t="shared" si="517"/>
        <v>8546.5479999999989</v>
      </c>
      <c r="M244" s="349">
        <f t="shared" ref="M244:M248" si="530">+L244*$X$1</f>
        <v>8546.5479999999989</v>
      </c>
      <c r="N244" s="638">
        <f t="shared" si="519"/>
        <v>8518.5479999999989</v>
      </c>
      <c r="O244" s="349">
        <f t="shared" ref="O244:O248" si="531">+N244*$X$1</f>
        <v>8518.5479999999989</v>
      </c>
      <c r="P244" s="638">
        <f t="shared" si="521"/>
        <v>8514.5479999999989</v>
      </c>
      <c r="Q244" s="349">
        <f t="shared" ref="Q244:Q248" si="532">+P244*$X$1</f>
        <v>8514.5479999999989</v>
      </c>
      <c r="R244" s="638">
        <f t="shared" si="523"/>
        <v>8507.5479999999989</v>
      </c>
      <c r="S244" s="349">
        <f t="shared" ref="S244:S248" si="533">+R244*$X$1</f>
        <v>8507.5479999999989</v>
      </c>
      <c r="T244" s="108">
        <f t="shared" si="525"/>
        <v>8501.5479999999989</v>
      </c>
      <c r="U244" s="374">
        <f t="shared" ref="U244:U248" si="534">+T244*$X$1</f>
        <v>8501.5479999999989</v>
      </c>
      <c r="V244" s="108">
        <f t="shared" si="527"/>
        <v>8496.5479999999989</v>
      </c>
      <c r="W244" s="374">
        <f t="shared" ref="W244:W248" si="535">+V244*$X$1</f>
        <v>8496.5479999999989</v>
      </c>
      <c r="X244" s="708"/>
      <c r="Y244" s="709"/>
      <c r="Z244" s="709"/>
      <c r="AA244" s="710"/>
      <c r="AB244" s="209">
        <v>919</v>
      </c>
    </row>
    <row r="245" spans="1:33" ht="12.6" customHeight="1" x14ac:dyDescent="0.2">
      <c r="A245" s="20"/>
      <c r="B245" s="706" t="s">
        <v>519</v>
      </c>
      <c r="C245" s="729"/>
      <c r="D245" s="729"/>
      <c r="E245" s="729"/>
      <c r="F245" s="487">
        <f>8.31*X2</f>
        <v>7545.4800000000005</v>
      </c>
      <c r="G245" s="348">
        <f t="shared" si="512"/>
        <v>7545.4800000000005</v>
      </c>
      <c r="H245" s="386">
        <f t="shared" si="513"/>
        <v>7835.4800000000005</v>
      </c>
      <c r="I245" s="348">
        <f t="shared" si="514"/>
        <v>7835.4800000000005</v>
      </c>
      <c r="J245" s="386">
        <f t="shared" si="515"/>
        <v>7665.4800000000005</v>
      </c>
      <c r="K245" s="348">
        <f t="shared" si="529"/>
        <v>7665.4800000000005</v>
      </c>
      <c r="L245" s="386">
        <f t="shared" si="517"/>
        <v>7619.4800000000005</v>
      </c>
      <c r="M245" s="348">
        <f t="shared" si="530"/>
        <v>7619.4800000000005</v>
      </c>
      <c r="N245" s="386">
        <f t="shared" si="519"/>
        <v>7591.4800000000005</v>
      </c>
      <c r="O245" s="348">
        <f t="shared" si="531"/>
        <v>7591.4800000000005</v>
      </c>
      <c r="P245" s="386">
        <f t="shared" si="521"/>
        <v>7587.4800000000005</v>
      </c>
      <c r="Q245" s="348">
        <f t="shared" si="532"/>
        <v>7587.4800000000005</v>
      </c>
      <c r="R245" s="386">
        <f t="shared" si="523"/>
        <v>7580.4800000000005</v>
      </c>
      <c r="S245" s="348">
        <f t="shared" si="533"/>
        <v>7580.4800000000005</v>
      </c>
      <c r="T245" s="109">
        <f t="shared" si="525"/>
        <v>7574.4800000000005</v>
      </c>
      <c r="U245" s="306">
        <f t="shared" si="534"/>
        <v>7574.4800000000005</v>
      </c>
      <c r="V245" s="109">
        <f t="shared" si="527"/>
        <v>7569.4800000000005</v>
      </c>
      <c r="W245" s="306">
        <f t="shared" si="535"/>
        <v>7569.4800000000005</v>
      </c>
      <c r="X245" s="708"/>
      <c r="Y245" s="711"/>
      <c r="Z245" s="711"/>
      <c r="AA245" s="710"/>
      <c r="AB245" s="209">
        <v>920</v>
      </c>
    </row>
    <row r="246" spans="1:33" ht="12.6" customHeight="1" x14ac:dyDescent="0.2">
      <c r="A246" s="20"/>
      <c r="B246" s="720" t="s">
        <v>615</v>
      </c>
      <c r="C246" s="721"/>
      <c r="D246" s="721"/>
      <c r="E246" s="721"/>
      <c r="F246" s="488">
        <f>8.1*X2</f>
        <v>7354.7999999999993</v>
      </c>
      <c r="G246" s="349">
        <f t="shared" si="512"/>
        <v>7354.7999999999993</v>
      </c>
      <c r="H246" s="638">
        <f t="shared" si="513"/>
        <v>7644.7999999999993</v>
      </c>
      <c r="I246" s="349">
        <f t="shared" si="514"/>
        <v>7644.7999999999993</v>
      </c>
      <c r="J246" s="638">
        <f t="shared" si="515"/>
        <v>7474.7999999999993</v>
      </c>
      <c r="K246" s="349">
        <f t="shared" si="529"/>
        <v>7474.7999999999993</v>
      </c>
      <c r="L246" s="638">
        <f t="shared" si="517"/>
        <v>7428.7999999999993</v>
      </c>
      <c r="M246" s="349">
        <f t="shared" si="530"/>
        <v>7428.7999999999993</v>
      </c>
      <c r="N246" s="638">
        <f t="shared" si="519"/>
        <v>7400.7999999999993</v>
      </c>
      <c r="O246" s="349">
        <f t="shared" si="531"/>
        <v>7400.7999999999993</v>
      </c>
      <c r="P246" s="638">
        <f t="shared" si="521"/>
        <v>7396.7999999999993</v>
      </c>
      <c r="Q246" s="349">
        <f t="shared" si="532"/>
        <v>7396.7999999999993</v>
      </c>
      <c r="R246" s="638">
        <f t="shared" si="523"/>
        <v>7389.7999999999993</v>
      </c>
      <c r="S246" s="349">
        <f t="shared" si="533"/>
        <v>7389.7999999999993</v>
      </c>
      <c r="T246" s="108">
        <f t="shared" si="525"/>
        <v>7383.7999999999993</v>
      </c>
      <c r="U246" s="374">
        <f t="shared" si="534"/>
        <v>7383.7999999999993</v>
      </c>
      <c r="V246" s="108">
        <f t="shared" si="527"/>
        <v>7378.7999999999993</v>
      </c>
      <c r="W246" s="374">
        <f t="shared" si="535"/>
        <v>7378.7999999999993</v>
      </c>
      <c r="X246" s="708"/>
      <c r="Y246" s="711"/>
      <c r="Z246" s="711"/>
      <c r="AA246" s="710"/>
      <c r="AB246" s="209">
        <v>921</v>
      </c>
    </row>
    <row r="247" spans="1:33" ht="12.6" customHeight="1" x14ac:dyDescent="0.2">
      <c r="A247" s="112"/>
      <c r="B247" s="706" t="s">
        <v>518</v>
      </c>
      <c r="C247" s="729"/>
      <c r="D247" s="729"/>
      <c r="E247" s="729"/>
      <c r="F247" s="487">
        <f>7.624*X2</f>
        <v>6922.5919999999996</v>
      </c>
      <c r="G247" s="348">
        <f t="shared" ref="G247:G249" si="536">+F247*$X$1</f>
        <v>6922.5919999999996</v>
      </c>
      <c r="H247" s="386">
        <f t="shared" si="513"/>
        <v>7212.5919999999996</v>
      </c>
      <c r="I247" s="348">
        <f t="shared" si="514"/>
        <v>7212.5919999999996</v>
      </c>
      <c r="J247" s="386">
        <f t="shared" si="515"/>
        <v>7042.5919999999996</v>
      </c>
      <c r="K247" s="348">
        <f t="shared" si="529"/>
        <v>7042.5919999999996</v>
      </c>
      <c r="L247" s="386">
        <f t="shared" si="517"/>
        <v>6996.5919999999996</v>
      </c>
      <c r="M247" s="348">
        <f t="shared" si="530"/>
        <v>6996.5919999999996</v>
      </c>
      <c r="N247" s="386">
        <f t="shared" si="519"/>
        <v>6968.5919999999996</v>
      </c>
      <c r="O247" s="348">
        <f t="shared" si="531"/>
        <v>6968.5919999999996</v>
      </c>
      <c r="P247" s="386">
        <f t="shared" si="521"/>
        <v>6964.5919999999996</v>
      </c>
      <c r="Q247" s="348">
        <f t="shared" si="532"/>
        <v>6964.5919999999996</v>
      </c>
      <c r="R247" s="386">
        <f t="shared" si="523"/>
        <v>6957.5919999999996</v>
      </c>
      <c r="S247" s="348">
        <f t="shared" si="533"/>
        <v>6957.5919999999996</v>
      </c>
      <c r="T247" s="109">
        <f t="shared" si="525"/>
        <v>6951.5919999999996</v>
      </c>
      <c r="U247" s="306">
        <f t="shared" si="534"/>
        <v>6951.5919999999996</v>
      </c>
      <c r="V247" s="109">
        <f t="shared" si="527"/>
        <v>6946.5919999999996</v>
      </c>
      <c r="W247" s="306">
        <f t="shared" si="535"/>
        <v>6946.5919999999996</v>
      </c>
      <c r="X247" s="708"/>
      <c r="Y247" s="711"/>
      <c r="Z247" s="711"/>
      <c r="AA247" s="710"/>
      <c r="AB247" s="209">
        <v>928</v>
      </c>
    </row>
    <row r="248" spans="1:33" ht="12.6" customHeight="1" x14ac:dyDescent="0.2">
      <c r="A248" s="20"/>
      <c r="B248" s="720" t="s">
        <v>463</v>
      </c>
      <c r="C248" s="721"/>
      <c r="D248" s="721"/>
      <c r="E248" s="721"/>
      <c r="F248" s="488">
        <f>7.96*X2</f>
        <v>7227.68</v>
      </c>
      <c r="G248" s="349">
        <f t="shared" si="536"/>
        <v>7227.68</v>
      </c>
      <c r="H248" s="638">
        <f t="shared" si="513"/>
        <v>7517.68</v>
      </c>
      <c r="I248" s="349">
        <f t="shared" si="514"/>
        <v>7517.68</v>
      </c>
      <c r="J248" s="638">
        <f t="shared" si="515"/>
        <v>7347.68</v>
      </c>
      <c r="K248" s="349">
        <f t="shared" si="529"/>
        <v>7347.68</v>
      </c>
      <c r="L248" s="638">
        <f t="shared" si="517"/>
        <v>7301.68</v>
      </c>
      <c r="M248" s="349">
        <f t="shared" si="530"/>
        <v>7301.68</v>
      </c>
      <c r="N248" s="638">
        <f t="shared" si="519"/>
        <v>7273.68</v>
      </c>
      <c r="O248" s="349">
        <f t="shared" si="531"/>
        <v>7273.68</v>
      </c>
      <c r="P248" s="638">
        <f t="shared" si="521"/>
        <v>7269.68</v>
      </c>
      <c r="Q248" s="349">
        <f t="shared" si="532"/>
        <v>7269.68</v>
      </c>
      <c r="R248" s="638">
        <f t="shared" si="523"/>
        <v>7262.68</v>
      </c>
      <c r="S248" s="349">
        <f t="shared" si="533"/>
        <v>7262.68</v>
      </c>
      <c r="T248" s="108">
        <f t="shared" si="525"/>
        <v>7256.68</v>
      </c>
      <c r="U248" s="374">
        <f t="shared" si="534"/>
        <v>7256.68</v>
      </c>
      <c r="V248" s="108">
        <f t="shared" si="527"/>
        <v>7251.68</v>
      </c>
      <c r="W248" s="374">
        <f t="shared" si="535"/>
        <v>7251.68</v>
      </c>
      <c r="X248" s="708"/>
      <c r="Y248" s="709"/>
      <c r="Z248" s="709"/>
      <c r="AA248" s="710"/>
      <c r="AB248" s="209">
        <v>931</v>
      </c>
    </row>
    <row r="249" spans="1:33" ht="12.6" customHeight="1" x14ac:dyDescent="0.2">
      <c r="A249" s="20"/>
      <c r="B249" s="706" t="s">
        <v>704</v>
      </c>
      <c r="C249" s="729"/>
      <c r="D249" s="729"/>
      <c r="E249" s="729"/>
      <c r="F249" s="487">
        <f>8.31*X2</f>
        <v>7545.4800000000005</v>
      </c>
      <c r="G249" s="348">
        <f t="shared" si="536"/>
        <v>7545.4800000000005</v>
      </c>
      <c r="H249" s="386">
        <f t="shared" ref="H249:H256" si="537">F249+290</f>
        <v>7835.4800000000005</v>
      </c>
      <c r="I249" s="348">
        <f>+H249*$X$1</f>
        <v>7835.4800000000005</v>
      </c>
      <c r="J249" s="386">
        <f>F249+120</f>
        <v>7665.4800000000005</v>
      </c>
      <c r="K249" s="348">
        <f t="shared" ref="K249:K253" si="538">+J249*$X$1</f>
        <v>7665.4800000000005</v>
      </c>
      <c r="L249" s="386">
        <f>F249+74</f>
        <v>7619.4800000000005</v>
      </c>
      <c r="M249" s="348">
        <f t="shared" ref="M249:M253" si="539">+L249*$X$1</f>
        <v>7619.4800000000005</v>
      </c>
      <c r="N249" s="386">
        <f>F249+46</f>
        <v>7591.4800000000005</v>
      </c>
      <c r="O249" s="348">
        <f t="shared" ref="O249:O253" si="540">+N249*$X$1</f>
        <v>7591.4800000000005</v>
      </c>
      <c r="P249" s="386">
        <f>F249+42</f>
        <v>7587.4800000000005</v>
      </c>
      <c r="Q249" s="348">
        <f t="shared" ref="Q249:Q253" si="541">+P249*$X$1</f>
        <v>7587.4800000000005</v>
      </c>
      <c r="R249" s="386">
        <f>F249+35</f>
        <v>7580.4800000000005</v>
      </c>
      <c r="S249" s="348">
        <f t="shared" ref="S249:S253" si="542">+R249*$X$1</f>
        <v>7580.4800000000005</v>
      </c>
      <c r="T249" s="109">
        <f>F249+29</f>
        <v>7574.4800000000005</v>
      </c>
      <c r="U249" s="306">
        <f t="shared" ref="U249:U253" si="543">+T249*$X$1</f>
        <v>7574.4800000000005</v>
      </c>
      <c r="V249" s="109">
        <f>F249+24</f>
        <v>7569.4800000000005</v>
      </c>
      <c r="W249" s="306">
        <f t="shared" ref="W249:W253" si="544">+V249*$X$1</f>
        <v>7569.4800000000005</v>
      </c>
      <c r="X249" s="478"/>
      <c r="Y249" s="478"/>
      <c r="Z249" s="478"/>
      <c r="AA249" s="478"/>
      <c r="AB249" s="209">
        <v>935</v>
      </c>
    </row>
    <row r="250" spans="1:33" ht="12.6" customHeight="1" x14ac:dyDescent="0.2">
      <c r="A250" s="20"/>
      <c r="B250" s="720" t="s">
        <v>745</v>
      </c>
      <c r="C250" s="721"/>
      <c r="D250" s="721"/>
      <c r="E250" s="721"/>
      <c r="F250" s="488">
        <f>10*X2</f>
        <v>9080</v>
      </c>
      <c r="G250" s="349">
        <f t="shared" ref="G250:G251" si="545">+F250*$X$1</f>
        <v>9080</v>
      </c>
      <c r="H250" s="638">
        <f t="shared" si="537"/>
        <v>9370</v>
      </c>
      <c r="I250" s="349">
        <f>+H250*$X$1</f>
        <v>9370</v>
      </c>
      <c r="J250" s="638">
        <f>F250+120</f>
        <v>9200</v>
      </c>
      <c r="K250" s="349">
        <f t="shared" si="538"/>
        <v>9200</v>
      </c>
      <c r="L250" s="638">
        <f>F250+74</f>
        <v>9154</v>
      </c>
      <c r="M250" s="349">
        <f t="shared" si="539"/>
        <v>9154</v>
      </c>
      <c r="N250" s="638">
        <f>F250+46</f>
        <v>9126</v>
      </c>
      <c r="O250" s="349">
        <f t="shared" si="540"/>
        <v>9126</v>
      </c>
      <c r="P250" s="638">
        <f>F250+42</f>
        <v>9122</v>
      </c>
      <c r="Q250" s="349">
        <f t="shared" si="541"/>
        <v>9122</v>
      </c>
      <c r="R250" s="638">
        <f>F250+35</f>
        <v>9115</v>
      </c>
      <c r="S250" s="349">
        <f t="shared" si="542"/>
        <v>9115</v>
      </c>
      <c r="T250" s="108">
        <f>F250+29</f>
        <v>9109</v>
      </c>
      <c r="U250" s="374">
        <f t="shared" si="543"/>
        <v>9109</v>
      </c>
      <c r="V250" s="108">
        <f>F250+24</f>
        <v>9104</v>
      </c>
      <c r="W250" s="374">
        <f t="shared" si="544"/>
        <v>9104</v>
      </c>
      <c r="X250" s="708"/>
      <c r="Y250" s="711"/>
      <c r="Z250" s="711"/>
      <c r="AA250" s="710"/>
      <c r="AB250" s="209">
        <v>936</v>
      </c>
    </row>
    <row r="251" spans="1:33" ht="12.6" customHeight="1" x14ac:dyDescent="0.2">
      <c r="A251" s="20"/>
      <c r="B251" s="937" t="s">
        <v>880</v>
      </c>
      <c r="C251" s="938"/>
      <c r="D251" s="938"/>
      <c r="E251" s="938"/>
      <c r="F251" s="487">
        <f>4.9*X2</f>
        <v>4449.2000000000007</v>
      </c>
      <c r="G251" s="348">
        <f t="shared" si="545"/>
        <v>4449.2000000000007</v>
      </c>
      <c r="H251" s="386">
        <f t="shared" ref="H251" si="546">F251+290</f>
        <v>4739.2000000000007</v>
      </c>
      <c r="I251" s="348">
        <f>+H251*$X$1</f>
        <v>4739.2000000000007</v>
      </c>
      <c r="J251" s="386">
        <f>F251+120</f>
        <v>4569.2000000000007</v>
      </c>
      <c r="K251" s="348">
        <f t="shared" ref="K251" si="547">+J251*$X$1</f>
        <v>4569.2000000000007</v>
      </c>
      <c r="L251" s="386">
        <f>F251+74</f>
        <v>4523.2000000000007</v>
      </c>
      <c r="M251" s="348">
        <f t="shared" ref="M251" si="548">+L251*$X$1</f>
        <v>4523.2000000000007</v>
      </c>
      <c r="N251" s="386">
        <f>F251+46</f>
        <v>4495.2000000000007</v>
      </c>
      <c r="O251" s="348">
        <f t="shared" ref="O251" si="549">+N251*$X$1</f>
        <v>4495.2000000000007</v>
      </c>
      <c r="P251" s="386">
        <f>F251+42</f>
        <v>4491.2000000000007</v>
      </c>
      <c r="Q251" s="348">
        <f t="shared" ref="Q251" si="550">+P251*$X$1</f>
        <v>4491.2000000000007</v>
      </c>
      <c r="R251" s="386">
        <f>F251+35</f>
        <v>4484.2000000000007</v>
      </c>
      <c r="S251" s="348">
        <f t="shared" ref="S251" si="551">+R251*$X$1</f>
        <v>4484.2000000000007</v>
      </c>
      <c r="T251" s="109">
        <f>F251+29</f>
        <v>4478.2000000000007</v>
      </c>
      <c r="U251" s="306">
        <f t="shared" ref="U251" si="552">+T251*$X$1</f>
        <v>4478.2000000000007</v>
      </c>
      <c r="V251" s="109">
        <f>F251+24</f>
        <v>4473.2000000000007</v>
      </c>
      <c r="W251" s="306">
        <f t="shared" ref="W251" si="553">+V251*$X$1</f>
        <v>4473.2000000000007</v>
      </c>
      <c r="X251" s="637"/>
      <c r="Y251" s="637"/>
      <c r="Z251" s="637"/>
      <c r="AA251" s="637"/>
      <c r="AB251" s="209">
        <v>940</v>
      </c>
    </row>
    <row r="252" spans="1:33" ht="12.6" customHeight="1" x14ac:dyDescent="0.2">
      <c r="A252" s="20"/>
      <c r="B252" s="700" t="s">
        <v>215</v>
      </c>
      <c r="C252" s="730"/>
      <c r="D252" s="730"/>
      <c r="E252" s="731"/>
      <c r="F252" s="488">
        <f>5.483*X2</f>
        <v>4978.5639999999994</v>
      </c>
      <c r="G252" s="349">
        <f t="shared" ref="G252:G256" si="554">+F252*$X$1</f>
        <v>4978.5639999999994</v>
      </c>
      <c r="H252" s="607">
        <f t="shared" si="537"/>
        <v>5268.5639999999994</v>
      </c>
      <c r="I252" s="349">
        <f>+H252*$X$1</f>
        <v>5268.5639999999994</v>
      </c>
      <c r="J252" s="607">
        <f>F252+120</f>
        <v>5098.5639999999994</v>
      </c>
      <c r="K252" s="349">
        <f t="shared" si="538"/>
        <v>5098.5639999999994</v>
      </c>
      <c r="L252" s="607">
        <f>F252+74</f>
        <v>5052.5639999999994</v>
      </c>
      <c r="M252" s="349">
        <f t="shared" si="539"/>
        <v>5052.5639999999994</v>
      </c>
      <c r="N252" s="607">
        <f>F252+46</f>
        <v>5024.5639999999994</v>
      </c>
      <c r="O252" s="349">
        <f t="shared" si="540"/>
        <v>5024.5639999999994</v>
      </c>
      <c r="P252" s="607">
        <f>F252+42</f>
        <v>5020.5639999999994</v>
      </c>
      <c r="Q252" s="349">
        <f t="shared" si="541"/>
        <v>5020.5639999999994</v>
      </c>
      <c r="R252" s="607">
        <f>F252+35</f>
        <v>5013.5639999999994</v>
      </c>
      <c r="S252" s="349">
        <f t="shared" si="542"/>
        <v>5013.5639999999994</v>
      </c>
      <c r="T252" s="108">
        <f>F252+29</f>
        <v>5007.5639999999994</v>
      </c>
      <c r="U252" s="374">
        <f t="shared" si="543"/>
        <v>5007.5639999999994</v>
      </c>
      <c r="V252" s="108">
        <f>F252+24</f>
        <v>5002.5639999999994</v>
      </c>
      <c r="W252" s="374">
        <f t="shared" si="544"/>
        <v>5002.5639999999994</v>
      </c>
      <c r="X252" s="145"/>
      <c r="Y252" s="147"/>
      <c r="Z252" s="142"/>
      <c r="AA252" s="142"/>
      <c r="AB252" s="209">
        <v>945</v>
      </c>
      <c r="AD252" s="69"/>
      <c r="AE252" s="69"/>
      <c r="AF252" s="69"/>
      <c r="AG252" s="69"/>
    </row>
    <row r="253" spans="1:33" ht="12.6" customHeight="1" x14ac:dyDescent="0.2">
      <c r="A253" s="20"/>
      <c r="B253" s="706" t="s">
        <v>579</v>
      </c>
      <c r="C253" s="729"/>
      <c r="D253" s="729"/>
      <c r="E253" s="729"/>
      <c r="F253" s="487">
        <f>4.502*X2</f>
        <v>4087.8159999999998</v>
      </c>
      <c r="G253" s="348">
        <f t="shared" ref="G253" si="555">+F253*$X$1</f>
        <v>4087.8159999999998</v>
      </c>
      <c r="H253" s="386">
        <f t="shared" si="537"/>
        <v>4377.8159999999998</v>
      </c>
      <c r="I253" s="348">
        <f>+H253*$X$1</f>
        <v>4377.8159999999998</v>
      </c>
      <c r="J253" s="386">
        <f>F253+120</f>
        <v>4207.8159999999998</v>
      </c>
      <c r="K253" s="348">
        <f t="shared" si="538"/>
        <v>4207.8159999999998</v>
      </c>
      <c r="L253" s="386">
        <f>F253+74</f>
        <v>4161.8159999999998</v>
      </c>
      <c r="M253" s="348">
        <f t="shared" si="539"/>
        <v>4161.8159999999998</v>
      </c>
      <c r="N253" s="386">
        <f>F253+46</f>
        <v>4133.8159999999998</v>
      </c>
      <c r="O253" s="348">
        <f t="shared" si="540"/>
        <v>4133.8159999999998</v>
      </c>
      <c r="P253" s="386">
        <f>F253+42</f>
        <v>4129.8159999999998</v>
      </c>
      <c r="Q253" s="348">
        <f t="shared" si="541"/>
        <v>4129.8159999999998</v>
      </c>
      <c r="R253" s="386">
        <f>F253+35</f>
        <v>4122.8159999999998</v>
      </c>
      <c r="S253" s="348">
        <f t="shared" si="542"/>
        <v>4122.8159999999998</v>
      </c>
      <c r="T253" s="109">
        <f>F253+29</f>
        <v>4116.8159999999998</v>
      </c>
      <c r="U253" s="306">
        <f t="shared" si="543"/>
        <v>4116.8159999999998</v>
      </c>
      <c r="V253" s="109">
        <f>F253+24</f>
        <v>4111.8159999999998</v>
      </c>
      <c r="W253" s="306">
        <f t="shared" si="544"/>
        <v>4111.8159999999998</v>
      </c>
      <c r="X253" s="166"/>
      <c r="Y253" s="166"/>
      <c r="Z253" s="166"/>
      <c r="AA253" s="166"/>
      <c r="AB253" s="209">
        <v>946</v>
      </c>
    </row>
    <row r="254" spans="1:33" ht="12.6" customHeight="1" x14ac:dyDescent="0.2">
      <c r="A254" s="20"/>
      <c r="B254" s="744" t="s">
        <v>216</v>
      </c>
      <c r="C254" s="745"/>
      <c r="D254" s="745"/>
      <c r="E254" s="746"/>
      <c r="F254" s="488">
        <f>5.1*X2</f>
        <v>4630.7999999999993</v>
      </c>
      <c r="G254" s="349">
        <f t="shared" si="554"/>
        <v>4630.7999999999993</v>
      </c>
      <c r="H254" s="607">
        <f t="shared" si="537"/>
        <v>4920.7999999999993</v>
      </c>
      <c r="I254" s="349">
        <f t="shared" ref="I254" si="556">+H254*$X$1</f>
        <v>4920.7999999999993</v>
      </c>
      <c r="J254" s="94"/>
      <c r="K254" s="349"/>
      <c r="L254" s="607"/>
      <c r="M254" s="349"/>
      <c r="N254" s="607"/>
      <c r="O254" s="349"/>
      <c r="P254" s="607"/>
      <c r="Q254" s="349"/>
      <c r="R254" s="607"/>
      <c r="S254" s="349"/>
      <c r="T254" s="607"/>
      <c r="U254" s="349"/>
      <c r="V254" s="607"/>
      <c r="W254" s="349"/>
      <c r="X254" s="708"/>
      <c r="Y254" s="709"/>
      <c r="Z254" s="709"/>
      <c r="AA254" s="710"/>
      <c r="AB254" s="552">
        <v>949</v>
      </c>
    </row>
    <row r="255" spans="1:33" ht="12.6" customHeight="1" x14ac:dyDescent="0.2">
      <c r="A255" s="20"/>
      <c r="B255" s="706" t="s">
        <v>217</v>
      </c>
      <c r="C255" s="729"/>
      <c r="D255" s="729"/>
      <c r="E255" s="729"/>
      <c r="F255" s="487">
        <f>4.7*X2</f>
        <v>4267.6000000000004</v>
      </c>
      <c r="G255" s="348">
        <f t="shared" si="554"/>
        <v>4267.6000000000004</v>
      </c>
      <c r="H255" s="386">
        <f t="shared" si="537"/>
        <v>4557.6000000000004</v>
      </c>
      <c r="I255" s="348">
        <f>+H255*$X$1</f>
        <v>4557.6000000000004</v>
      </c>
      <c r="J255" s="386">
        <f>F255+120</f>
        <v>4387.6000000000004</v>
      </c>
      <c r="K255" s="348">
        <f t="shared" ref="K255:K257" si="557">+J255*$X$1</f>
        <v>4387.6000000000004</v>
      </c>
      <c r="L255" s="386">
        <f>F255+74</f>
        <v>4341.6000000000004</v>
      </c>
      <c r="M255" s="348">
        <f t="shared" ref="M255:M257" si="558">+L255*$X$1</f>
        <v>4341.6000000000004</v>
      </c>
      <c r="N255" s="386">
        <f>F255+46</f>
        <v>4313.6000000000004</v>
      </c>
      <c r="O255" s="348">
        <f t="shared" ref="O255:O257" si="559">+N255*$X$1</f>
        <v>4313.6000000000004</v>
      </c>
      <c r="P255" s="386">
        <f>F255+42</f>
        <v>4309.6000000000004</v>
      </c>
      <c r="Q255" s="348">
        <f t="shared" ref="Q255:Q257" si="560">+P255*$X$1</f>
        <v>4309.6000000000004</v>
      </c>
      <c r="R255" s="386">
        <f>F255+35</f>
        <v>4302.6000000000004</v>
      </c>
      <c r="S255" s="348">
        <f t="shared" ref="S255:S257" si="561">+R255*$X$1</f>
        <v>4302.6000000000004</v>
      </c>
      <c r="T255" s="109">
        <f>F255+29</f>
        <v>4296.6000000000004</v>
      </c>
      <c r="U255" s="306">
        <f t="shared" ref="U255:U257" si="562">+T255*$X$1</f>
        <v>4296.6000000000004</v>
      </c>
      <c r="V255" s="109">
        <f>F255+24</f>
        <v>4291.6000000000004</v>
      </c>
      <c r="W255" s="306">
        <f t="shared" ref="W255:W257" si="563">+V255*$X$1</f>
        <v>4291.6000000000004</v>
      </c>
      <c r="X255" s="708"/>
      <c r="Y255" s="709"/>
      <c r="Z255" s="709"/>
      <c r="AA255" s="710"/>
      <c r="AB255" s="209">
        <v>950</v>
      </c>
    </row>
    <row r="256" spans="1:33" ht="12.6" customHeight="1" x14ac:dyDescent="0.2">
      <c r="A256" s="20"/>
      <c r="B256" s="720" t="s">
        <v>705</v>
      </c>
      <c r="C256" s="721"/>
      <c r="D256" s="721"/>
      <c r="E256" s="721"/>
      <c r="F256" s="488">
        <f>6.46*X2</f>
        <v>5865.68</v>
      </c>
      <c r="G256" s="349">
        <f t="shared" si="554"/>
        <v>5865.68</v>
      </c>
      <c r="H256" s="607">
        <f t="shared" si="537"/>
        <v>6155.68</v>
      </c>
      <c r="I256" s="349">
        <f>+H256*$X$1</f>
        <v>6155.68</v>
      </c>
      <c r="J256" s="607">
        <f>F256+120</f>
        <v>5985.68</v>
      </c>
      <c r="K256" s="349">
        <f t="shared" si="557"/>
        <v>5985.68</v>
      </c>
      <c r="L256" s="607">
        <f>F256+74</f>
        <v>5939.68</v>
      </c>
      <c r="M256" s="349">
        <f t="shared" si="558"/>
        <v>5939.68</v>
      </c>
      <c r="N256" s="607">
        <f>F256+46</f>
        <v>5911.68</v>
      </c>
      <c r="O256" s="349">
        <f t="shared" si="559"/>
        <v>5911.68</v>
      </c>
      <c r="P256" s="607">
        <f>F256+42</f>
        <v>5907.68</v>
      </c>
      <c r="Q256" s="349">
        <f t="shared" si="560"/>
        <v>5907.68</v>
      </c>
      <c r="R256" s="607">
        <f>F256+35</f>
        <v>5900.68</v>
      </c>
      <c r="S256" s="349">
        <f t="shared" si="561"/>
        <v>5900.68</v>
      </c>
      <c r="T256" s="108">
        <f>F256+29</f>
        <v>5894.68</v>
      </c>
      <c r="U256" s="374">
        <f t="shared" si="562"/>
        <v>5894.68</v>
      </c>
      <c r="V256" s="108">
        <f>F256+24</f>
        <v>5889.68</v>
      </c>
      <c r="W256" s="374">
        <f t="shared" si="563"/>
        <v>5889.68</v>
      </c>
      <c r="X256" s="967"/>
      <c r="Y256" s="968"/>
      <c r="Z256" s="968"/>
      <c r="AA256" s="969"/>
      <c r="AB256" s="209">
        <v>962</v>
      </c>
    </row>
    <row r="257" spans="1:38" s="1" customFormat="1" ht="12.6" customHeight="1" x14ac:dyDescent="0.2">
      <c r="A257" s="21"/>
      <c r="B257" s="706" t="s">
        <v>218</v>
      </c>
      <c r="C257" s="729"/>
      <c r="D257" s="729"/>
      <c r="E257" s="729"/>
      <c r="F257" s="348">
        <v>2174</v>
      </c>
      <c r="G257" s="348">
        <f>+F257*$X$1</f>
        <v>2174</v>
      </c>
      <c r="H257" s="386">
        <f>F257+260</f>
        <v>2434</v>
      </c>
      <c r="I257" s="348">
        <f t="shared" ref="I257" si="564">+H257*$X$1</f>
        <v>2434</v>
      </c>
      <c r="J257" s="75">
        <f>F257+95</f>
        <v>2269</v>
      </c>
      <c r="K257" s="348">
        <f t="shared" si="557"/>
        <v>2269</v>
      </c>
      <c r="L257" s="386">
        <f>F257+70</f>
        <v>2244</v>
      </c>
      <c r="M257" s="348">
        <f t="shared" si="558"/>
        <v>2244</v>
      </c>
      <c r="N257" s="386">
        <f>F257+59</f>
        <v>2233</v>
      </c>
      <c r="O257" s="348">
        <f t="shared" si="559"/>
        <v>2233</v>
      </c>
      <c r="P257" s="386">
        <f>F257+55</f>
        <v>2229</v>
      </c>
      <c r="Q257" s="348">
        <f t="shared" si="560"/>
        <v>2229</v>
      </c>
      <c r="R257" s="386">
        <f>F257+51</f>
        <v>2225</v>
      </c>
      <c r="S257" s="348">
        <f t="shared" si="561"/>
        <v>2225</v>
      </c>
      <c r="T257" s="386">
        <f>F257+46</f>
        <v>2220</v>
      </c>
      <c r="U257" s="348">
        <f t="shared" si="562"/>
        <v>2220</v>
      </c>
      <c r="V257" s="386">
        <f>F257+43</f>
        <v>2217</v>
      </c>
      <c r="W257" s="348">
        <f t="shared" si="563"/>
        <v>2217</v>
      </c>
      <c r="X257" s="877"/>
      <c r="Y257" s="942"/>
      <c r="Z257" s="942"/>
      <c r="AA257" s="817"/>
      <c r="AB257" s="209">
        <v>965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2.6" customHeight="1" x14ac:dyDescent="0.2">
      <c r="A258" s="20"/>
      <c r="B258" s="720" t="s">
        <v>707</v>
      </c>
      <c r="C258" s="721"/>
      <c r="D258" s="721"/>
      <c r="E258" s="721"/>
      <c r="F258" s="488">
        <f>7.721*X2</f>
        <v>7010.6679999999997</v>
      </c>
      <c r="G258" s="349">
        <f t="shared" ref="G258" si="565">+F258*$X$1</f>
        <v>7010.6679999999997</v>
      </c>
      <c r="H258" s="607">
        <f>F258+290</f>
        <v>7300.6679999999997</v>
      </c>
      <c r="I258" s="349">
        <f>+H258*$X$1</f>
        <v>7300.6679999999997</v>
      </c>
      <c r="J258" s="607">
        <f>F258+120</f>
        <v>7130.6679999999997</v>
      </c>
      <c r="K258" s="349">
        <f t="shared" ref="K258:K265" si="566">+J258*$X$1</f>
        <v>7130.6679999999997</v>
      </c>
      <c r="L258" s="607">
        <f>F258+74</f>
        <v>7084.6679999999997</v>
      </c>
      <c r="M258" s="349">
        <f t="shared" ref="M258:M265" si="567">+L258*$X$1</f>
        <v>7084.6679999999997</v>
      </c>
      <c r="N258" s="607">
        <f>F258+46</f>
        <v>7056.6679999999997</v>
      </c>
      <c r="O258" s="349">
        <f t="shared" ref="O258:O265" si="568">+N258*$X$1</f>
        <v>7056.6679999999997</v>
      </c>
      <c r="P258" s="607">
        <f>F258+42</f>
        <v>7052.6679999999997</v>
      </c>
      <c r="Q258" s="349">
        <f t="shared" ref="Q258:Q265" si="569">+P258*$X$1</f>
        <v>7052.6679999999997</v>
      </c>
      <c r="R258" s="607">
        <f>F258+35</f>
        <v>7045.6679999999997</v>
      </c>
      <c r="S258" s="349">
        <f t="shared" ref="S258:S265" si="570">+R258*$X$1</f>
        <v>7045.6679999999997</v>
      </c>
      <c r="T258" s="108"/>
      <c r="U258" s="374"/>
      <c r="V258" s="108"/>
      <c r="W258" s="374"/>
      <c r="X258" s="967"/>
      <c r="Y258" s="968"/>
      <c r="Z258" s="968"/>
      <c r="AA258" s="969"/>
      <c r="AB258" s="209">
        <v>966</v>
      </c>
    </row>
    <row r="259" spans="1:38" s="1" customFormat="1" ht="12.6" customHeight="1" x14ac:dyDescent="0.2">
      <c r="A259" s="21"/>
      <c r="B259" s="716" t="s">
        <v>219</v>
      </c>
      <c r="C259" s="717"/>
      <c r="D259" s="717"/>
      <c r="E259" s="718"/>
      <c r="F259" s="348">
        <v>1882</v>
      </c>
      <c r="G259" s="348">
        <f>+F259*$X$1</f>
        <v>1882</v>
      </c>
      <c r="H259" s="344"/>
      <c r="I259" s="424"/>
      <c r="J259" s="75">
        <f t="shared" ref="J259:J265" si="571">F259+95</f>
        <v>1977</v>
      </c>
      <c r="K259" s="348">
        <f t="shared" si="566"/>
        <v>1977</v>
      </c>
      <c r="L259" s="386">
        <f t="shared" ref="L259:L265" si="572">F259+70</f>
        <v>1952</v>
      </c>
      <c r="M259" s="348">
        <f t="shared" si="567"/>
        <v>1952</v>
      </c>
      <c r="N259" s="386">
        <f t="shared" ref="N259:N265" si="573">F259+59</f>
        <v>1941</v>
      </c>
      <c r="O259" s="348">
        <f t="shared" si="568"/>
        <v>1941</v>
      </c>
      <c r="P259" s="386">
        <f t="shared" ref="P259:P265" si="574">F259+55</f>
        <v>1937</v>
      </c>
      <c r="Q259" s="348">
        <f t="shared" si="569"/>
        <v>1937</v>
      </c>
      <c r="R259" s="386">
        <f t="shared" ref="R259:R265" si="575">F259+51</f>
        <v>1933</v>
      </c>
      <c r="S259" s="348">
        <f t="shared" si="570"/>
        <v>1933</v>
      </c>
      <c r="T259" s="386">
        <f t="shared" ref="T259:T265" si="576">F259+46</f>
        <v>1928</v>
      </c>
      <c r="U259" s="348">
        <f t="shared" ref="U259:U265" si="577">+T259*$X$1</f>
        <v>1928</v>
      </c>
      <c r="V259" s="386">
        <f t="shared" ref="V259:V265" si="578">F259+43</f>
        <v>1925</v>
      </c>
      <c r="W259" s="348">
        <f t="shared" ref="W259:W265" si="579">+V259*$X$1</f>
        <v>1925</v>
      </c>
      <c r="X259" s="168"/>
      <c r="Y259" s="169"/>
      <c r="Z259" s="169"/>
      <c r="AA259" s="170"/>
      <c r="AB259" s="552">
        <v>967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00" t="s">
        <v>412</v>
      </c>
      <c r="C260" s="701"/>
      <c r="D260" s="701"/>
      <c r="E260" s="702"/>
      <c r="F260" s="349">
        <v>1794</v>
      </c>
      <c r="G260" s="349">
        <f>+F260*$X$1</f>
        <v>1794</v>
      </c>
      <c r="H260" s="607">
        <f t="shared" ref="H260:H265" si="580">F260+260</f>
        <v>2054</v>
      </c>
      <c r="I260" s="349">
        <f t="shared" ref="I260:I265" si="581">+H260*$X$1</f>
        <v>2054</v>
      </c>
      <c r="J260" s="94">
        <f t="shared" si="571"/>
        <v>1889</v>
      </c>
      <c r="K260" s="349">
        <f t="shared" si="566"/>
        <v>1889</v>
      </c>
      <c r="L260" s="607">
        <f t="shared" si="572"/>
        <v>1864</v>
      </c>
      <c r="M260" s="349">
        <f t="shared" si="567"/>
        <v>1864</v>
      </c>
      <c r="N260" s="607">
        <f t="shared" si="573"/>
        <v>1853</v>
      </c>
      <c r="O260" s="349">
        <f t="shared" si="568"/>
        <v>1853</v>
      </c>
      <c r="P260" s="607">
        <f t="shared" si="574"/>
        <v>1849</v>
      </c>
      <c r="Q260" s="349">
        <f t="shared" si="569"/>
        <v>1849</v>
      </c>
      <c r="R260" s="607">
        <f t="shared" si="575"/>
        <v>1845</v>
      </c>
      <c r="S260" s="349">
        <f t="shared" si="570"/>
        <v>1845</v>
      </c>
      <c r="T260" s="607">
        <f t="shared" si="576"/>
        <v>1840</v>
      </c>
      <c r="U260" s="349">
        <f t="shared" si="577"/>
        <v>1840</v>
      </c>
      <c r="V260" s="607">
        <f t="shared" si="578"/>
        <v>1837</v>
      </c>
      <c r="W260" s="349">
        <f t="shared" si="579"/>
        <v>1837</v>
      </c>
      <c r="X260" s="877"/>
      <c r="Y260" s="942"/>
      <c r="Z260" s="942"/>
      <c r="AA260" s="817"/>
      <c r="AB260" s="552">
        <v>968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6" t="s">
        <v>220</v>
      </c>
      <c r="C261" s="729"/>
      <c r="D261" s="729"/>
      <c r="E261" s="729"/>
      <c r="F261" s="348">
        <v>4602</v>
      </c>
      <c r="G261" s="348">
        <f t="shared" ref="G261:G264" si="582">+F261*$X$1</f>
        <v>4602</v>
      </c>
      <c r="H261" s="386">
        <f t="shared" si="580"/>
        <v>4862</v>
      </c>
      <c r="I261" s="348">
        <f t="shared" si="581"/>
        <v>4862</v>
      </c>
      <c r="J261" s="75">
        <f t="shared" si="571"/>
        <v>4697</v>
      </c>
      <c r="K261" s="348">
        <f t="shared" si="566"/>
        <v>4697</v>
      </c>
      <c r="L261" s="386">
        <f t="shared" si="572"/>
        <v>4672</v>
      </c>
      <c r="M261" s="348">
        <f t="shared" si="567"/>
        <v>4672</v>
      </c>
      <c r="N261" s="386">
        <f t="shared" si="573"/>
        <v>4661</v>
      </c>
      <c r="O261" s="348">
        <f t="shared" si="568"/>
        <v>4661</v>
      </c>
      <c r="P261" s="386">
        <f t="shared" si="574"/>
        <v>4657</v>
      </c>
      <c r="Q261" s="348">
        <f t="shared" si="569"/>
        <v>4657</v>
      </c>
      <c r="R261" s="386">
        <f t="shared" si="575"/>
        <v>4653</v>
      </c>
      <c r="S261" s="348">
        <f t="shared" si="570"/>
        <v>4653</v>
      </c>
      <c r="T261" s="386">
        <f t="shared" si="576"/>
        <v>4648</v>
      </c>
      <c r="U261" s="348">
        <f t="shared" si="577"/>
        <v>4648</v>
      </c>
      <c r="V261" s="386">
        <f t="shared" si="578"/>
        <v>4645</v>
      </c>
      <c r="W261" s="348">
        <f t="shared" si="579"/>
        <v>4645</v>
      </c>
      <c r="X261" s="877"/>
      <c r="Y261" s="942"/>
      <c r="Z261" s="942"/>
      <c r="AA261" s="817"/>
      <c r="AB261" s="552">
        <v>969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0" t="s">
        <v>438</v>
      </c>
      <c r="C262" s="701"/>
      <c r="D262" s="701"/>
      <c r="E262" s="702"/>
      <c r="F262" s="349">
        <v>3990</v>
      </c>
      <c r="G262" s="349">
        <f>+F262*$X$1</f>
        <v>3990</v>
      </c>
      <c r="H262" s="106">
        <f t="shared" si="580"/>
        <v>4250</v>
      </c>
      <c r="I262" s="349">
        <f t="shared" si="581"/>
        <v>4250</v>
      </c>
      <c r="J262" s="94">
        <f t="shared" si="571"/>
        <v>4085</v>
      </c>
      <c r="K262" s="349">
        <f t="shared" si="566"/>
        <v>4085</v>
      </c>
      <c r="L262" s="607">
        <f t="shared" si="572"/>
        <v>4060</v>
      </c>
      <c r="M262" s="349">
        <f t="shared" si="567"/>
        <v>4060</v>
      </c>
      <c r="N262" s="607">
        <f t="shared" si="573"/>
        <v>4049</v>
      </c>
      <c r="O262" s="349">
        <f t="shared" si="568"/>
        <v>4049</v>
      </c>
      <c r="P262" s="607">
        <f t="shared" si="574"/>
        <v>4045</v>
      </c>
      <c r="Q262" s="349">
        <f t="shared" si="569"/>
        <v>4045</v>
      </c>
      <c r="R262" s="607">
        <f t="shared" si="575"/>
        <v>4041</v>
      </c>
      <c r="S262" s="349">
        <f t="shared" si="570"/>
        <v>4041</v>
      </c>
      <c r="T262" s="607">
        <f t="shared" si="576"/>
        <v>4036</v>
      </c>
      <c r="U262" s="349">
        <f t="shared" si="577"/>
        <v>4036</v>
      </c>
      <c r="V262" s="607">
        <f t="shared" si="578"/>
        <v>4033</v>
      </c>
      <c r="W262" s="349">
        <f t="shared" si="579"/>
        <v>4033</v>
      </c>
      <c r="X262" s="236"/>
      <c r="Y262" s="238"/>
      <c r="Z262" s="238"/>
      <c r="AA262" s="237"/>
      <c r="AB262" s="552" t="s">
        <v>546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6" t="s">
        <v>221</v>
      </c>
      <c r="C263" s="729"/>
      <c r="D263" s="729"/>
      <c r="E263" s="729"/>
      <c r="F263" s="348">
        <v>2037</v>
      </c>
      <c r="G263" s="348">
        <f t="shared" si="582"/>
        <v>2037</v>
      </c>
      <c r="H263" s="510">
        <f t="shared" si="580"/>
        <v>2297</v>
      </c>
      <c r="I263" s="348">
        <f t="shared" si="581"/>
        <v>2297</v>
      </c>
      <c r="J263" s="75">
        <f t="shared" si="571"/>
        <v>2132</v>
      </c>
      <c r="K263" s="348">
        <f t="shared" si="566"/>
        <v>2132</v>
      </c>
      <c r="L263" s="386">
        <f t="shared" si="572"/>
        <v>2107</v>
      </c>
      <c r="M263" s="348">
        <f t="shared" si="567"/>
        <v>2107</v>
      </c>
      <c r="N263" s="386">
        <f t="shared" si="573"/>
        <v>2096</v>
      </c>
      <c r="O263" s="348">
        <f t="shared" si="568"/>
        <v>2096</v>
      </c>
      <c r="P263" s="386">
        <f t="shared" si="574"/>
        <v>2092</v>
      </c>
      <c r="Q263" s="348">
        <f t="shared" si="569"/>
        <v>2092</v>
      </c>
      <c r="R263" s="386">
        <f t="shared" si="575"/>
        <v>2088</v>
      </c>
      <c r="S263" s="348">
        <f t="shared" si="570"/>
        <v>2088</v>
      </c>
      <c r="T263" s="386">
        <f t="shared" si="576"/>
        <v>2083</v>
      </c>
      <c r="U263" s="348">
        <f t="shared" si="577"/>
        <v>2083</v>
      </c>
      <c r="V263" s="386">
        <f t="shared" si="578"/>
        <v>2080</v>
      </c>
      <c r="W263" s="348">
        <f t="shared" si="579"/>
        <v>2080</v>
      </c>
      <c r="X263" s="877"/>
      <c r="Y263" s="942"/>
      <c r="Z263" s="942"/>
      <c r="AA263" s="817"/>
      <c r="AB263" s="552">
        <v>970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20" t="s">
        <v>222</v>
      </c>
      <c r="C264" s="721"/>
      <c r="D264" s="721"/>
      <c r="E264" s="721"/>
      <c r="F264" s="349">
        <v>2116</v>
      </c>
      <c r="G264" s="349">
        <f t="shared" si="582"/>
        <v>2116</v>
      </c>
      <c r="H264" s="106">
        <f t="shared" si="580"/>
        <v>2376</v>
      </c>
      <c r="I264" s="349">
        <f t="shared" si="581"/>
        <v>2376</v>
      </c>
      <c r="J264" s="94">
        <f t="shared" si="571"/>
        <v>2211</v>
      </c>
      <c r="K264" s="349">
        <f t="shared" si="566"/>
        <v>2211</v>
      </c>
      <c r="L264" s="607">
        <f t="shared" si="572"/>
        <v>2186</v>
      </c>
      <c r="M264" s="349">
        <f t="shared" si="567"/>
        <v>2186</v>
      </c>
      <c r="N264" s="607">
        <f t="shared" si="573"/>
        <v>2175</v>
      </c>
      <c r="O264" s="349">
        <f t="shared" si="568"/>
        <v>2175</v>
      </c>
      <c r="P264" s="607">
        <f t="shared" si="574"/>
        <v>2171</v>
      </c>
      <c r="Q264" s="349">
        <f t="shared" si="569"/>
        <v>2171</v>
      </c>
      <c r="R264" s="607">
        <f t="shared" si="575"/>
        <v>2167</v>
      </c>
      <c r="S264" s="349">
        <f t="shared" si="570"/>
        <v>2167</v>
      </c>
      <c r="T264" s="607">
        <f t="shared" si="576"/>
        <v>2162</v>
      </c>
      <c r="U264" s="349">
        <f t="shared" si="577"/>
        <v>2162</v>
      </c>
      <c r="V264" s="607">
        <f t="shared" si="578"/>
        <v>2159</v>
      </c>
      <c r="W264" s="349">
        <f t="shared" si="579"/>
        <v>2159</v>
      </c>
      <c r="X264" s="877"/>
      <c r="Y264" s="942"/>
      <c r="Z264" s="942"/>
      <c r="AA264" s="817"/>
      <c r="AB264" s="552">
        <v>971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16" t="s">
        <v>439</v>
      </c>
      <c r="C265" s="717"/>
      <c r="D265" s="717"/>
      <c r="E265" s="718"/>
      <c r="F265" s="348">
        <v>1980</v>
      </c>
      <c r="G265" s="348">
        <f t="shared" ref="G265" si="583">+F265*$X$1</f>
        <v>1980</v>
      </c>
      <c r="H265" s="510">
        <f t="shared" si="580"/>
        <v>2240</v>
      </c>
      <c r="I265" s="348">
        <f t="shared" si="581"/>
        <v>2240</v>
      </c>
      <c r="J265" s="75">
        <f t="shared" si="571"/>
        <v>2075</v>
      </c>
      <c r="K265" s="348">
        <f t="shared" si="566"/>
        <v>2075</v>
      </c>
      <c r="L265" s="386">
        <f t="shared" si="572"/>
        <v>2050</v>
      </c>
      <c r="M265" s="348">
        <f t="shared" si="567"/>
        <v>2050</v>
      </c>
      <c r="N265" s="386">
        <f t="shared" si="573"/>
        <v>2039</v>
      </c>
      <c r="O265" s="348">
        <f t="shared" si="568"/>
        <v>2039</v>
      </c>
      <c r="P265" s="386">
        <f t="shared" si="574"/>
        <v>2035</v>
      </c>
      <c r="Q265" s="348">
        <f t="shared" si="569"/>
        <v>2035</v>
      </c>
      <c r="R265" s="386">
        <f t="shared" si="575"/>
        <v>2031</v>
      </c>
      <c r="S265" s="348">
        <f t="shared" si="570"/>
        <v>2031</v>
      </c>
      <c r="T265" s="386">
        <f t="shared" si="576"/>
        <v>2026</v>
      </c>
      <c r="U265" s="348">
        <f t="shared" si="577"/>
        <v>2026</v>
      </c>
      <c r="V265" s="386">
        <f t="shared" si="578"/>
        <v>2023</v>
      </c>
      <c r="W265" s="348">
        <f t="shared" si="579"/>
        <v>2023</v>
      </c>
      <c r="X265" s="168"/>
      <c r="Y265" s="169"/>
      <c r="Z265" s="169"/>
      <c r="AA265" s="170"/>
      <c r="AB265" s="552">
        <v>972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20" t="s">
        <v>223</v>
      </c>
      <c r="C266" s="721"/>
      <c r="D266" s="721"/>
      <c r="E266" s="721"/>
      <c r="F266" s="98"/>
      <c r="G266" s="585"/>
      <c r="H266" s="337"/>
      <c r="I266" s="337"/>
      <c r="J266" s="94"/>
      <c r="K266" s="98"/>
      <c r="L266" s="98"/>
      <c r="M266" s="98"/>
      <c r="N266" s="98"/>
      <c r="O266" s="607"/>
      <c r="P266" s="607"/>
      <c r="Q266" s="607"/>
      <c r="R266" s="607"/>
      <c r="S266" s="607"/>
      <c r="T266" s="607"/>
      <c r="U266" s="607"/>
      <c r="V266" s="607"/>
      <c r="W266" s="607"/>
      <c r="X266" s="967"/>
      <c r="Y266" s="968"/>
      <c r="Z266" s="968"/>
      <c r="AA266" s="969"/>
      <c r="AB266" s="209">
        <v>980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6" t="s">
        <v>224</v>
      </c>
      <c r="C267" s="707"/>
      <c r="D267" s="707"/>
      <c r="E267" s="707"/>
      <c r="F267" s="109"/>
      <c r="G267" s="386"/>
      <c r="H267" s="338"/>
      <c r="I267" s="338"/>
      <c r="J267" s="75"/>
      <c r="K267" s="341"/>
      <c r="L267" s="341"/>
      <c r="M267" s="341"/>
      <c r="N267" s="341"/>
      <c r="O267" s="386"/>
      <c r="P267" s="386"/>
      <c r="Q267" s="386"/>
      <c r="R267" s="386"/>
      <c r="S267" s="386"/>
      <c r="T267" s="386"/>
      <c r="U267" s="386"/>
      <c r="V267" s="386"/>
      <c r="W267" s="386"/>
      <c r="X267" s="967"/>
      <c r="Y267" s="968"/>
      <c r="Z267" s="968"/>
      <c r="AA267" s="969"/>
      <c r="AB267" s="209">
        <v>981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00" t="s">
        <v>563</v>
      </c>
      <c r="C268" s="730"/>
      <c r="D268" s="730"/>
      <c r="E268" s="731"/>
      <c r="F268" s="108"/>
      <c r="G268" s="585"/>
      <c r="H268" s="337"/>
      <c r="I268" s="337"/>
      <c r="J268" s="94"/>
      <c r="K268" s="98"/>
      <c r="L268" s="98"/>
      <c r="M268" s="98"/>
      <c r="N268" s="98"/>
      <c r="O268" s="607"/>
      <c r="P268" s="607"/>
      <c r="Q268" s="607"/>
      <c r="R268" s="607"/>
      <c r="S268" s="607"/>
      <c r="T268" s="607"/>
      <c r="U268" s="607"/>
      <c r="V268" s="607"/>
      <c r="W268" s="607"/>
      <c r="X268" s="967"/>
      <c r="Y268" s="968"/>
      <c r="Z268" s="968"/>
      <c r="AA268" s="969"/>
      <c r="AB268" s="209">
        <v>982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16" t="s">
        <v>605</v>
      </c>
      <c r="C269" s="766"/>
      <c r="D269" s="766"/>
      <c r="E269" s="767"/>
      <c r="F269" s="109"/>
      <c r="G269" s="386"/>
      <c r="H269" s="344"/>
      <c r="I269" s="338"/>
      <c r="J269" s="75"/>
      <c r="K269" s="341"/>
      <c r="L269" s="341"/>
      <c r="M269" s="341"/>
      <c r="N269" s="341"/>
      <c r="O269" s="386"/>
      <c r="P269" s="386"/>
      <c r="Q269" s="386"/>
      <c r="R269" s="386"/>
      <c r="S269" s="386"/>
      <c r="T269" s="386"/>
      <c r="U269" s="386"/>
      <c r="V269" s="386"/>
      <c r="W269" s="386"/>
      <c r="X269" s="967"/>
      <c r="Y269" s="968"/>
      <c r="Z269" s="968"/>
      <c r="AA269" s="969"/>
      <c r="AB269" s="209">
        <v>983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0" t="s">
        <v>225</v>
      </c>
      <c r="C270" s="730"/>
      <c r="D270" s="730"/>
      <c r="E270" s="731"/>
      <c r="F270" s="98"/>
      <c r="G270" s="585"/>
      <c r="H270" s="337"/>
      <c r="I270" s="337"/>
      <c r="J270" s="94"/>
      <c r="K270" s="98"/>
      <c r="L270" s="98"/>
      <c r="M270" s="98"/>
      <c r="N270" s="98"/>
      <c r="O270" s="607"/>
      <c r="P270" s="607"/>
      <c r="Q270" s="607"/>
      <c r="R270" s="607"/>
      <c r="S270" s="607"/>
      <c r="T270" s="607"/>
      <c r="U270" s="607"/>
      <c r="V270" s="607"/>
      <c r="W270" s="607"/>
      <c r="X270" s="967"/>
      <c r="Y270" s="968"/>
      <c r="Z270" s="968"/>
      <c r="AA270" s="969"/>
      <c r="AB270" s="209">
        <v>984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16" t="s">
        <v>226</v>
      </c>
      <c r="C271" s="766"/>
      <c r="D271" s="766"/>
      <c r="E271" s="767"/>
      <c r="F271" s="378"/>
      <c r="G271" s="386"/>
      <c r="H271" s="344"/>
      <c r="I271" s="338"/>
      <c r="J271" s="75"/>
      <c r="K271" s="341"/>
      <c r="L271" s="341"/>
      <c r="M271" s="341"/>
      <c r="N271" s="341"/>
      <c r="O271" s="386"/>
      <c r="P271" s="386"/>
      <c r="Q271" s="386"/>
      <c r="R271" s="386"/>
      <c r="S271" s="386"/>
      <c r="T271" s="386"/>
      <c r="U271" s="386"/>
      <c r="V271" s="386"/>
      <c r="W271" s="386"/>
      <c r="X271" s="967"/>
      <c r="Y271" s="968"/>
      <c r="Z271" s="968"/>
      <c r="AA271" s="969"/>
      <c r="AB271" s="209">
        <v>985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20" t="s">
        <v>444</v>
      </c>
      <c r="C272" s="721"/>
      <c r="D272" s="721"/>
      <c r="E272" s="721"/>
      <c r="F272" s="349">
        <v>335</v>
      </c>
      <c r="G272" s="349">
        <f>+F272*$X$1</f>
        <v>335</v>
      </c>
      <c r="H272" s="337"/>
      <c r="I272" s="337"/>
      <c r="J272" s="607">
        <f>F272+120</f>
        <v>455</v>
      </c>
      <c r="K272" s="349">
        <f t="shared" ref="K272" si="584">+J272*$X$1</f>
        <v>455</v>
      </c>
      <c r="L272" s="607">
        <f>F272+74</f>
        <v>409</v>
      </c>
      <c r="M272" s="349">
        <f t="shared" ref="M272" si="585">+L272*$X$1</f>
        <v>409</v>
      </c>
      <c r="N272" s="607">
        <f>F272+46</f>
        <v>381</v>
      </c>
      <c r="O272" s="349">
        <f t="shared" ref="O272" si="586">+N272*$X$1</f>
        <v>381</v>
      </c>
      <c r="P272" s="607">
        <f>F272+42</f>
        <v>377</v>
      </c>
      <c r="Q272" s="349">
        <f t="shared" ref="Q272" si="587">+P272*$X$1</f>
        <v>377</v>
      </c>
      <c r="R272" s="607">
        <f>F272+35</f>
        <v>370</v>
      </c>
      <c r="S272" s="349">
        <f t="shared" ref="S272" si="588">+R272*$X$1</f>
        <v>370</v>
      </c>
      <c r="T272" s="108">
        <f>F272+29</f>
        <v>364</v>
      </c>
      <c r="U272" s="374">
        <f t="shared" ref="U272" si="589">+T272*$X$1</f>
        <v>364</v>
      </c>
      <c r="V272" s="108">
        <f>F272+24</f>
        <v>359</v>
      </c>
      <c r="W272" s="374">
        <f t="shared" ref="W272" si="590">+V272*$X$1</f>
        <v>359</v>
      </c>
      <c r="X272" s="163"/>
      <c r="Y272" s="163"/>
      <c r="Z272" s="163"/>
      <c r="AA272" s="163"/>
      <c r="AB272" s="209">
        <v>998</v>
      </c>
      <c r="AC272" s="79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16" t="s">
        <v>227</v>
      </c>
      <c r="C273" s="912"/>
      <c r="D273" s="912"/>
      <c r="E273" s="913"/>
      <c r="F273" s="348">
        <v>1100</v>
      </c>
      <c r="G273" s="375">
        <f t="shared" ref="G273" si="591">+F273*$X$1</f>
        <v>1100</v>
      </c>
      <c r="H273" s="1287" t="s">
        <v>468</v>
      </c>
      <c r="I273" s="1288"/>
      <c r="J273" s="1288"/>
      <c r="K273" s="1288"/>
      <c r="L273" s="1288"/>
      <c r="M273" s="1289"/>
      <c r="N273" s="510">
        <f>F273+59</f>
        <v>1159</v>
      </c>
      <c r="O273" s="348">
        <f t="shared" ref="O273:O277" si="592">+N273*$X$1</f>
        <v>1159</v>
      </c>
      <c r="P273" s="386">
        <f>F273+55</f>
        <v>1155</v>
      </c>
      <c r="Q273" s="348">
        <f t="shared" ref="Q273:Q277" si="593">+P273*$X$1</f>
        <v>1155</v>
      </c>
      <c r="R273" s="386">
        <f>F273+51</f>
        <v>1151</v>
      </c>
      <c r="S273" s="348">
        <f t="shared" ref="S273:S277" si="594">+R273*$X$1</f>
        <v>1151</v>
      </c>
      <c r="T273" s="386">
        <f>F273+46</f>
        <v>1146</v>
      </c>
      <c r="U273" s="348">
        <f t="shared" ref="U273:U277" si="595">+T273*$X$1</f>
        <v>1146</v>
      </c>
      <c r="V273" s="386">
        <f>F273+43</f>
        <v>1143</v>
      </c>
      <c r="W273" s="348">
        <f t="shared" ref="W273:W277" si="596">+V273*$X$1</f>
        <v>1143</v>
      </c>
      <c r="X273" s="877"/>
      <c r="Y273" s="816"/>
      <c r="Z273" s="816"/>
      <c r="AA273" s="817"/>
      <c r="AB273" s="209">
        <v>1001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0" t="s">
        <v>228</v>
      </c>
      <c r="C274" s="724"/>
      <c r="D274" s="724"/>
      <c r="E274" s="725"/>
      <c r="F274" s="391">
        <v>1100</v>
      </c>
      <c r="G274" s="349">
        <f t="shared" ref="G274:G282" si="597">+F274*$X$1</f>
        <v>1100</v>
      </c>
      <c r="H274" s="1290"/>
      <c r="I274" s="1291"/>
      <c r="J274" s="1291"/>
      <c r="K274" s="1288"/>
      <c r="L274" s="1291"/>
      <c r="M274" s="1289"/>
      <c r="N274" s="106">
        <f>F274+59</f>
        <v>1159</v>
      </c>
      <c r="O274" s="349">
        <f t="shared" si="592"/>
        <v>1159</v>
      </c>
      <c r="P274" s="607">
        <f>F274+55</f>
        <v>1155</v>
      </c>
      <c r="Q274" s="349">
        <f t="shared" si="593"/>
        <v>1155</v>
      </c>
      <c r="R274" s="607">
        <f>F274+51</f>
        <v>1151</v>
      </c>
      <c r="S274" s="349">
        <f t="shared" si="594"/>
        <v>1151</v>
      </c>
      <c r="T274" s="607">
        <f>F274+46</f>
        <v>1146</v>
      </c>
      <c r="U274" s="349">
        <f t="shared" si="595"/>
        <v>1146</v>
      </c>
      <c r="V274" s="607">
        <f>F274+43</f>
        <v>1143</v>
      </c>
      <c r="W274" s="349">
        <f t="shared" si="596"/>
        <v>1143</v>
      </c>
      <c r="X274" s="877"/>
      <c r="Y274" s="816"/>
      <c r="Z274" s="816"/>
      <c r="AA274" s="817"/>
      <c r="AB274" s="209">
        <v>1002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16" t="s">
        <v>762</v>
      </c>
      <c r="C275" s="912"/>
      <c r="D275" s="912"/>
      <c r="E275" s="913"/>
      <c r="F275" s="348">
        <v>1100</v>
      </c>
      <c r="G275" s="348">
        <f t="shared" si="597"/>
        <v>1100</v>
      </c>
      <c r="H275" s="1290"/>
      <c r="I275" s="1291"/>
      <c r="J275" s="1291"/>
      <c r="K275" s="1288"/>
      <c r="L275" s="1291"/>
      <c r="M275" s="1289"/>
      <c r="N275" s="510">
        <f>F275+59</f>
        <v>1159</v>
      </c>
      <c r="O275" s="348">
        <f t="shared" si="592"/>
        <v>1159</v>
      </c>
      <c r="P275" s="386">
        <f>F275+55</f>
        <v>1155</v>
      </c>
      <c r="Q275" s="348">
        <f t="shared" si="593"/>
        <v>1155</v>
      </c>
      <c r="R275" s="386">
        <f>F275+51</f>
        <v>1151</v>
      </c>
      <c r="S275" s="348">
        <f t="shared" si="594"/>
        <v>1151</v>
      </c>
      <c r="T275" s="386">
        <f>F275+46</f>
        <v>1146</v>
      </c>
      <c r="U275" s="348">
        <f t="shared" si="595"/>
        <v>1146</v>
      </c>
      <c r="V275" s="386">
        <f>F275+43</f>
        <v>1143</v>
      </c>
      <c r="W275" s="348">
        <f t="shared" si="596"/>
        <v>1143</v>
      </c>
      <c r="X275" s="877"/>
      <c r="Y275" s="816"/>
      <c r="Z275" s="816"/>
      <c r="AA275" s="817"/>
      <c r="AB275" s="209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720" t="s">
        <v>837</v>
      </c>
      <c r="C276" s="721"/>
      <c r="D276" s="721"/>
      <c r="E276" s="721"/>
      <c r="F276" s="349">
        <v>1300</v>
      </c>
      <c r="G276" s="349">
        <f t="shared" si="597"/>
        <v>1300</v>
      </c>
      <c r="H276" s="1290"/>
      <c r="I276" s="1291"/>
      <c r="J276" s="1291"/>
      <c r="K276" s="1288"/>
      <c r="L276" s="1291"/>
      <c r="M276" s="1289"/>
      <c r="N276" s="106">
        <f>F276+59</f>
        <v>1359</v>
      </c>
      <c r="O276" s="349">
        <f t="shared" si="592"/>
        <v>1359</v>
      </c>
      <c r="P276" s="607">
        <f>F276+55</f>
        <v>1355</v>
      </c>
      <c r="Q276" s="349">
        <f t="shared" si="593"/>
        <v>1355</v>
      </c>
      <c r="R276" s="607">
        <f>F276+51</f>
        <v>1351</v>
      </c>
      <c r="S276" s="349">
        <f t="shared" si="594"/>
        <v>1351</v>
      </c>
      <c r="T276" s="607">
        <f>F276+46</f>
        <v>1346</v>
      </c>
      <c r="U276" s="349">
        <f t="shared" si="595"/>
        <v>1346</v>
      </c>
      <c r="V276" s="607">
        <f>F276+43</f>
        <v>1343</v>
      </c>
      <c r="W276" s="349">
        <f t="shared" si="596"/>
        <v>1343</v>
      </c>
      <c r="X276" s="877"/>
      <c r="Y276" s="942"/>
      <c r="Z276" s="942"/>
      <c r="AA276" s="817"/>
      <c r="AB276" s="209">
        <v>1004</v>
      </c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21"/>
      <c r="B277" s="716" t="s">
        <v>836</v>
      </c>
      <c r="C277" s="912"/>
      <c r="D277" s="912"/>
      <c r="E277" s="913"/>
      <c r="F277" s="348">
        <v>1300</v>
      </c>
      <c r="G277" s="348">
        <f t="shared" si="597"/>
        <v>1300</v>
      </c>
      <c r="H277" s="1290"/>
      <c r="I277" s="1291"/>
      <c r="J277" s="1291"/>
      <c r="K277" s="1288"/>
      <c r="L277" s="1291"/>
      <c r="M277" s="1289"/>
      <c r="N277" s="510">
        <f>F277+59</f>
        <v>1359</v>
      </c>
      <c r="O277" s="348">
        <f t="shared" si="592"/>
        <v>1359</v>
      </c>
      <c r="P277" s="386">
        <f>F277+55</f>
        <v>1355</v>
      </c>
      <c r="Q277" s="348">
        <f t="shared" si="593"/>
        <v>1355</v>
      </c>
      <c r="R277" s="386">
        <f>F277+51</f>
        <v>1351</v>
      </c>
      <c r="S277" s="348">
        <f t="shared" si="594"/>
        <v>1351</v>
      </c>
      <c r="T277" s="386">
        <f>F277+46</f>
        <v>1346</v>
      </c>
      <c r="U277" s="348">
        <f t="shared" si="595"/>
        <v>1346</v>
      </c>
      <c r="V277" s="386">
        <f>F277+43</f>
        <v>1343</v>
      </c>
      <c r="W277" s="348">
        <f t="shared" si="596"/>
        <v>1343</v>
      </c>
      <c r="X277" s="877"/>
      <c r="Y277" s="816"/>
      <c r="Z277" s="816"/>
      <c r="AA277" s="817"/>
      <c r="AB277" s="209">
        <v>1005</v>
      </c>
      <c r="AC277" s="4"/>
      <c r="AD277" s="4"/>
      <c r="AE277" s="4"/>
      <c r="AF277" s="4"/>
      <c r="AG277" s="4"/>
      <c r="AH277" s="139"/>
      <c r="AI277" s="4"/>
      <c r="AJ277" s="4"/>
      <c r="AK277" s="4"/>
      <c r="AL277" s="4"/>
    </row>
    <row r="278" spans="1:38" s="1" customFormat="1" ht="12.6" customHeight="1" x14ac:dyDescent="0.2">
      <c r="A278" s="21"/>
      <c r="B278" s="700" t="s">
        <v>229</v>
      </c>
      <c r="C278" s="701"/>
      <c r="D278" s="701"/>
      <c r="E278" s="702"/>
      <c r="F278" s="349"/>
      <c r="G278" s="349"/>
      <c r="H278" s="1292"/>
      <c r="I278" s="1293"/>
      <c r="J278" s="1293"/>
      <c r="K278" s="1293"/>
      <c r="L278" s="1293"/>
      <c r="M278" s="1294"/>
      <c r="N278" s="483"/>
      <c r="O278" s="349"/>
      <c r="P278" s="483"/>
      <c r="Q278" s="349"/>
      <c r="R278" s="483"/>
      <c r="S278" s="349"/>
      <c r="T278" s="483"/>
      <c r="U278" s="349"/>
      <c r="V278" s="483"/>
      <c r="W278" s="349"/>
      <c r="X278" s="877"/>
      <c r="Y278" s="816"/>
      <c r="Z278" s="816"/>
      <c r="AA278" s="817"/>
      <c r="AB278" s="209">
        <v>1006</v>
      </c>
      <c r="AC278" s="4"/>
      <c r="AD278" s="4"/>
      <c r="AE278" s="4"/>
      <c r="AF278" s="4"/>
      <c r="AG278" s="4"/>
      <c r="AH278" s="139"/>
      <c r="AI278" s="4"/>
      <c r="AJ278" s="4"/>
      <c r="AK278" s="4"/>
      <c r="AL278" s="4"/>
    </row>
    <row r="279" spans="1:38" s="1" customFormat="1" ht="12.6" customHeight="1" x14ac:dyDescent="0.2">
      <c r="A279" s="21"/>
      <c r="B279" s="703" t="s">
        <v>835</v>
      </c>
      <c r="C279" s="704"/>
      <c r="D279" s="704"/>
      <c r="E279" s="705"/>
      <c r="F279" s="495">
        <f>3.528*X2</f>
        <v>3203.424</v>
      </c>
      <c r="G279" s="350">
        <f t="shared" ref="G279" si="598">+F279*$X$1</f>
        <v>3203.424</v>
      </c>
      <c r="H279" s="75">
        <f>F279+300</f>
        <v>3503.424</v>
      </c>
      <c r="I279" s="348">
        <f t="shared" ref="I279:I280" si="599">+H279*$X$1</f>
        <v>3503.424</v>
      </c>
      <c r="J279" s="386">
        <f>F279+120</f>
        <v>3323.424</v>
      </c>
      <c r="K279" s="348">
        <f>+J279*$X$1</f>
        <v>3323.424</v>
      </c>
      <c r="L279" s="386">
        <f>F279+90</f>
        <v>3293.424</v>
      </c>
      <c r="M279" s="348">
        <f>+L279*$X$1</f>
        <v>3293.424</v>
      </c>
      <c r="N279" s="75">
        <f>F279+77</f>
        <v>3280.424</v>
      </c>
      <c r="O279" s="348">
        <f t="shared" ref="O279:O281" si="600">+N279*$X$1</f>
        <v>3280.424</v>
      </c>
      <c r="P279" s="75">
        <f>F279+68</f>
        <v>3271.424</v>
      </c>
      <c r="Q279" s="348">
        <f t="shared" ref="Q279:Q281" si="601">+P279*$X$1</f>
        <v>3271.424</v>
      </c>
      <c r="R279" s="386">
        <f>F279+62</f>
        <v>3265.424</v>
      </c>
      <c r="S279" s="348">
        <f t="shared" ref="S279:S281" si="602">+R279*$X$1</f>
        <v>3265.424</v>
      </c>
      <c r="T279" s="386">
        <f>F279+55</f>
        <v>3258.424</v>
      </c>
      <c r="U279" s="348">
        <f t="shared" ref="U279:U281" si="603">+T279*$X$1</f>
        <v>3258.424</v>
      </c>
      <c r="V279" s="386">
        <f>F279+50</f>
        <v>3253.424</v>
      </c>
      <c r="W279" s="348">
        <f t="shared" ref="W279:W282" si="604">+V279*$X$1</f>
        <v>3253.424</v>
      </c>
      <c r="X279" s="606"/>
      <c r="Y279" s="604"/>
      <c r="Z279" s="604"/>
      <c r="AA279" s="605"/>
      <c r="AB279" s="209">
        <v>1027</v>
      </c>
      <c r="AC279" s="4"/>
      <c r="AD279" s="4"/>
      <c r="AE279" s="4"/>
      <c r="AF279" s="4"/>
      <c r="AG279" s="4"/>
      <c r="AH279" s="139"/>
      <c r="AI279" s="4"/>
      <c r="AJ279" s="4"/>
      <c r="AK279" s="4"/>
      <c r="AL279" s="4"/>
    </row>
    <row r="280" spans="1:38" s="1" customFormat="1" ht="12.6" customHeight="1" x14ac:dyDescent="0.2">
      <c r="A280" s="21"/>
      <c r="B280" s="700" t="s">
        <v>711</v>
      </c>
      <c r="C280" s="701"/>
      <c r="D280" s="701"/>
      <c r="E280" s="702"/>
      <c r="F280" s="494">
        <f>15.248*X2</f>
        <v>13845.183999999999</v>
      </c>
      <c r="G280" s="351">
        <f t="shared" si="597"/>
        <v>13845.183999999999</v>
      </c>
      <c r="H280" s="94">
        <f>F280+280</f>
        <v>14125.183999999999</v>
      </c>
      <c r="I280" s="349">
        <f t="shared" si="599"/>
        <v>14125.183999999999</v>
      </c>
      <c r="J280" s="607">
        <f>F280+110</f>
        <v>13955.183999999999</v>
      </c>
      <c r="K280" s="349">
        <f t="shared" ref="K280" si="605">+J280*$X$1</f>
        <v>13955.183999999999</v>
      </c>
      <c r="L280" s="607">
        <f>F280+80</f>
        <v>13925.183999999999</v>
      </c>
      <c r="M280" s="349">
        <f t="shared" ref="M280" si="606">+L280*$X$1</f>
        <v>13925.183999999999</v>
      </c>
      <c r="N280" s="607">
        <f>F280+67</f>
        <v>13912.183999999999</v>
      </c>
      <c r="O280" s="349">
        <f t="shared" si="600"/>
        <v>13912.183999999999</v>
      </c>
      <c r="P280" s="607">
        <f>F280+62</f>
        <v>13907.183999999999</v>
      </c>
      <c r="Q280" s="349">
        <f t="shared" si="601"/>
        <v>13907.183999999999</v>
      </c>
      <c r="R280" s="607">
        <f>F280+58</f>
        <v>13903.183999999999</v>
      </c>
      <c r="S280" s="349">
        <f t="shared" si="602"/>
        <v>13903.183999999999</v>
      </c>
      <c r="T280" s="607">
        <f>F280+53</f>
        <v>13898.183999999999</v>
      </c>
      <c r="U280" s="349">
        <f t="shared" si="603"/>
        <v>13898.183999999999</v>
      </c>
      <c r="V280" s="607">
        <f>F280+47</f>
        <v>13892.183999999999</v>
      </c>
      <c r="W280" s="349">
        <f t="shared" si="604"/>
        <v>13892.183999999999</v>
      </c>
      <c r="X280" s="411"/>
      <c r="Y280" s="412"/>
      <c r="Z280" s="412"/>
      <c r="AA280" s="413"/>
      <c r="AB280" s="209">
        <v>1028</v>
      </c>
      <c r="AC280" s="4"/>
      <c r="AD280" s="4"/>
      <c r="AE280" s="4"/>
      <c r="AF280" s="4"/>
      <c r="AG280" s="4"/>
      <c r="AH280" s="139"/>
      <c r="AI280" s="4"/>
      <c r="AJ280" s="4"/>
      <c r="AK280" s="4"/>
      <c r="AL280" s="4"/>
    </row>
    <row r="281" spans="1:38" s="1" customFormat="1" ht="12.6" customHeight="1" x14ac:dyDescent="0.2">
      <c r="A281" s="21"/>
      <c r="B281" s="716" t="s">
        <v>708</v>
      </c>
      <c r="C281" s="717"/>
      <c r="D281" s="717"/>
      <c r="E281" s="718"/>
      <c r="F281" s="404">
        <v>3498</v>
      </c>
      <c r="G281" s="348">
        <f t="shared" ref="G281" si="607">+F281*$X$1</f>
        <v>3498</v>
      </c>
      <c r="H281" s="75"/>
      <c r="I281" s="348"/>
      <c r="J281" s="386"/>
      <c r="K281" s="348"/>
      <c r="L281" s="386">
        <f>F281+90</f>
        <v>3588</v>
      </c>
      <c r="M281" s="348">
        <f>+L281*$X$1</f>
        <v>3588</v>
      </c>
      <c r="N281" s="75">
        <f>F281+77</f>
        <v>3575</v>
      </c>
      <c r="O281" s="348">
        <f t="shared" si="600"/>
        <v>3575</v>
      </c>
      <c r="P281" s="75">
        <f>F281+68</f>
        <v>3566</v>
      </c>
      <c r="Q281" s="348">
        <f t="shared" si="601"/>
        <v>3566</v>
      </c>
      <c r="R281" s="386">
        <f>F281+62</f>
        <v>3560</v>
      </c>
      <c r="S281" s="348">
        <f t="shared" si="602"/>
        <v>3560</v>
      </c>
      <c r="T281" s="386">
        <f>F281+55</f>
        <v>3553</v>
      </c>
      <c r="U281" s="348">
        <f t="shared" si="603"/>
        <v>3553</v>
      </c>
      <c r="V281" s="386">
        <f>F281+50</f>
        <v>3548</v>
      </c>
      <c r="W281" s="348">
        <f t="shared" si="604"/>
        <v>3548</v>
      </c>
      <c r="X281" s="479"/>
      <c r="Y281" s="480"/>
      <c r="Z281" s="480"/>
      <c r="AA281" s="481"/>
      <c r="AB281" s="209">
        <v>1029</v>
      </c>
      <c r="AC281" s="4"/>
      <c r="AD281" s="4"/>
      <c r="AE281" s="4"/>
      <c r="AF281" s="4"/>
      <c r="AG281" s="4"/>
      <c r="AH281" s="139"/>
      <c r="AI281" s="4"/>
      <c r="AJ281" s="4"/>
      <c r="AK281" s="4"/>
      <c r="AL281" s="4"/>
    </row>
    <row r="282" spans="1:38" s="1" customFormat="1" ht="12.6" customHeight="1" x14ac:dyDescent="0.2">
      <c r="A282" s="21"/>
      <c r="B282" s="700" t="s">
        <v>709</v>
      </c>
      <c r="C282" s="701"/>
      <c r="D282" s="701"/>
      <c r="E282" s="702"/>
      <c r="F282" s="403">
        <v>3498</v>
      </c>
      <c r="G282" s="349">
        <f t="shared" si="597"/>
        <v>3498</v>
      </c>
      <c r="H282" s="94"/>
      <c r="I282" s="349"/>
      <c r="J282" s="607"/>
      <c r="K282" s="349"/>
      <c r="L282" s="607">
        <f>F282+90</f>
        <v>3588</v>
      </c>
      <c r="M282" s="349">
        <f>+L282*$X$1</f>
        <v>3588</v>
      </c>
      <c r="N282" s="94">
        <f>F282+77</f>
        <v>3575</v>
      </c>
      <c r="O282" s="349">
        <f t="shared" ref="O282" si="608">+N282*$X$1</f>
        <v>3575</v>
      </c>
      <c r="P282" s="94">
        <f>F282+68</f>
        <v>3566</v>
      </c>
      <c r="Q282" s="349">
        <f t="shared" ref="Q282" si="609">+P282*$X$1</f>
        <v>3566</v>
      </c>
      <c r="R282" s="607">
        <f>F282+62</f>
        <v>3560</v>
      </c>
      <c r="S282" s="349">
        <f t="shared" ref="S282" si="610">+R282*$X$1</f>
        <v>3560</v>
      </c>
      <c r="T282" s="607">
        <f>F282+55</f>
        <v>3553</v>
      </c>
      <c r="U282" s="349">
        <f t="shared" ref="U282" si="611">+T282*$X$1</f>
        <v>3553</v>
      </c>
      <c r="V282" s="607">
        <f>F282+50</f>
        <v>3548</v>
      </c>
      <c r="W282" s="349">
        <f t="shared" si="604"/>
        <v>3548</v>
      </c>
      <c r="X282" s="398"/>
      <c r="Y282" s="396"/>
      <c r="Z282" s="396"/>
      <c r="AA282" s="397"/>
      <c r="AB282" s="209">
        <v>1030</v>
      </c>
      <c r="AC282" s="4"/>
      <c r="AD282" s="4"/>
      <c r="AE282" s="4"/>
      <c r="AF282" s="4"/>
      <c r="AG282" s="4"/>
      <c r="AH282" s="139"/>
      <c r="AI282" s="4"/>
      <c r="AJ282" s="4"/>
      <c r="AK282" s="4"/>
      <c r="AL282" s="4"/>
    </row>
    <row r="283" spans="1:38" s="1" customFormat="1" ht="12.6" customHeight="1" x14ac:dyDescent="0.2">
      <c r="A283" s="21"/>
      <c r="B283" s="716" t="s">
        <v>710</v>
      </c>
      <c r="C283" s="717"/>
      <c r="D283" s="717"/>
      <c r="E283" s="718"/>
      <c r="F283" s="404">
        <v>3498</v>
      </c>
      <c r="G283" s="348">
        <f t="shared" ref="G283:G284" si="612">+F283*$X$1</f>
        <v>3498</v>
      </c>
      <c r="H283" s="75"/>
      <c r="I283" s="348"/>
      <c r="J283" s="386"/>
      <c r="K283" s="348"/>
      <c r="L283" s="386">
        <f>F283+90</f>
        <v>3588</v>
      </c>
      <c r="M283" s="348">
        <f>+L283*$X$1</f>
        <v>3588</v>
      </c>
      <c r="N283" s="75">
        <f>F283+77</f>
        <v>3575</v>
      </c>
      <c r="O283" s="348">
        <f t="shared" ref="O283:O286" si="613">+N283*$X$1</f>
        <v>3575</v>
      </c>
      <c r="P283" s="75">
        <f>F283+68</f>
        <v>3566</v>
      </c>
      <c r="Q283" s="348">
        <f t="shared" ref="Q283:Q286" si="614">+P283*$X$1</f>
        <v>3566</v>
      </c>
      <c r="R283" s="386">
        <f>F283+62</f>
        <v>3560</v>
      </c>
      <c r="S283" s="348">
        <f t="shared" ref="S283:S286" si="615">+R283*$X$1</f>
        <v>3560</v>
      </c>
      <c r="T283" s="386">
        <f>F283+55</f>
        <v>3553</v>
      </c>
      <c r="U283" s="348">
        <f t="shared" ref="U283:U286" si="616">+T283*$X$1</f>
        <v>3553</v>
      </c>
      <c r="V283" s="386">
        <f>F283+50</f>
        <v>3548</v>
      </c>
      <c r="W283" s="348">
        <f t="shared" ref="W283:W286" si="617">+V283*$X$1</f>
        <v>3548</v>
      </c>
      <c r="X283" s="405"/>
      <c r="Y283" s="406"/>
      <c r="Z283" s="406"/>
      <c r="AA283" s="407"/>
      <c r="AB283" s="209">
        <v>1031</v>
      </c>
      <c r="AC283" s="4"/>
      <c r="AD283" s="4"/>
      <c r="AE283" s="4"/>
      <c r="AF283" s="4"/>
      <c r="AG283" s="4"/>
      <c r="AH283" s="139"/>
      <c r="AI283" s="4"/>
      <c r="AJ283" s="4"/>
      <c r="AK283" s="4"/>
      <c r="AL283" s="4"/>
    </row>
    <row r="284" spans="1:38" s="1" customFormat="1" ht="12.6" customHeight="1" x14ac:dyDescent="0.2">
      <c r="A284" s="21"/>
      <c r="B284" s="703" t="s">
        <v>916</v>
      </c>
      <c r="C284" s="704"/>
      <c r="D284" s="704"/>
      <c r="E284" s="705"/>
      <c r="F284" s="494">
        <f>14.73*X2</f>
        <v>13374.84</v>
      </c>
      <c r="G284" s="351">
        <f t="shared" si="612"/>
        <v>13374.84</v>
      </c>
      <c r="H284" s="94">
        <f>F284+220</f>
        <v>13594.84</v>
      </c>
      <c r="I284" s="349">
        <f t="shared" ref="I284" si="618">+H284*$X$1</f>
        <v>13594.84</v>
      </c>
      <c r="J284" s="678">
        <f>F284+81</f>
        <v>13455.84</v>
      </c>
      <c r="K284" s="349">
        <f t="shared" ref="K284" si="619">+J284*$X$1</f>
        <v>13455.84</v>
      </c>
      <c r="L284" s="678">
        <f>F284+70</f>
        <v>13444.84</v>
      </c>
      <c r="M284" s="349">
        <f t="shared" ref="M284" si="620">+L284*$X$1</f>
        <v>13444.84</v>
      </c>
      <c r="N284" s="678">
        <f>F284+57</f>
        <v>13431.84</v>
      </c>
      <c r="O284" s="349">
        <f t="shared" si="613"/>
        <v>13431.84</v>
      </c>
      <c r="P284" s="678">
        <f>F284+55</f>
        <v>13429.84</v>
      </c>
      <c r="Q284" s="349">
        <f t="shared" si="614"/>
        <v>13429.84</v>
      </c>
      <c r="R284" s="678">
        <f>F284+51</f>
        <v>13425.84</v>
      </c>
      <c r="S284" s="349">
        <f t="shared" si="615"/>
        <v>13425.84</v>
      </c>
      <c r="T284" s="678">
        <f>F284+46</f>
        <v>13420.84</v>
      </c>
      <c r="U284" s="349">
        <f t="shared" si="616"/>
        <v>13420.84</v>
      </c>
      <c r="V284" s="678">
        <f>F284+41</f>
        <v>13415.84</v>
      </c>
      <c r="W284" s="349">
        <f t="shared" si="617"/>
        <v>13415.84</v>
      </c>
      <c r="X284" s="677"/>
      <c r="Y284" s="675"/>
      <c r="Z284" s="675"/>
      <c r="AA284" s="676"/>
      <c r="AB284" s="681">
        <v>1032</v>
      </c>
      <c r="AC284" s="4"/>
      <c r="AD284" s="4"/>
      <c r="AE284" s="4"/>
      <c r="AF284" s="4"/>
      <c r="AG284" s="4"/>
      <c r="AH284" s="682"/>
      <c r="AI284" s="4"/>
      <c r="AJ284" s="4"/>
      <c r="AK284" s="4"/>
      <c r="AL284" s="4"/>
    </row>
    <row r="285" spans="1:38" s="1" customFormat="1" ht="12.6" customHeight="1" x14ac:dyDescent="0.2">
      <c r="A285" s="21"/>
      <c r="B285" s="716" t="s">
        <v>577</v>
      </c>
      <c r="C285" s="717"/>
      <c r="D285" s="717"/>
      <c r="E285" s="718"/>
      <c r="F285" s="495">
        <f>6.33*X2</f>
        <v>5747.64</v>
      </c>
      <c r="G285" s="350">
        <f t="shared" ref="G285" si="621">+F285*$X$1</f>
        <v>5747.64</v>
      </c>
      <c r="H285" s="75">
        <f>F285+280</f>
        <v>6027.64</v>
      </c>
      <c r="I285" s="348">
        <f t="shared" ref="I285:I286" si="622">+H285*$X$1</f>
        <v>6027.64</v>
      </c>
      <c r="J285" s="386">
        <f>F285+110</f>
        <v>5857.64</v>
      </c>
      <c r="K285" s="348">
        <f t="shared" ref="K285:K286" si="623">+J285*$X$1</f>
        <v>5857.64</v>
      </c>
      <c r="L285" s="386">
        <f>F285+80</f>
        <v>5827.64</v>
      </c>
      <c r="M285" s="348">
        <f t="shared" ref="M285:M286" si="624">+L285*$X$1</f>
        <v>5827.64</v>
      </c>
      <c r="N285" s="386">
        <f>F285+67</f>
        <v>5814.64</v>
      </c>
      <c r="O285" s="348">
        <f t="shared" si="613"/>
        <v>5814.64</v>
      </c>
      <c r="P285" s="386">
        <f>F285+62</f>
        <v>5809.64</v>
      </c>
      <c r="Q285" s="348">
        <f t="shared" si="614"/>
        <v>5809.64</v>
      </c>
      <c r="R285" s="386">
        <f>F285+58</f>
        <v>5805.64</v>
      </c>
      <c r="S285" s="348">
        <f t="shared" si="615"/>
        <v>5805.64</v>
      </c>
      <c r="T285" s="386">
        <f>F285+53</f>
        <v>5800.64</v>
      </c>
      <c r="U285" s="348">
        <f t="shared" si="616"/>
        <v>5800.64</v>
      </c>
      <c r="V285" s="386">
        <f>F285+47</f>
        <v>5794.64</v>
      </c>
      <c r="W285" s="348">
        <f t="shared" si="617"/>
        <v>5794.64</v>
      </c>
      <c r="X285" s="290"/>
      <c r="Y285" s="291"/>
      <c r="Z285" s="291"/>
      <c r="AA285" s="292"/>
      <c r="AB285" s="209">
        <v>1033</v>
      </c>
      <c r="AC285" s="4"/>
      <c r="AD285" s="4"/>
      <c r="AE285" s="4"/>
      <c r="AF285" s="4"/>
      <c r="AG285" s="4"/>
      <c r="AH285" s="139"/>
      <c r="AI285" s="4"/>
      <c r="AJ285" s="4"/>
      <c r="AK285" s="4"/>
      <c r="AL285" s="4"/>
    </row>
    <row r="286" spans="1:38" s="1" customFormat="1" ht="12.6" customHeight="1" x14ac:dyDescent="0.2">
      <c r="A286" s="21"/>
      <c r="B286" s="700" t="s">
        <v>564</v>
      </c>
      <c r="C286" s="701"/>
      <c r="D286" s="701"/>
      <c r="E286" s="702"/>
      <c r="F286" s="488">
        <f>21.33*X2</f>
        <v>19367.64</v>
      </c>
      <c r="G286" s="349">
        <f t="shared" ref="G286" si="625">+F286*$X$1</f>
        <v>19367.64</v>
      </c>
      <c r="H286" s="94">
        <f>F286+280</f>
        <v>19647.64</v>
      </c>
      <c r="I286" s="349">
        <f t="shared" si="622"/>
        <v>19647.64</v>
      </c>
      <c r="J286" s="678">
        <f>F286+110</f>
        <v>19477.64</v>
      </c>
      <c r="K286" s="349">
        <f t="shared" si="623"/>
        <v>19477.64</v>
      </c>
      <c r="L286" s="678">
        <f>F286+80</f>
        <v>19447.64</v>
      </c>
      <c r="M286" s="349">
        <f t="shared" si="624"/>
        <v>19447.64</v>
      </c>
      <c r="N286" s="678">
        <f>F286+67</f>
        <v>19434.64</v>
      </c>
      <c r="O286" s="349">
        <f t="shared" si="613"/>
        <v>19434.64</v>
      </c>
      <c r="P286" s="678">
        <f>F286+62</f>
        <v>19429.64</v>
      </c>
      <c r="Q286" s="349">
        <f t="shared" si="614"/>
        <v>19429.64</v>
      </c>
      <c r="R286" s="678">
        <f>F286+58</f>
        <v>19425.64</v>
      </c>
      <c r="S286" s="349">
        <f t="shared" si="615"/>
        <v>19425.64</v>
      </c>
      <c r="T286" s="678">
        <f>F286+53</f>
        <v>19420.64</v>
      </c>
      <c r="U286" s="349">
        <f t="shared" si="616"/>
        <v>19420.64</v>
      </c>
      <c r="V286" s="678">
        <f>F286+47</f>
        <v>19414.64</v>
      </c>
      <c r="W286" s="349">
        <f t="shared" si="617"/>
        <v>19414.64</v>
      </c>
      <c r="X286" s="280"/>
      <c r="Y286" s="282"/>
      <c r="Z286" s="282"/>
      <c r="AA286" s="281"/>
      <c r="AB286" s="209">
        <v>1034</v>
      </c>
      <c r="AC286" s="4"/>
      <c r="AD286" s="4"/>
      <c r="AE286" s="4"/>
      <c r="AF286" s="4"/>
      <c r="AG286" s="4"/>
      <c r="AH286" s="139"/>
      <c r="AI286" s="4"/>
      <c r="AJ286" s="4"/>
      <c r="AK286" s="4"/>
      <c r="AL286" s="4"/>
    </row>
    <row r="287" spans="1:38" ht="12.6" customHeight="1" x14ac:dyDescent="0.2">
      <c r="A287" s="20"/>
      <c r="B287" s="716" t="s">
        <v>714</v>
      </c>
      <c r="C287" s="717"/>
      <c r="D287" s="717"/>
      <c r="E287" s="718"/>
      <c r="F287" s="487">
        <f>4.485*X2</f>
        <v>4072.38</v>
      </c>
      <c r="G287" s="348">
        <f t="shared" ref="G287:G288" si="626">+F287*$X$1</f>
        <v>4072.38</v>
      </c>
      <c r="H287" s="75">
        <f>F287+300</f>
        <v>4372.38</v>
      </c>
      <c r="I287" s="348">
        <f t="shared" ref="I287:I289" si="627">+H287*$X$1</f>
        <v>4372.38</v>
      </c>
      <c r="J287" s="386">
        <f>F287+120</f>
        <v>4192.38</v>
      </c>
      <c r="K287" s="348">
        <f>+J287*$X$1</f>
        <v>4192.38</v>
      </c>
      <c r="L287" s="386">
        <f>F287+90</f>
        <v>4162.38</v>
      </c>
      <c r="M287" s="348">
        <f>+L287*$X$1</f>
        <v>4162.38</v>
      </c>
      <c r="N287" s="75">
        <f>F287+77</f>
        <v>4149.38</v>
      </c>
      <c r="O287" s="348">
        <f t="shared" ref="O287:O289" si="628">+N287*$X$1</f>
        <v>4149.38</v>
      </c>
      <c r="P287" s="75">
        <f>F287+68</f>
        <v>4140.38</v>
      </c>
      <c r="Q287" s="348">
        <f t="shared" ref="Q287" si="629">+P287*$X$1</f>
        <v>4140.38</v>
      </c>
      <c r="R287" s="386">
        <f>F287+62</f>
        <v>4134.38</v>
      </c>
      <c r="S287" s="348">
        <f t="shared" ref="S287" si="630">+R287*$X$1</f>
        <v>4134.38</v>
      </c>
      <c r="T287" s="386">
        <f>F287+55</f>
        <v>4127.38</v>
      </c>
      <c r="U287" s="348">
        <f t="shared" ref="U287" si="631">+T287*$X$1</f>
        <v>4127.38</v>
      </c>
      <c r="V287" s="386">
        <f>F287+50</f>
        <v>4122.38</v>
      </c>
      <c r="W287" s="348">
        <f t="shared" ref="W287" si="632">+V287*$X$1</f>
        <v>4122.38</v>
      </c>
      <c r="X287" s="274"/>
      <c r="Y287" s="276"/>
      <c r="Z287" s="276"/>
      <c r="AA287" s="275"/>
      <c r="AB287" s="209">
        <v>1036</v>
      </c>
    </row>
    <row r="288" spans="1:38" ht="12.6" customHeight="1" x14ac:dyDescent="0.2">
      <c r="A288" s="20"/>
      <c r="B288" s="700" t="s">
        <v>575</v>
      </c>
      <c r="C288" s="701"/>
      <c r="D288" s="701"/>
      <c r="E288" s="702"/>
      <c r="F288" s="488">
        <f>4.47*X2</f>
        <v>4058.7599999999998</v>
      </c>
      <c r="G288" s="349">
        <f t="shared" si="626"/>
        <v>4058.7599999999998</v>
      </c>
      <c r="H288" s="94">
        <f>F288+280</f>
        <v>4338.76</v>
      </c>
      <c r="I288" s="349">
        <f t="shared" si="627"/>
        <v>4338.76</v>
      </c>
      <c r="J288" s="607">
        <f>F288+110</f>
        <v>4168.76</v>
      </c>
      <c r="K288" s="349">
        <f t="shared" ref="K288:K289" si="633">+J288*$X$1</f>
        <v>4168.76</v>
      </c>
      <c r="L288" s="607"/>
      <c r="M288" s="349"/>
      <c r="N288" s="607"/>
      <c r="O288" s="349"/>
      <c r="P288" s="607"/>
      <c r="Q288" s="349"/>
      <c r="R288" s="607"/>
      <c r="S288" s="349"/>
      <c r="T288" s="607"/>
      <c r="U288" s="349"/>
      <c r="V288" s="607"/>
      <c r="W288" s="349"/>
      <c r="X288" s="286"/>
      <c r="Y288" s="288"/>
      <c r="Z288" s="288"/>
      <c r="AA288" s="287"/>
      <c r="AB288" s="209">
        <v>1037</v>
      </c>
    </row>
    <row r="289" spans="1:38" ht="12.6" customHeight="1" x14ac:dyDescent="0.2">
      <c r="A289" s="20"/>
      <c r="B289" s="706" t="s">
        <v>524</v>
      </c>
      <c r="C289" s="729"/>
      <c r="D289" s="729"/>
      <c r="E289" s="729"/>
      <c r="F289" s="404">
        <v>14430</v>
      </c>
      <c r="G289" s="348">
        <f>+F289*$X$1</f>
        <v>14430</v>
      </c>
      <c r="H289" s="75">
        <f>F289+300</f>
        <v>14730</v>
      </c>
      <c r="I289" s="348">
        <f t="shared" si="627"/>
        <v>14730</v>
      </c>
      <c r="J289" s="386">
        <f>F289+110</f>
        <v>14540</v>
      </c>
      <c r="K289" s="348">
        <f t="shared" si="633"/>
        <v>14540</v>
      </c>
      <c r="L289" s="386">
        <f>F289+80</f>
        <v>14510</v>
      </c>
      <c r="M289" s="348">
        <f t="shared" ref="M289" si="634">+L289*$X$1</f>
        <v>14510</v>
      </c>
      <c r="N289" s="386">
        <f>F289+67</f>
        <v>14497</v>
      </c>
      <c r="O289" s="348">
        <f t="shared" si="628"/>
        <v>14497</v>
      </c>
      <c r="P289" s="386">
        <f>F289+62</f>
        <v>14492</v>
      </c>
      <c r="Q289" s="348">
        <f t="shared" ref="Q289" si="635">+P289*$X$1</f>
        <v>14492</v>
      </c>
      <c r="R289" s="386">
        <f>F289+58</f>
        <v>14488</v>
      </c>
      <c r="S289" s="348">
        <f t="shared" ref="S289" si="636">+R289*$X$1</f>
        <v>14488</v>
      </c>
      <c r="T289" s="386">
        <f>F289+53</f>
        <v>14483</v>
      </c>
      <c r="U289" s="348">
        <f t="shared" ref="U289" si="637">+T289*$X$1</f>
        <v>14483</v>
      </c>
      <c r="V289" s="386">
        <f>F289+47</f>
        <v>14477</v>
      </c>
      <c r="W289" s="348">
        <f t="shared" ref="W289" si="638">+V289*$X$1</f>
        <v>14477</v>
      </c>
      <c r="X289" s="877"/>
      <c r="Y289" s="816"/>
      <c r="Z289" s="816"/>
      <c r="AA289" s="817"/>
      <c r="AB289" s="209">
        <v>1040</v>
      </c>
      <c r="AC289" s="68"/>
    </row>
    <row r="290" spans="1:38" ht="12.6" customHeight="1" x14ac:dyDescent="0.2">
      <c r="A290" s="20"/>
      <c r="B290" s="720" t="s">
        <v>586</v>
      </c>
      <c r="C290" s="721"/>
      <c r="D290" s="721"/>
      <c r="E290" s="721"/>
      <c r="F290" s="488">
        <f>22.35*X2</f>
        <v>20293.800000000003</v>
      </c>
      <c r="G290" s="349">
        <f>+F290*$X$1</f>
        <v>20293.800000000003</v>
      </c>
      <c r="H290" s="94">
        <f t="shared" ref="H290:H299" si="639">F290+280</f>
        <v>20573.800000000003</v>
      </c>
      <c r="I290" s="349">
        <f t="shared" ref="I290:I300" si="640">+H290*$X$1</f>
        <v>20573.800000000003</v>
      </c>
      <c r="J290" s="607">
        <f t="shared" ref="J290:J300" si="641">F290+110</f>
        <v>20403.800000000003</v>
      </c>
      <c r="K290" s="349">
        <f t="shared" ref="K290:K300" si="642">+J290*$X$1</f>
        <v>20403.800000000003</v>
      </c>
      <c r="L290" s="607">
        <f t="shared" ref="L290:L300" si="643">F290+80</f>
        <v>20373.800000000003</v>
      </c>
      <c r="M290" s="349">
        <f t="shared" ref="M290:M300" si="644">+L290*$X$1</f>
        <v>20373.800000000003</v>
      </c>
      <c r="N290" s="607">
        <f t="shared" ref="N290:N300" si="645">F290+67</f>
        <v>20360.800000000003</v>
      </c>
      <c r="O290" s="349">
        <f t="shared" ref="O290:O300" si="646">+N290*$X$1</f>
        <v>20360.800000000003</v>
      </c>
      <c r="P290" s="607">
        <f t="shared" ref="P290:P300" si="647">F290+62</f>
        <v>20355.800000000003</v>
      </c>
      <c r="Q290" s="349">
        <f t="shared" ref="Q290:Q300" si="648">+P290*$X$1</f>
        <v>20355.800000000003</v>
      </c>
      <c r="R290" s="607">
        <f t="shared" ref="R290:R300" si="649">F290+58</f>
        <v>20351.800000000003</v>
      </c>
      <c r="S290" s="349">
        <f t="shared" ref="S290:S300" si="650">+R290*$X$1</f>
        <v>20351.800000000003</v>
      </c>
      <c r="T290" s="607">
        <f t="shared" ref="T290:T300" si="651">F290+53</f>
        <v>20346.800000000003</v>
      </c>
      <c r="U290" s="349">
        <f t="shared" ref="U290:U300" si="652">+T290*$X$1</f>
        <v>20346.800000000003</v>
      </c>
      <c r="V290" s="607">
        <f t="shared" ref="V290:V300" si="653">F290+47</f>
        <v>20340.800000000003</v>
      </c>
      <c r="W290" s="349">
        <f t="shared" ref="W290:W300" si="654">+V290*$X$1</f>
        <v>20340.800000000003</v>
      </c>
      <c r="X290" s="877"/>
      <c r="Y290" s="816"/>
      <c r="Z290" s="816"/>
      <c r="AA290" s="817"/>
      <c r="AB290" s="209">
        <v>1041</v>
      </c>
      <c r="AC290" s="68"/>
    </row>
    <row r="291" spans="1:38" ht="12.6" customHeight="1" x14ac:dyDescent="0.2">
      <c r="A291" s="20"/>
      <c r="B291" s="706" t="s">
        <v>569</v>
      </c>
      <c r="C291" s="729"/>
      <c r="D291" s="729"/>
      <c r="E291" s="729"/>
      <c r="F291" s="487">
        <f>16.673*X2</f>
        <v>15139.083999999999</v>
      </c>
      <c r="G291" s="348">
        <f t="shared" ref="G291" si="655">+F291*$X$1</f>
        <v>15139.083999999999</v>
      </c>
      <c r="H291" s="75">
        <f t="shared" si="639"/>
        <v>15419.083999999999</v>
      </c>
      <c r="I291" s="348">
        <f t="shared" si="640"/>
        <v>15419.083999999999</v>
      </c>
      <c r="J291" s="386">
        <f t="shared" si="641"/>
        <v>15249.083999999999</v>
      </c>
      <c r="K291" s="348">
        <f t="shared" si="642"/>
        <v>15249.083999999999</v>
      </c>
      <c r="L291" s="386">
        <f t="shared" si="643"/>
        <v>15219.083999999999</v>
      </c>
      <c r="M291" s="348">
        <f t="shared" si="644"/>
        <v>15219.083999999999</v>
      </c>
      <c r="N291" s="386">
        <f t="shared" si="645"/>
        <v>15206.083999999999</v>
      </c>
      <c r="O291" s="348">
        <f t="shared" si="646"/>
        <v>15206.083999999999</v>
      </c>
      <c r="P291" s="386">
        <f t="shared" si="647"/>
        <v>15201.083999999999</v>
      </c>
      <c r="Q291" s="348">
        <f t="shared" si="648"/>
        <v>15201.083999999999</v>
      </c>
      <c r="R291" s="386">
        <f t="shared" si="649"/>
        <v>15197.083999999999</v>
      </c>
      <c r="S291" s="348">
        <f t="shared" si="650"/>
        <v>15197.083999999999</v>
      </c>
      <c r="T291" s="386">
        <f t="shared" si="651"/>
        <v>15192.083999999999</v>
      </c>
      <c r="U291" s="348">
        <f t="shared" si="652"/>
        <v>15192.083999999999</v>
      </c>
      <c r="V291" s="386">
        <f t="shared" si="653"/>
        <v>15186.083999999999</v>
      </c>
      <c r="W291" s="348">
        <f t="shared" si="654"/>
        <v>15186.083999999999</v>
      </c>
      <c r="X291" s="877"/>
      <c r="Y291" s="816"/>
      <c r="Z291" s="816"/>
      <c r="AA291" s="817"/>
      <c r="AB291" s="209">
        <v>1042</v>
      </c>
    </row>
    <row r="292" spans="1:38" ht="12.6" customHeight="1" x14ac:dyDescent="0.2">
      <c r="A292" s="20"/>
      <c r="B292" s="720" t="s">
        <v>626</v>
      </c>
      <c r="C292" s="721"/>
      <c r="D292" s="721"/>
      <c r="E292" s="721"/>
      <c r="F292" s="403">
        <v>26026</v>
      </c>
      <c r="G292" s="349">
        <f t="shared" ref="G292:G298" si="656">+F292*$X$1</f>
        <v>26026</v>
      </c>
      <c r="H292" s="94">
        <f t="shared" si="639"/>
        <v>26306</v>
      </c>
      <c r="I292" s="349">
        <f t="shared" si="640"/>
        <v>26306</v>
      </c>
      <c r="J292" s="607">
        <f t="shared" si="641"/>
        <v>26136</v>
      </c>
      <c r="K292" s="349">
        <f t="shared" si="642"/>
        <v>26136</v>
      </c>
      <c r="L292" s="607">
        <f t="shared" si="643"/>
        <v>26106</v>
      </c>
      <c r="M292" s="349">
        <f t="shared" si="644"/>
        <v>26106</v>
      </c>
      <c r="N292" s="607">
        <f t="shared" si="645"/>
        <v>26093</v>
      </c>
      <c r="O292" s="349">
        <f t="shared" si="646"/>
        <v>26093</v>
      </c>
      <c r="P292" s="607">
        <f t="shared" si="647"/>
        <v>26088</v>
      </c>
      <c r="Q292" s="349">
        <f t="shared" si="648"/>
        <v>26088</v>
      </c>
      <c r="R292" s="607">
        <f t="shared" si="649"/>
        <v>26084</v>
      </c>
      <c r="S292" s="349">
        <f t="shared" si="650"/>
        <v>26084</v>
      </c>
      <c r="T292" s="607">
        <f t="shared" si="651"/>
        <v>26079</v>
      </c>
      <c r="U292" s="349">
        <f t="shared" si="652"/>
        <v>26079</v>
      </c>
      <c r="V292" s="607">
        <f t="shared" si="653"/>
        <v>26073</v>
      </c>
      <c r="W292" s="349">
        <f t="shared" si="654"/>
        <v>26073</v>
      </c>
      <c r="X292" s="877"/>
      <c r="Y292" s="816"/>
      <c r="Z292" s="816"/>
      <c r="AA292" s="817"/>
      <c r="AB292" s="209">
        <v>1043</v>
      </c>
      <c r="AC292" s="68"/>
    </row>
    <row r="293" spans="1:38" ht="12.6" customHeight="1" x14ac:dyDescent="0.2">
      <c r="A293" s="20"/>
      <c r="B293" s="706" t="s">
        <v>627</v>
      </c>
      <c r="C293" s="729"/>
      <c r="D293" s="729"/>
      <c r="E293" s="729"/>
      <c r="F293" s="404">
        <v>24318</v>
      </c>
      <c r="G293" s="348">
        <f t="shared" si="656"/>
        <v>24318</v>
      </c>
      <c r="H293" s="75">
        <f>F293+300</f>
        <v>24618</v>
      </c>
      <c r="I293" s="348">
        <f t="shared" si="640"/>
        <v>24618</v>
      </c>
      <c r="J293" s="386">
        <f t="shared" si="641"/>
        <v>24428</v>
      </c>
      <c r="K293" s="348">
        <f t="shared" si="642"/>
        <v>24428</v>
      </c>
      <c r="L293" s="386">
        <f t="shared" si="643"/>
        <v>24398</v>
      </c>
      <c r="M293" s="348">
        <f t="shared" si="644"/>
        <v>24398</v>
      </c>
      <c r="N293" s="386">
        <f t="shared" si="645"/>
        <v>24385</v>
      </c>
      <c r="O293" s="348">
        <f t="shared" si="646"/>
        <v>24385</v>
      </c>
      <c r="P293" s="386">
        <f t="shared" si="647"/>
        <v>24380</v>
      </c>
      <c r="Q293" s="348">
        <f t="shared" si="648"/>
        <v>24380</v>
      </c>
      <c r="R293" s="386">
        <f t="shared" si="649"/>
        <v>24376</v>
      </c>
      <c r="S293" s="348">
        <f t="shared" si="650"/>
        <v>24376</v>
      </c>
      <c r="T293" s="386">
        <f t="shared" si="651"/>
        <v>24371</v>
      </c>
      <c r="U293" s="348">
        <f t="shared" si="652"/>
        <v>24371</v>
      </c>
      <c r="V293" s="386">
        <f t="shared" si="653"/>
        <v>24365</v>
      </c>
      <c r="W293" s="348">
        <f t="shared" si="654"/>
        <v>24365</v>
      </c>
      <c r="X293" s="877"/>
      <c r="Y293" s="816"/>
      <c r="Z293" s="816"/>
      <c r="AA293" s="817"/>
      <c r="AB293" s="209">
        <v>1044</v>
      </c>
      <c r="AC293" s="68"/>
    </row>
    <row r="294" spans="1:38" ht="12.6" customHeight="1" x14ac:dyDescent="0.2">
      <c r="A294" s="20"/>
      <c r="B294" s="720" t="s">
        <v>663</v>
      </c>
      <c r="C294" s="721"/>
      <c r="D294" s="721"/>
      <c r="E294" s="721"/>
      <c r="F294" s="403">
        <v>13240</v>
      </c>
      <c r="G294" s="349">
        <f t="shared" si="656"/>
        <v>13240</v>
      </c>
      <c r="H294" s="94">
        <f t="shared" si="639"/>
        <v>13520</v>
      </c>
      <c r="I294" s="349">
        <f t="shared" si="640"/>
        <v>13520</v>
      </c>
      <c r="J294" s="607">
        <f t="shared" si="641"/>
        <v>13350</v>
      </c>
      <c r="K294" s="349">
        <f t="shared" si="642"/>
        <v>13350</v>
      </c>
      <c r="L294" s="607">
        <f t="shared" si="643"/>
        <v>13320</v>
      </c>
      <c r="M294" s="349">
        <f t="shared" si="644"/>
        <v>13320</v>
      </c>
      <c r="N294" s="607">
        <f t="shared" si="645"/>
        <v>13307</v>
      </c>
      <c r="O294" s="349">
        <f t="shared" si="646"/>
        <v>13307</v>
      </c>
      <c r="P294" s="607">
        <f t="shared" si="647"/>
        <v>13302</v>
      </c>
      <c r="Q294" s="349">
        <f t="shared" si="648"/>
        <v>13302</v>
      </c>
      <c r="R294" s="607">
        <f t="shared" si="649"/>
        <v>13298</v>
      </c>
      <c r="S294" s="349">
        <f t="shared" si="650"/>
        <v>13298</v>
      </c>
      <c r="T294" s="607">
        <f t="shared" si="651"/>
        <v>13293</v>
      </c>
      <c r="U294" s="349">
        <f t="shared" si="652"/>
        <v>13293</v>
      </c>
      <c r="V294" s="607">
        <f t="shared" si="653"/>
        <v>13287</v>
      </c>
      <c r="W294" s="349">
        <f t="shared" si="654"/>
        <v>13287</v>
      </c>
      <c r="X294" s="877"/>
      <c r="Y294" s="816"/>
      <c r="Z294" s="816"/>
      <c r="AA294" s="817"/>
      <c r="AB294" s="209">
        <v>1048</v>
      </c>
      <c r="AC294" s="68"/>
    </row>
    <row r="295" spans="1:38" ht="12.6" customHeight="1" x14ac:dyDescent="0.2">
      <c r="A295" s="20"/>
      <c r="B295" s="706" t="s">
        <v>662</v>
      </c>
      <c r="C295" s="729"/>
      <c r="D295" s="729"/>
      <c r="E295" s="729"/>
      <c r="F295" s="404">
        <v>12460</v>
      </c>
      <c r="G295" s="348">
        <f t="shared" si="656"/>
        <v>12460</v>
      </c>
      <c r="H295" s="75">
        <f>F295+300</f>
        <v>12760</v>
      </c>
      <c r="I295" s="348">
        <f t="shared" si="640"/>
        <v>12760</v>
      </c>
      <c r="J295" s="386">
        <f t="shared" si="641"/>
        <v>12570</v>
      </c>
      <c r="K295" s="348">
        <f t="shared" si="642"/>
        <v>12570</v>
      </c>
      <c r="L295" s="386">
        <f t="shared" si="643"/>
        <v>12540</v>
      </c>
      <c r="M295" s="348">
        <f t="shared" si="644"/>
        <v>12540</v>
      </c>
      <c r="N295" s="386">
        <f t="shared" si="645"/>
        <v>12527</v>
      </c>
      <c r="O295" s="348">
        <f t="shared" si="646"/>
        <v>12527</v>
      </c>
      <c r="P295" s="386">
        <f t="shared" si="647"/>
        <v>12522</v>
      </c>
      <c r="Q295" s="348">
        <f t="shared" si="648"/>
        <v>12522</v>
      </c>
      <c r="R295" s="386">
        <f t="shared" si="649"/>
        <v>12518</v>
      </c>
      <c r="S295" s="348">
        <f t="shared" si="650"/>
        <v>12518</v>
      </c>
      <c r="T295" s="386">
        <f t="shared" si="651"/>
        <v>12513</v>
      </c>
      <c r="U295" s="348">
        <f t="shared" si="652"/>
        <v>12513</v>
      </c>
      <c r="V295" s="386">
        <f t="shared" si="653"/>
        <v>12507</v>
      </c>
      <c r="W295" s="348">
        <f t="shared" si="654"/>
        <v>12507</v>
      </c>
      <c r="X295" s="877"/>
      <c r="Y295" s="816"/>
      <c r="Z295" s="816"/>
      <c r="AA295" s="817"/>
      <c r="AB295" s="209">
        <v>1049</v>
      </c>
      <c r="AC295" s="68"/>
    </row>
    <row r="296" spans="1:38" ht="12.6" customHeight="1" x14ac:dyDescent="0.2">
      <c r="A296" s="20"/>
      <c r="B296" s="720" t="s">
        <v>664</v>
      </c>
      <c r="C296" s="721"/>
      <c r="D296" s="721"/>
      <c r="E296" s="721"/>
      <c r="F296" s="403">
        <v>14020</v>
      </c>
      <c r="G296" s="349">
        <f t="shared" si="656"/>
        <v>14020</v>
      </c>
      <c r="H296" s="94">
        <f>F296+300</f>
        <v>14320</v>
      </c>
      <c r="I296" s="349">
        <f t="shared" si="640"/>
        <v>14320</v>
      </c>
      <c r="J296" s="607">
        <f t="shared" si="641"/>
        <v>14130</v>
      </c>
      <c r="K296" s="349">
        <f t="shared" si="642"/>
        <v>14130</v>
      </c>
      <c r="L296" s="607">
        <f t="shared" si="643"/>
        <v>14100</v>
      </c>
      <c r="M296" s="349">
        <f t="shared" si="644"/>
        <v>14100</v>
      </c>
      <c r="N296" s="607">
        <f t="shared" si="645"/>
        <v>14087</v>
      </c>
      <c r="O296" s="349">
        <f t="shared" si="646"/>
        <v>14087</v>
      </c>
      <c r="P296" s="607">
        <f t="shared" si="647"/>
        <v>14082</v>
      </c>
      <c r="Q296" s="349">
        <f t="shared" si="648"/>
        <v>14082</v>
      </c>
      <c r="R296" s="607">
        <f t="shared" si="649"/>
        <v>14078</v>
      </c>
      <c r="S296" s="349">
        <f t="shared" si="650"/>
        <v>14078</v>
      </c>
      <c r="T296" s="607">
        <f t="shared" si="651"/>
        <v>14073</v>
      </c>
      <c r="U296" s="349">
        <f t="shared" si="652"/>
        <v>14073</v>
      </c>
      <c r="V296" s="607">
        <f t="shared" si="653"/>
        <v>14067</v>
      </c>
      <c r="W296" s="349">
        <f t="shared" si="654"/>
        <v>14067</v>
      </c>
      <c r="X296" s="877"/>
      <c r="Y296" s="816"/>
      <c r="Z296" s="816"/>
      <c r="AA296" s="817"/>
      <c r="AB296" s="209">
        <v>1050</v>
      </c>
      <c r="AC296" s="68"/>
    </row>
    <row r="297" spans="1:38" ht="12.6" customHeight="1" x14ac:dyDescent="0.2">
      <c r="A297" s="20"/>
      <c r="B297" s="706" t="s">
        <v>491</v>
      </c>
      <c r="C297" s="729"/>
      <c r="D297" s="729"/>
      <c r="E297" s="729"/>
      <c r="F297" s="487">
        <f>12.7*X2</f>
        <v>11531.599999999999</v>
      </c>
      <c r="G297" s="348">
        <f t="shared" si="656"/>
        <v>11531.599999999999</v>
      </c>
      <c r="H297" s="75">
        <f t="shared" si="639"/>
        <v>11811.599999999999</v>
      </c>
      <c r="I297" s="348">
        <f t="shared" si="640"/>
        <v>11811.599999999999</v>
      </c>
      <c r="J297" s="386"/>
      <c r="K297" s="348"/>
      <c r="L297" s="386"/>
      <c r="M297" s="348"/>
      <c r="N297" s="386"/>
      <c r="O297" s="348"/>
      <c r="P297" s="386"/>
      <c r="Q297" s="348"/>
      <c r="R297" s="386"/>
      <c r="S297" s="348"/>
      <c r="T297" s="386"/>
      <c r="U297" s="348"/>
      <c r="V297" s="386"/>
      <c r="W297" s="348"/>
      <c r="X297" s="877"/>
      <c r="Y297" s="816"/>
      <c r="Z297" s="816"/>
      <c r="AA297" s="817"/>
      <c r="AB297" s="209">
        <v>1052</v>
      </c>
    </row>
    <row r="298" spans="1:38" ht="12.6" customHeight="1" x14ac:dyDescent="0.2">
      <c r="A298" s="20"/>
      <c r="B298" s="720" t="s">
        <v>555</v>
      </c>
      <c r="C298" s="721"/>
      <c r="D298" s="721"/>
      <c r="E298" s="721"/>
      <c r="F298" s="488">
        <f>31.583*X2</f>
        <v>28677.363999999998</v>
      </c>
      <c r="G298" s="349">
        <f t="shared" si="656"/>
        <v>28677.363999999998</v>
      </c>
      <c r="H298" s="94">
        <f t="shared" si="639"/>
        <v>28957.363999999998</v>
      </c>
      <c r="I298" s="349">
        <f t="shared" si="640"/>
        <v>28957.363999999998</v>
      </c>
      <c r="J298" s="607">
        <f t="shared" si="641"/>
        <v>28787.363999999998</v>
      </c>
      <c r="K298" s="349">
        <f t="shared" si="642"/>
        <v>28787.363999999998</v>
      </c>
      <c r="L298" s="607">
        <f t="shared" si="643"/>
        <v>28757.363999999998</v>
      </c>
      <c r="M298" s="349">
        <f t="shared" si="644"/>
        <v>28757.363999999998</v>
      </c>
      <c r="N298" s="607">
        <f t="shared" si="645"/>
        <v>28744.363999999998</v>
      </c>
      <c r="O298" s="349">
        <f t="shared" si="646"/>
        <v>28744.363999999998</v>
      </c>
      <c r="P298" s="607">
        <f t="shared" si="647"/>
        <v>28739.363999999998</v>
      </c>
      <c r="Q298" s="349">
        <f t="shared" si="648"/>
        <v>28739.363999999998</v>
      </c>
      <c r="R298" s="607">
        <f t="shared" si="649"/>
        <v>28735.363999999998</v>
      </c>
      <c r="S298" s="349">
        <f t="shared" si="650"/>
        <v>28735.363999999998</v>
      </c>
      <c r="T298" s="607">
        <f t="shared" si="651"/>
        <v>28730.363999999998</v>
      </c>
      <c r="U298" s="349">
        <f t="shared" si="652"/>
        <v>28730.363999999998</v>
      </c>
      <c r="V298" s="607">
        <f t="shared" si="653"/>
        <v>28724.363999999998</v>
      </c>
      <c r="W298" s="349">
        <f t="shared" si="654"/>
        <v>28724.363999999998</v>
      </c>
      <c r="X298" s="877"/>
      <c r="Y298" s="816"/>
      <c r="Z298" s="816"/>
      <c r="AA298" s="817"/>
      <c r="AB298" s="209">
        <v>1053</v>
      </c>
      <c r="AC298" s="68"/>
    </row>
    <row r="299" spans="1:38" s="1" customFormat="1" ht="12.6" customHeight="1" x14ac:dyDescent="0.2">
      <c r="A299" s="21"/>
      <c r="B299" s="716" t="s">
        <v>499</v>
      </c>
      <c r="C299" s="717"/>
      <c r="D299" s="717"/>
      <c r="E299" s="718"/>
      <c r="F299" s="487">
        <f>10.515*X2</f>
        <v>9547.6200000000008</v>
      </c>
      <c r="G299" s="348">
        <f t="shared" ref="G299" si="657">+F299*$X$1</f>
        <v>9547.6200000000008</v>
      </c>
      <c r="H299" s="75">
        <f t="shared" si="639"/>
        <v>9827.6200000000008</v>
      </c>
      <c r="I299" s="348">
        <f t="shared" si="640"/>
        <v>9827.6200000000008</v>
      </c>
      <c r="J299" s="386">
        <f t="shared" si="641"/>
        <v>9657.6200000000008</v>
      </c>
      <c r="K299" s="348">
        <f t="shared" si="642"/>
        <v>9657.6200000000008</v>
      </c>
      <c r="L299" s="386">
        <f t="shared" si="643"/>
        <v>9627.6200000000008</v>
      </c>
      <c r="M299" s="348">
        <f t="shared" si="644"/>
        <v>9627.6200000000008</v>
      </c>
      <c r="N299" s="386">
        <f t="shared" si="645"/>
        <v>9614.6200000000008</v>
      </c>
      <c r="O299" s="348">
        <f t="shared" si="646"/>
        <v>9614.6200000000008</v>
      </c>
      <c r="P299" s="386">
        <f t="shared" si="647"/>
        <v>9609.6200000000008</v>
      </c>
      <c r="Q299" s="348">
        <f t="shared" si="648"/>
        <v>9609.6200000000008</v>
      </c>
      <c r="R299" s="386">
        <f t="shared" si="649"/>
        <v>9605.6200000000008</v>
      </c>
      <c r="S299" s="348">
        <f t="shared" si="650"/>
        <v>9605.6200000000008</v>
      </c>
      <c r="T299" s="386">
        <f t="shared" si="651"/>
        <v>9600.6200000000008</v>
      </c>
      <c r="U299" s="348">
        <f t="shared" si="652"/>
        <v>9600.6200000000008</v>
      </c>
      <c r="V299" s="386">
        <f t="shared" si="653"/>
        <v>9594.6200000000008</v>
      </c>
      <c r="W299" s="348">
        <f t="shared" si="654"/>
        <v>9594.6200000000008</v>
      </c>
      <c r="X299" s="259"/>
      <c r="Y299" s="261"/>
      <c r="Z299" s="261"/>
      <c r="AA299" s="260"/>
      <c r="AB299" s="209">
        <v>1054</v>
      </c>
      <c r="AC299" s="4"/>
      <c r="AD299" s="4"/>
      <c r="AE299" s="4"/>
      <c r="AF299" s="4"/>
      <c r="AG299" s="4"/>
      <c r="AH299" s="139"/>
      <c r="AI299" s="4"/>
      <c r="AJ299" s="4"/>
      <c r="AK299" s="4"/>
      <c r="AL299" s="4"/>
    </row>
    <row r="300" spans="1:38" ht="12.6" customHeight="1" x14ac:dyDescent="0.2">
      <c r="A300" s="20"/>
      <c r="B300" s="720" t="s">
        <v>725</v>
      </c>
      <c r="C300" s="721"/>
      <c r="D300" s="721"/>
      <c r="E300" s="721"/>
      <c r="F300" s="403">
        <v>20487</v>
      </c>
      <c r="G300" s="349">
        <f>+F300*$X$1</f>
        <v>20487</v>
      </c>
      <c r="H300" s="94">
        <f>F300+300</f>
        <v>20787</v>
      </c>
      <c r="I300" s="349">
        <f t="shared" si="640"/>
        <v>20787</v>
      </c>
      <c r="J300" s="607">
        <f t="shared" si="641"/>
        <v>20597</v>
      </c>
      <c r="K300" s="349">
        <f t="shared" si="642"/>
        <v>20597</v>
      </c>
      <c r="L300" s="607">
        <f t="shared" si="643"/>
        <v>20567</v>
      </c>
      <c r="M300" s="349">
        <f t="shared" si="644"/>
        <v>20567</v>
      </c>
      <c r="N300" s="607">
        <f t="shared" si="645"/>
        <v>20554</v>
      </c>
      <c r="O300" s="349">
        <f t="shared" si="646"/>
        <v>20554</v>
      </c>
      <c r="P300" s="607">
        <f t="shared" si="647"/>
        <v>20549</v>
      </c>
      <c r="Q300" s="349">
        <f t="shared" si="648"/>
        <v>20549</v>
      </c>
      <c r="R300" s="607">
        <f t="shared" si="649"/>
        <v>20545</v>
      </c>
      <c r="S300" s="349">
        <f t="shared" si="650"/>
        <v>20545</v>
      </c>
      <c r="T300" s="607">
        <f t="shared" si="651"/>
        <v>20540</v>
      </c>
      <c r="U300" s="349">
        <f t="shared" si="652"/>
        <v>20540</v>
      </c>
      <c r="V300" s="607">
        <f t="shared" si="653"/>
        <v>20534</v>
      </c>
      <c r="W300" s="349">
        <f t="shared" si="654"/>
        <v>20534</v>
      </c>
      <c r="X300" s="877"/>
      <c r="Y300" s="816"/>
      <c r="Z300" s="816"/>
      <c r="AA300" s="817"/>
      <c r="AB300" s="209">
        <v>1057</v>
      </c>
    </row>
    <row r="301" spans="1:38" ht="12.6" customHeight="1" x14ac:dyDescent="0.2">
      <c r="A301" s="20"/>
      <c r="B301" s="706" t="s">
        <v>522</v>
      </c>
      <c r="C301" s="729"/>
      <c r="D301" s="729"/>
      <c r="E301" s="729"/>
      <c r="F301" s="487">
        <f>16.03*X2</f>
        <v>14555.240000000002</v>
      </c>
      <c r="G301" s="348">
        <f>+F301*$X$1</f>
        <v>14555.240000000002</v>
      </c>
      <c r="H301" s="75">
        <f t="shared" ref="H301" si="658">F301+280</f>
        <v>14835.240000000002</v>
      </c>
      <c r="I301" s="348">
        <f t="shared" ref="I301" si="659">+H301*$X$1</f>
        <v>14835.240000000002</v>
      </c>
      <c r="J301" s="386">
        <f t="shared" ref="J301" si="660">F301+110</f>
        <v>14665.240000000002</v>
      </c>
      <c r="K301" s="348">
        <f t="shared" ref="K301" si="661">+J301*$X$1</f>
        <v>14665.240000000002</v>
      </c>
      <c r="L301" s="386">
        <f t="shared" ref="L301" si="662">F301+80</f>
        <v>14635.240000000002</v>
      </c>
      <c r="M301" s="348">
        <f t="shared" ref="M301" si="663">+L301*$X$1</f>
        <v>14635.240000000002</v>
      </c>
      <c r="N301" s="386">
        <f t="shared" ref="N301" si="664">F301+67</f>
        <v>14622.240000000002</v>
      </c>
      <c r="O301" s="348">
        <f t="shared" ref="O301" si="665">+N301*$X$1</f>
        <v>14622.240000000002</v>
      </c>
      <c r="P301" s="386">
        <f t="shared" ref="P301" si="666">F301+62</f>
        <v>14617.240000000002</v>
      </c>
      <c r="Q301" s="348">
        <f t="shared" ref="Q301" si="667">+P301*$X$1</f>
        <v>14617.240000000002</v>
      </c>
      <c r="R301" s="386">
        <f t="shared" ref="R301" si="668">F301+58</f>
        <v>14613.240000000002</v>
      </c>
      <c r="S301" s="348">
        <f t="shared" ref="S301" si="669">+R301*$X$1</f>
        <v>14613.240000000002</v>
      </c>
      <c r="T301" s="386">
        <f t="shared" ref="T301" si="670">F301+53</f>
        <v>14608.240000000002</v>
      </c>
      <c r="U301" s="348">
        <f t="shared" ref="U301" si="671">+T301*$X$1</f>
        <v>14608.240000000002</v>
      </c>
      <c r="V301" s="386">
        <f t="shared" ref="V301" si="672">F301+47</f>
        <v>14602.240000000002</v>
      </c>
      <c r="W301" s="348">
        <f t="shared" ref="W301" si="673">+V301*$X$1</f>
        <v>14602.240000000002</v>
      </c>
      <c r="X301" s="877"/>
      <c r="Y301" s="816"/>
      <c r="Z301" s="816"/>
      <c r="AA301" s="817"/>
      <c r="AB301" s="209">
        <v>1064</v>
      </c>
      <c r="AC301" s="68"/>
    </row>
    <row r="302" spans="1:38" ht="12.6" customHeight="1" x14ac:dyDescent="0.2">
      <c r="A302" s="20"/>
      <c r="B302" s="700" t="s">
        <v>230</v>
      </c>
      <c r="C302" s="701"/>
      <c r="D302" s="701"/>
      <c r="E302" s="702"/>
      <c r="F302" s="488">
        <f>12.1*X2</f>
        <v>10986.8</v>
      </c>
      <c r="G302" s="349">
        <f>+F302*$X$1</f>
        <v>10986.8</v>
      </c>
      <c r="H302" s="94">
        <f>F302+300</f>
        <v>11286.8</v>
      </c>
      <c r="I302" s="349">
        <f t="shared" ref="I302:I308" si="674">+H302*$X$1</f>
        <v>11286.8</v>
      </c>
      <c r="J302" s="607">
        <f>F302+120</f>
        <v>11106.8</v>
      </c>
      <c r="K302" s="349">
        <f>+J302*$X$1</f>
        <v>11106.8</v>
      </c>
      <c r="L302" s="607">
        <f>F302+90</f>
        <v>11076.8</v>
      </c>
      <c r="M302" s="349">
        <f>+L302*$X$1</f>
        <v>11076.8</v>
      </c>
      <c r="N302" s="94">
        <f>F302+77</f>
        <v>11063.8</v>
      </c>
      <c r="O302" s="349">
        <f t="shared" ref="O302:O309" si="675">+N302*$X$1</f>
        <v>11063.8</v>
      </c>
      <c r="P302" s="94">
        <f>F302+68</f>
        <v>11054.8</v>
      </c>
      <c r="Q302" s="349">
        <f t="shared" ref="Q302:Q309" si="676">+P302*$X$1</f>
        <v>11054.8</v>
      </c>
      <c r="R302" s="607">
        <f>F302+62</f>
        <v>11048.8</v>
      </c>
      <c r="S302" s="349">
        <f t="shared" ref="S302:S309" si="677">+R302*$X$1</f>
        <v>11048.8</v>
      </c>
      <c r="T302" s="607">
        <f>F302+55</f>
        <v>11041.8</v>
      </c>
      <c r="U302" s="349">
        <f t="shared" ref="U302:U309" si="678">+T302*$X$1</f>
        <v>11041.8</v>
      </c>
      <c r="V302" s="607">
        <f>F302+50</f>
        <v>11036.8</v>
      </c>
      <c r="W302" s="349">
        <f t="shared" ref="W302:W309" si="679">+V302*$X$1</f>
        <v>11036.8</v>
      </c>
      <c r="X302" s="194"/>
      <c r="Y302" s="197"/>
      <c r="Z302" s="197"/>
      <c r="AA302" s="196"/>
      <c r="AB302" s="209">
        <v>1075</v>
      </c>
    </row>
    <row r="303" spans="1:38" ht="12.6" customHeight="1" x14ac:dyDescent="0.2">
      <c r="A303" s="20"/>
      <c r="B303" s="706" t="s">
        <v>454</v>
      </c>
      <c r="C303" s="830"/>
      <c r="D303" s="830"/>
      <c r="E303" s="830"/>
      <c r="F303" s="487">
        <f>8.45*X2</f>
        <v>7672.5999999999995</v>
      </c>
      <c r="G303" s="348">
        <f>+F303*$X$1</f>
        <v>7672.5999999999995</v>
      </c>
      <c r="H303" s="75">
        <f t="shared" ref="H303:H304" si="680">F303+280</f>
        <v>7952.5999999999995</v>
      </c>
      <c r="I303" s="348">
        <f t="shared" si="674"/>
        <v>7952.5999999999995</v>
      </c>
      <c r="J303" s="386">
        <f t="shared" ref="J303:J308" si="681">F303+110</f>
        <v>7782.5999999999995</v>
      </c>
      <c r="K303" s="348">
        <f t="shared" ref="K303:K309" si="682">+J303*$X$1</f>
        <v>7782.5999999999995</v>
      </c>
      <c r="L303" s="386">
        <f t="shared" ref="L303:L308" si="683">F303+80</f>
        <v>7752.5999999999995</v>
      </c>
      <c r="M303" s="348">
        <f t="shared" ref="M303:M309" si="684">+L303*$X$1</f>
        <v>7752.5999999999995</v>
      </c>
      <c r="N303" s="386">
        <f t="shared" ref="N303:N308" si="685">F303+67</f>
        <v>7739.5999999999995</v>
      </c>
      <c r="O303" s="348">
        <f t="shared" si="675"/>
        <v>7739.5999999999995</v>
      </c>
      <c r="P303" s="386">
        <f t="shared" ref="P303:P308" si="686">F303+62</f>
        <v>7734.5999999999995</v>
      </c>
      <c r="Q303" s="348">
        <f t="shared" si="676"/>
        <v>7734.5999999999995</v>
      </c>
      <c r="R303" s="386">
        <f t="shared" ref="R303:R308" si="687">F303+58</f>
        <v>7730.5999999999995</v>
      </c>
      <c r="S303" s="348">
        <f t="shared" si="677"/>
        <v>7730.5999999999995</v>
      </c>
      <c r="T303" s="386">
        <f t="shared" ref="T303:T308" si="688">F303+53</f>
        <v>7725.5999999999995</v>
      </c>
      <c r="U303" s="348">
        <f t="shared" si="678"/>
        <v>7725.5999999999995</v>
      </c>
      <c r="V303" s="386">
        <f t="shared" ref="V303:V308" si="689">F303+47</f>
        <v>7719.5999999999995</v>
      </c>
      <c r="W303" s="348">
        <f t="shared" si="679"/>
        <v>7719.5999999999995</v>
      </c>
      <c r="X303" s="877"/>
      <c r="Y303" s="816"/>
      <c r="Z303" s="816"/>
      <c r="AA303" s="817"/>
      <c r="AB303" s="209">
        <v>1078</v>
      </c>
    </row>
    <row r="304" spans="1:38" ht="12.6" customHeight="1" x14ac:dyDescent="0.2">
      <c r="A304" s="20"/>
      <c r="B304" s="747" t="s">
        <v>457</v>
      </c>
      <c r="C304" s="748"/>
      <c r="D304" s="748"/>
      <c r="E304" s="748"/>
      <c r="F304" s="492">
        <f>6.52*X2</f>
        <v>5920.16</v>
      </c>
      <c r="G304" s="391">
        <f t="shared" ref="G304" si="690">+F304*$X$1</f>
        <v>5920.16</v>
      </c>
      <c r="H304" s="94">
        <f t="shared" si="680"/>
        <v>6200.16</v>
      </c>
      <c r="I304" s="349">
        <f t="shared" si="674"/>
        <v>6200.16</v>
      </c>
      <c r="J304" s="607">
        <f t="shared" si="681"/>
        <v>6030.16</v>
      </c>
      <c r="K304" s="349">
        <f t="shared" si="682"/>
        <v>6030.16</v>
      </c>
      <c r="L304" s="607">
        <f t="shared" si="683"/>
        <v>6000.16</v>
      </c>
      <c r="M304" s="349">
        <f t="shared" si="684"/>
        <v>6000.16</v>
      </c>
      <c r="N304" s="607">
        <f t="shared" si="685"/>
        <v>5987.16</v>
      </c>
      <c r="O304" s="349">
        <f t="shared" si="675"/>
        <v>5987.16</v>
      </c>
      <c r="P304" s="607">
        <f t="shared" si="686"/>
        <v>5982.16</v>
      </c>
      <c r="Q304" s="349">
        <f t="shared" si="676"/>
        <v>5982.16</v>
      </c>
      <c r="R304" s="607">
        <f t="shared" si="687"/>
        <v>5978.16</v>
      </c>
      <c r="S304" s="349">
        <f t="shared" si="677"/>
        <v>5978.16</v>
      </c>
      <c r="T304" s="607">
        <f t="shared" si="688"/>
        <v>5973.16</v>
      </c>
      <c r="U304" s="349">
        <f t="shared" si="678"/>
        <v>5973.16</v>
      </c>
      <c r="V304" s="607">
        <f t="shared" si="689"/>
        <v>5967.16</v>
      </c>
      <c r="W304" s="349">
        <f t="shared" si="679"/>
        <v>5967.16</v>
      </c>
      <c r="X304" s="816"/>
      <c r="Y304" s="816"/>
      <c r="Z304" s="816"/>
      <c r="AA304" s="817"/>
      <c r="AB304" s="209">
        <v>1079</v>
      </c>
    </row>
    <row r="305" spans="1:34" ht="12.6" customHeight="1" x14ac:dyDescent="0.2">
      <c r="A305" s="20"/>
      <c r="B305" s="706" t="s">
        <v>624</v>
      </c>
      <c r="C305" s="729"/>
      <c r="D305" s="729"/>
      <c r="E305" s="729"/>
      <c r="F305" s="404">
        <v>18190</v>
      </c>
      <c r="G305" s="348">
        <f>+F305*$X$1</f>
        <v>18190</v>
      </c>
      <c r="H305" s="75">
        <f>F305+300</f>
        <v>18490</v>
      </c>
      <c r="I305" s="348">
        <f t="shared" si="674"/>
        <v>18490</v>
      </c>
      <c r="J305" s="386">
        <f t="shared" si="681"/>
        <v>18300</v>
      </c>
      <c r="K305" s="348">
        <f t="shared" si="682"/>
        <v>18300</v>
      </c>
      <c r="L305" s="386">
        <f t="shared" si="683"/>
        <v>18270</v>
      </c>
      <c r="M305" s="348">
        <f t="shared" si="684"/>
        <v>18270</v>
      </c>
      <c r="N305" s="386">
        <f t="shared" si="685"/>
        <v>18257</v>
      </c>
      <c r="O305" s="348">
        <f t="shared" si="675"/>
        <v>18257</v>
      </c>
      <c r="P305" s="386">
        <f t="shared" si="686"/>
        <v>18252</v>
      </c>
      <c r="Q305" s="348">
        <f t="shared" si="676"/>
        <v>18252</v>
      </c>
      <c r="R305" s="386">
        <f t="shared" si="687"/>
        <v>18248</v>
      </c>
      <c r="S305" s="348">
        <f t="shared" si="677"/>
        <v>18248</v>
      </c>
      <c r="T305" s="386">
        <f t="shared" si="688"/>
        <v>18243</v>
      </c>
      <c r="U305" s="348">
        <f t="shared" si="678"/>
        <v>18243</v>
      </c>
      <c r="V305" s="386">
        <f t="shared" si="689"/>
        <v>18237</v>
      </c>
      <c r="W305" s="348">
        <f t="shared" si="679"/>
        <v>18237</v>
      </c>
      <c r="X305" s="816"/>
      <c r="Y305" s="816"/>
      <c r="Z305" s="816"/>
      <c r="AA305" s="817"/>
      <c r="AB305" s="209">
        <v>1080</v>
      </c>
      <c r="AC305" s="68"/>
    </row>
    <row r="306" spans="1:34" ht="12.6" customHeight="1" x14ac:dyDescent="0.2">
      <c r="A306" s="20"/>
      <c r="B306" s="720" t="s">
        <v>625</v>
      </c>
      <c r="C306" s="721"/>
      <c r="D306" s="721"/>
      <c r="E306" s="721"/>
      <c r="F306" s="403">
        <v>19246</v>
      </c>
      <c r="G306" s="349">
        <f>+F306*$X$1</f>
        <v>19246</v>
      </c>
      <c r="H306" s="94">
        <f>F306+300</f>
        <v>19546</v>
      </c>
      <c r="I306" s="349">
        <f t="shared" si="674"/>
        <v>19546</v>
      </c>
      <c r="J306" s="607">
        <f t="shared" si="681"/>
        <v>19356</v>
      </c>
      <c r="K306" s="349">
        <f t="shared" si="682"/>
        <v>19356</v>
      </c>
      <c r="L306" s="607">
        <f t="shared" si="683"/>
        <v>19326</v>
      </c>
      <c r="M306" s="349">
        <f t="shared" si="684"/>
        <v>19326</v>
      </c>
      <c r="N306" s="607">
        <f t="shared" si="685"/>
        <v>19313</v>
      </c>
      <c r="O306" s="349">
        <f t="shared" si="675"/>
        <v>19313</v>
      </c>
      <c r="P306" s="607">
        <f t="shared" si="686"/>
        <v>19308</v>
      </c>
      <c r="Q306" s="349">
        <f t="shared" si="676"/>
        <v>19308</v>
      </c>
      <c r="R306" s="607">
        <f t="shared" si="687"/>
        <v>19304</v>
      </c>
      <c r="S306" s="349">
        <f t="shared" si="677"/>
        <v>19304</v>
      </c>
      <c r="T306" s="607">
        <f t="shared" si="688"/>
        <v>19299</v>
      </c>
      <c r="U306" s="349">
        <f t="shared" si="678"/>
        <v>19299</v>
      </c>
      <c r="V306" s="607">
        <f t="shared" si="689"/>
        <v>19293</v>
      </c>
      <c r="W306" s="349">
        <f t="shared" si="679"/>
        <v>19293</v>
      </c>
      <c r="X306" s="816"/>
      <c r="Y306" s="816"/>
      <c r="Z306" s="816"/>
      <c r="AA306" s="817"/>
      <c r="AB306" s="209">
        <v>1081</v>
      </c>
      <c r="AC306" s="68"/>
    </row>
    <row r="307" spans="1:34" ht="12.6" customHeight="1" x14ac:dyDescent="0.2">
      <c r="A307" s="20"/>
      <c r="B307" s="706" t="s">
        <v>760</v>
      </c>
      <c r="C307" s="729"/>
      <c r="D307" s="729"/>
      <c r="E307" s="729"/>
      <c r="F307" s="404">
        <v>24060</v>
      </c>
      <c r="G307" s="348">
        <f>+F307*$X$1</f>
        <v>24060</v>
      </c>
      <c r="H307" s="75">
        <f>F307+300</f>
        <v>24360</v>
      </c>
      <c r="I307" s="348">
        <f t="shared" si="674"/>
        <v>24360</v>
      </c>
      <c r="J307" s="386">
        <f t="shared" si="681"/>
        <v>24170</v>
      </c>
      <c r="K307" s="348">
        <f t="shared" si="682"/>
        <v>24170</v>
      </c>
      <c r="L307" s="386">
        <f t="shared" si="683"/>
        <v>24140</v>
      </c>
      <c r="M307" s="348">
        <f t="shared" si="684"/>
        <v>24140</v>
      </c>
      <c r="N307" s="386">
        <f t="shared" si="685"/>
        <v>24127</v>
      </c>
      <c r="O307" s="348">
        <f t="shared" si="675"/>
        <v>24127</v>
      </c>
      <c r="P307" s="386">
        <f t="shared" si="686"/>
        <v>24122</v>
      </c>
      <c r="Q307" s="348">
        <f t="shared" si="676"/>
        <v>24122</v>
      </c>
      <c r="R307" s="386">
        <f t="shared" si="687"/>
        <v>24118</v>
      </c>
      <c r="S307" s="348">
        <f t="shared" si="677"/>
        <v>24118</v>
      </c>
      <c r="T307" s="386">
        <f t="shared" si="688"/>
        <v>24113</v>
      </c>
      <c r="U307" s="348">
        <f t="shared" si="678"/>
        <v>24113</v>
      </c>
      <c r="V307" s="386">
        <f t="shared" si="689"/>
        <v>24107</v>
      </c>
      <c r="W307" s="348">
        <f t="shared" si="679"/>
        <v>24107</v>
      </c>
      <c r="X307" s="816"/>
      <c r="Y307" s="816"/>
      <c r="Z307" s="816"/>
      <c r="AA307" s="817"/>
      <c r="AB307" s="209">
        <v>1082</v>
      </c>
      <c r="AC307" s="68"/>
    </row>
    <row r="308" spans="1:34" ht="12.6" customHeight="1" x14ac:dyDescent="0.2">
      <c r="A308" s="20"/>
      <c r="B308" s="720" t="s">
        <v>527</v>
      </c>
      <c r="C308" s="721"/>
      <c r="D308" s="721"/>
      <c r="E308" s="721"/>
      <c r="F308" s="403">
        <v>15740</v>
      </c>
      <c r="G308" s="349">
        <f>+F308*$X$1</f>
        <v>15740</v>
      </c>
      <c r="H308" s="94">
        <f>F308+300</f>
        <v>16040</v>
      </c>
      <c r="I308" s="349">
        <f t="shared" si="674"/>
        <v>16040</v>
      </c>
      <c r="J308" s="607">
        <f t="shared" si="681"/>
        <v>15850</v>
      </c>
      <c r="K308" s="349">
        <f t="shared" si="682"/>
        <v>15850</v>
      </c>
      <c r="L308" s="607">
        <f t="shared" si="683"/>
        <v>15820</v>
      </c>
      <c r="M308" s="349">
        <f t="shared" si="684"/>
        <v>15820</v>
      </c>
      <c r="N308" s="607">
        <f t="shared" si="685"/>
        <v>15807</v>
      </c>
      <c r="O308" s="349">
        <f t="shared" si="675"/>
        <v>15807</v>
      </c>
      <c r="P308" s="607">
        <f t="shared" si="686"/>
        <v>15802</v>
      </c>
      <c r="Q308" s="349">
        <f t="shared" si="676"/>
        <v>15802</v>
      </c>
      <c r="R308" s="607">
        <f t="shared" si="687"/>
        <v>15798</v>
      </c>
      <c r="S308" s="349">
        <f t="shared" si="677"/>
        <v>15798</v>
      </c>
      <c r="T308" s="607">
        <f t="shared" si="688"/>
        <v>15793</v>
      </c>
      <c r="U308" s="349">
        <f t="shared" si="678"/>
        <v>15793</v>
      </c>
      <c r="V308" s="607">
        <f t="shared" si="689"/>
        <v>15787</v>
      </c>
      <c r="W308" s="349">
        <f t="shared" si="679"/>
        <v>15787</v>
      </c>
      <c r="X308" s="816"/>
      <c r="Y308" s="816"/>
      <c r="Z308" s="816"/>
      <c r="AA308" s="817"/>
      <c r="AB308" s="209">
        <v>1083</v>
      </c>
      <c r="AC308" s="68"/>
    </row>
    <row r="309" spans="1:34" ht="12.6" customHeight="1" x14ac:dyDescent="0.2">
      <c r="A309" s="20"/>
      <c r="B309" s="814" t="s">
        <v>421</v>
      </c>
      <c r="C309" s="792"/>
      <c r="D309" s="792"/>
      <c r="E309" s="792"/>
      <c r="F309" s="487">
        <f>3.881*X2</f>
        <v>3523.9479999999999</v>
      </c>
      <c r="G309" s="348">
        <f t="shared" ref="G309" si="691">+F309*$X$1</f>
        <v>3523.9479999999999</v>
      </c>
      <c r="H309" s="386">
        <f>F309+290</f>
        <v>3813.9479999999999</v>
      </c>
      <c r="I309" s="348">
        <f>+H309*$X$1</f>
        <v>3813.9479999999999</v>
      </c>
      <c r="J309" s="75">
        <f>F309+120</f>
        <v>3643.9479999999999</v>
      </c>
      <c r="K309" s="348">
        <f t="shared" si="682"/>
        <v>3643.9479999999999</v>
      </c>
      <c r="L309" s="386">
        <f>F309+80</f>
        <v>3603.9479999999999</v>
      </c>
      <c r="M309" s="348">
        <f t="shared" si="684"/>
        <v>3603.9479999999999</v>
      </c>
      <c r="N309" s="386">
        <f>F309+50</f>
        <v>3573.9479999999999</v>
      </c>
      <c r="O309" s="348">
        <f t="shared" si="675"/>
        <v>3573.9479999999999</v>
      </c>
      <c r="P309" s="386">
        <f>F309+46</f>
        <v>3569.9479999999999</v>
      </c>
      <c r="Q309" s="348">
        <f t="shared" si="676"/>
        <v>3569.9479999999999</v>
      </c>
      <c r="R309" s="386">
        <f>F309+38</f>
        <v>3561.9479999999999</v>
      </c>
      <c r="S309" s="348">
        <f t="shared" si="677"/>
        <v>3561.9479999999999</v>
      </c>
      <c r="T309" s="386">
        <f>F309+32</f>
        <v>3555.9479999999999</v>
      </c>
      <c r="U309" s="348">
        <f t="shared" si="678"/>
        <v>3555.9479999999999</v>
      </c>
      <c r="V309" s="386">
        <f>F309+26</f>
        <v>3549.9479999999999</v>
      </c>
      <c r="W309" s="348">
        <f t="shared" si="679"/>
        <v>3549.9479999999999</v>
      </c>
      <c r="X309" s="970"/>
      <c r="Y309" s="971"/>
      <c r="Z309" s="971"/>
      <c r="AA309" s="972"/>
      <c r="AB309" s="540">
        <v>2131</v>
      </c>
      <c r="AC309" s="69"/>
    </row>
    <row r="310" spans="1:34" ht="12.6" customHeight="1" x14ac:dyDescent="0.2">
      <c r="A310" s="20"/>
      <c r="B310" s="700" t="s">
        <v>495</v>
      </c>
      <c r="C310" s="701"/>
      <c r="D310" s="701"/>
      <c r="E310" s="702"/>
      <c r="F310" s="488">
        <f>4.33*X2</f>
        <v>3931.64</v>
      </c>
      <c r="G310" s="349">
        <f t="shared" ref="G310" si="692">+F310*$X$1</f>
        <v>3931.64</v>
      </c>
      <c r="H310" s="630">
        <f>F310+290</f>
        <v>4221.6399999999994</v>
      </c>
      <c r="I310" s="349">
        <f>+H310*$X$1</f>
        <v>4221.6399999999994</v>
      </c>
      <c r="J310" s="94">
        <f>F310+120</f>
        <v>4051.64</v>
      </c>
      <c r="K310" s="349">
        <f t="shared" ref="K310" si="693">+J310*$X$1</f>
        <v>4051.64</v>
      </c>
      <c r="L310" s="607">
        <f>F310+80</f>
        <v>4011.64</v>
      </c>
      <c r="M310" s="349">
        <f t="shared" ref="M310:M311" si="694">+L310*$X$1</f>
        <v>4011.64</v>
      </c>
      <c r="N310" s="607">
        <f>F310+50</f>
        <v>3981.64</v>
      </c>
      <c r="O310" s="349">
        <f t="shared" ref="O310" si="695">+N310*$X$1</f>
        <v>3981.64</v>
      </c>
      <c r="P310" s="607">
        <f>F310+46</f>
        <v>3977.64</v>
      </c>
      <c r="Q310" s="349">
        <f t="shared" ref="Q310:Q311" si="696">+P310*$X$1</f>
        <v>3977.64</v>
      </c>
      <c r="R310" s="607">
        <f>F310+38</f>
        <v>3969.64</v>
      </c>
      <c r="S310" s="349">
        <f t="shared" ref="S310" si="697">+R310*$X$1</f>
        <v>3969.64</v>
      </c>
      <c r="T310" s="607">
        <f>F310+32</f>
        <v>3963.64</v>
      </c>
      <c r="U310" s="349">
        <f t="shared" ref="U310" si="698">+T310*$X$1</f>
        <v>3963.64</v>
      </c>
      <c r="V310" s="607">
        <f>F310+26</f>
        <v>3957.64</v>
      </c>
      <c r="W310" s="349">
        <f t="shared" ref="W310" si="699">+V310*$X$1</f>
        <v>3957.64</v>
      </c>
      <c r="X310" s="257"/>
      <c r="Y310" s="258"/>
      <c r="Z310" s="258"/>
      <c r="AA310" s="256"/>
      <c r="AB310" s="540">
        <v>2132</v>
      </c>
      <c r="AC310" s="69"/>
    </row>
    <row r="311" spans="1:34" ht="12.6" customHeight="1" x14ac:dyDescent="0.2">
      <c r="A311" s="112"/>
      <c r="B311" s="706" t="s">
        <v>231</v>
      </c>
      <c r="C311" s="729"/>
      <c r="D311" s="729"/>
      <c r="E311" s="729"/>
      <c r="F311" s="487">
        <f>0.445*X2</f>
        <v>404.06</v>
      </c>
      <c r="G311" s="348">
        <f t="shared" ref="G311:G312" si="700">+F311*$X$1</f>
        <v>404.06</v>
      </c>
      <c r="H311" s="338"/>
      <c r="I311" s="424"/>
      <c r="J311" s="386"/>
      <c r="K311" s="348"/>
      <c r="L311" s="386">
        <f t="shared" ref="L311" si="701">F311+70</f>
        <v>474.06</v>
      </c>
      <c r="M311" s="348">
        <f t="shared" si="694"/>
        <v>474.06</v>
      </c>
      <c r="N311" s="386">
        <f t="shared" ref="N311" si="702">F311+42</f>
        <v>446.06</v>
      </c>
      <c r="O311" s="348">
        <f t="shared" ref="O311:O312" si="703">+N311*$X$1</f>
        <v>446.06</v>
      </c>
      <c r="P311" s="386">
        <f t="shared" ref="P311" si="704">F311+38</f>
        <v>442.06</v>
      </c>
      <c r="Q311" s="348">
        <f t="shared" si="696"/>
        <v>442.06</v>
      </c>
      <c r="R311" s="386">
        <f t="shared" ref="R311" si="705">F311+29</f>
        <v>433.06</v>
      </c>
      <c r="S311" s="348">
        <f t="shared" ref="S311:S312" si="706">+R311*$X$1</f>
        <v>433.06</v>
      </c>
      <c r="T311" s="109">
        <f t="shared" ref="T311" si="707">F311+24</f>
        <v>428.06</v>
      </c>
      <c r="U311" s="306">
        <f t="shared" ref="U311:U312" si="708">+T311*$X$1</f>
        <v>428.06</v>
      </c>
      <c r="V311" s="109">
        <f t="shared" ref="V311" si="709">F311+19</f>
        <v>423.06</v>
      </c>
      <c r="W311" s="306">
        <f t="shared" ref="W311:W312" si="710">+V311*$X$1</f>
        <v>423.06</v>
      </c>
      <c r="X311" s="145"/>
      <c r="Y311" s="142"/>
      <c r="Z311" s="142"/>
      <c r="AA311" s="142"/>
      <c r="AB311" s="540">
        <v>2145</v>
      </c>
      <c r="AC311" s="69"/>
    </row>
    <row r="312" spans="1:34" ht="12.6" customHeight="1" x14ac:dyDescent="0.2">
      <c r="A312" s="20"/>
      <c r="B312" s="720" t="s">
        <v>232</v>
      </c>
      <c r="C312" s="721"/>
      <c r="D312" s="721"/>
      <c r="E312" s="721"/>
      <c r="F312" s="488">
        <v>48</v>
      </c>
      <c r="G312" s="349">
        <f t="shared" si="700"/>
        <v>48</v>
      </c>
      <c r="H312" s="337"/>
      <c r="I312" s="425"/>
      <c r="J312" s="638">
        <f>F312+115</f>
        <v>163</v>
      </c>
      <c r="K312" s="349">
        <f t="shared" ref="K312" si="711">+J312*$X$1</f>
        <v>163</v>
      </c>
      <c r="L312" s="638">
        <f t="shared" ref="L312" si="712">F312+70</f>
        <v>118</v>
      </c>
      <c r="M312" s="349">
        <f t="shared" ref="M312" si="713">+L312*$X$1</f>
        <v>118</v>
      </c>
      <c r="N312" s="638">
        <f t="shared" ref="N312" si="714">F312+42</f>
        <v>90</v>
      </c>
      <c r="O312" s="349">
        <f t="shared" si="703"/>
        <v>90</v>
      </c>
      <c r="P312" s="638">
        <f t="shared" ref="P312" si="715">F312+38</f>
        <v>86</v>
      </c>
      <c r="Q312" s="349">
        <f t="shared" ref="Q312" si="716">+P312*$X$1</f>
        <v>86</v>
      </c>
      <c r="R312" s="638">
        <f t="shared" ref="R312" si="717">F312+29</f>
        <v>77</v>
      </c>
      <c r="S312" s="349">
        <f t="shared" si="706"/>
        <v>77</v>
      </c>
      <c r="T312" s="108">
        <f t="shared" ref="T312" si="718">F312+24</f>
        <v>72</v>
      </c>
      <c r="U312" s="374">
        <f t="shared" si="708"/>
        <v>72</v>
      </c>
      <c r="V312" s="108">
        <f t="shared" ref="V312" si="719">F312+19</f>
        <v>67</v>
      </c>
      <c r="W312" s="374">
        <f t="shared" si="710"/>
        <v>67</v>
      </c>
      <c r="X312" s="142"/>
      <c r="Y312" s="142"/>
      <c r="Z312" s="142"/>
      <c r="AA312" s="142"/>
      <c r="AB312" s="540">
        <v>2149</v>
      </c>
    </row>
    <row r="313" spans="1:34" ht="12.6" customHeight="1" x14ac:dyDescent="0.25">
      <c r="A313" s="137"/>
      <c r="B313" s="706" t="s">
        <v>233</v>
      </c>
      <c r="C313" s="729"/>
      <c r="D313" s="729"/>
      <c r="E313" s="729"/>
      <c r="F313" s="487">
        <f>0.892*X2</f>
        <v>809.93600000000004</v>
      </c>
      <c r="G313" s="348">
        <f>+F313*$X$1</f>
        <v>809.93600000000004</v>
      </c>
      <c r="H313" s="338"/>
      <c r="I313" s="424"/>
      <c r="J313" s="642"/>
      <c r="K313" s="348"/>
      <c r="L313" s="643"/>
      <c r="M313" s="348"/>
      <c r="N313" s="643"/>
      <c r="O313" s="644"/>
      <c r="P313" s="338"/>
      <c r="Q313" s="424"/>
      <c r="R313" s="643"/>
      <c r="S313" s="644"/>
      <c r="T313" s="643"/>
      <c r="U313" s="644"/>
      <c r="V313" s="643"/>
      <c r="W313" s="644"/>
      <c r="X313" s="142"/>
      <c r="Y313" s="142"/>
      <c r="Z313" s="142"/>
      <c r="AA313" s="142"/>
      <c r="AB313" s="209">
        <v>2151</v>
      </c>
    </row>
    <row r="314" spans="1:34" ht="12.6" customHeight="1" x14ac:dyDescent="0.2">
      <c r="A314" s="20"/>
      <c r="B314" s="720" t="s">
        <v>234</v>
      </c>
      <c r="C314" s="740"/>
      <c r="D314" s="740"/>
      <c r="E314" s="740"/>
      <c r="F314" s="488">
        <f>0.685*X2</f>
        <v>621.98</v>
      </c>
      <c r="G314" s="349">
        <f>+F314*$X$1</f>
        <v>621.98</v>
      </c>
      <c r="H314" s="337"/>
      <c r="I314" s="425"/>
      <c r="J314" s="672"/>
      <c r="K314" s="349"/>
      <c r="L314" s="672">
        <f t="shared" ref="L314" si="720">F314+70</f>
        <v>691.98</v>
      </c>
      <c r="M314" s="349">
        <f t="shared" ref="M314" si="721">+L314*$X$1</f>
        <v>691.98</v>
      </c>
      <c r="N314" s="672">
        <f t="shared" ref="N314" si="722">F314+42</f>
        <v>663.98</v>
      </c>
      <c r="O314" s="349">
        <f t="shared" ref="O314" si="723">+N314*$X$1</f>
        <v>663.98</v>
      </c>
      <c r="P314" s="672">
        <f t="shared" ref="P314" si="724">F314+38</f>
        <v>659.98</v>
      </c>
      <c r="Q314" s="349">
        <f t="shared" ref="Q314" si="725">+P314*$X$1</f>
        <v>659.98</v>
      </c>
      <c r="R314" s="672">
        <f t="shared" ref="R314" si="726">F314+29</f>
        <v>650.98</v>
      </c>
      <c r="S314" s="349">
        <f t="shared" ref="S314" si="727">+R314*$X$1</f>
        <v>650.98</v>
      </c>
      <c r="T314" s="108">
        <f t="shared" ref="T314" si="728">F314+24</f>
        <v>645.98</v>
      </c>
      <c r="U314" s="374">
        <f t="shared" ref="U314" si="729">+T314*$X$1</f>
        <v>645.98</v>
      </c>
      <c r="V314" s="108">
        <f t="shared" ref="V314" si="730">F314+19</f>
        <v>640.98</v>
      </c>
      <c r="W314" s="374">
        <f t="shared" ref="W314" si="731">+V314*$X$1</f>
        <v>640.98</v>
      </c>
      <c r="X314" s="142"/>
      <c r="Y314" s="142"/>
      <c r="Z314" s="142"/>
      <c r="AA314" s="142"/>
      <c r="AB314" s="540">
        <v>2153</v>
      </c>
      <c r="AC314" s="69"/>
    </row>
    <row r="315" spans="1:34" ht="12.6" customHeight="1" x14ac:dyDescent="0.2">
      <c r="A315" s="20"/>
      <c r="B315" s="706" t="s">
        <v>447</v>
      </c>
      <c r="C315" s="729"/>
      <c r="D315" s="729"/>
      <c r="E315" s="729"/>
      <c r="F315" s="487">
        <f>0.519*X2</f>
        <v>471.25200000000001</v>
      </c>
      <c r="G315" s="348">
        <f>+F315*$X$1</f>
        <v>471.25200000000001</v>
      </c>
      <c r="H315" s="338"/>
      <c r="I315" s="424"/>
      <c r="J315" s="386"/>
      <c r="K315" s="348"/>
      <c r="L315" s="386">
        <f>F315+70</f>
        <v>541.25199999999995</v>
      </c>
      <c r="M315" s="348">
        <f t="shared" ref="M315" si="732">+L315*$X$1</f>
        <v>541.25199999999995</v>
      </c>
      <c r="N315" s="386">
        <f>F315+42</f>
        <v>513.25199999999995</v>
      </c>
      <c r="O315" s="348">
        <f>+N315*$X$1</f>
        <v>513.25199999999995</v>
      </c>
      <c r="P315" s="386">
        <f>F315+38</f>
        <v>509.25200000000001</v>
      </c>
      <c r="Q315" s="348">
        <f t="shared" ref="Q315" si="733">+P315*$X$1</f>
        <v>509.25200000000001</v>
      </c>
      <c r="R315" s="386">
        <f>F315+29</f>
        <v>500.25200000000001</v>
      </c>
      <c r="S315" s="348">
        <f>+R315*$X$1</f>
        <v>500.25200000000001</v>
      </c>
      <c r="T315" s="109">
        <f>F315+24</f>
        <v>495.25200000000001</v>
      </c>
      <c r="U315" s="306">
        <f>+T315*$X$1</f>
        <v>495.25200000000001</v>
      </c>
      <c r="V315" s="109">
        <f>F315+19</f>
        <v>490.25200000000001</v>
      </c>
      <c r="W315" s="306">
        <f>+V315*$X$1</f>
        <v>490.25200000000001</v>
      </c>
      <c r="X315" s="142"/>
      <c r="Y315" s="150"/>
      <c r="Z315" s="150"/>
      <c r="AA315" s="150"/>
      <c r="AB315" s="557">
        <v>2154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768" t="s">
        <v>11</v>
      </c>
      <c r="C319" s="754" t="s">
        <v>12</v>
      </c>
      <c r="D319" s="755"/>
      <c r="E319" s="755"/>
      <c r="F319" s="780" t="s">
        <v>13</v>
      </c>
      <c r="G319" s="780" t="s">
        <v>13</v>
      </c>
      <c r="H319" s="1061" t="s">
        <v>14</v>
      </c>
      <c r="I319" s="1061"/>
      <c r="J319" s="874"/>
      <c r="K319" s="874"/>
      <c r="L319" s="874"/>
      <c r="M319" s="874"/>
      <c r="N319" s="874"/>
      <c r="O319" s="874"/>
      <c r="P319" s="874"/>
      <c r="Q319" s="874"/>
      <c r="R319" s="874"/>
      <c r="S319" s="874"/>
      <c r="T319" s="874"/>
      <c r="U319" s="874"/>
      <c r="V319" s="874"/>
      <c r="W319" s="875"/>
      <c r="X319" s="770" t="s">
        <v>15</v>
      </c>
      <c r="Y319" s="771"/>
      <c r="Z319" s="771"/>
      <c r="AA319" s="771"/>
      <c r="AB319" s="839" t="s">
        <v>16</v>
      </c>
      <c r="AF319" s="828" t="s">
        <v>3</v>
      </c>
      <c r="AG319" s="829"/>
      <c r="AH319" s="829"/>
    </row>
    <row r="320" spans="1:34" ht="11.25" customHeight="1" thickBot="1" x14ac:dyDescent="0.25">
      <c r="A320" s="20"/>
      <c r="B320" s="769"/>
      <c r="C320" s="756"/>
      <c r="D320" s="756"/>
      <c r="E320" s="756"/>
      <c r="F320" s="781"/>
      <c r="G320" s="781"/>
      <c r="H320" s="298"/>
      <c r="I320" s="295" t="s">
        <v>312</v>
      </c>
      <c r="J320" s="299"/>
      <c r="K320" s="295" t="s">
        <v>18</v>
      </c>
      <c r="L320" s="300"/>
      <c r="M320" s="300" t="s">
        <v>19</v>
      </c>
      <c r="N320" s="300"/>
      <c r="O320" s="295" t="s">
        <v>20</v>
      </c>
      <c r="P320" s="300"/>
      <c r="Q320" s="300" t="s">
        <v>314</v>
      </c>
      <c r="R320" s="300"/>
      <c r="S320" s="300" t="s">
        <v>21</v>
      </c>
      <c r="T320" s="300"/>
      <c r="U320" s="300" t="s">
        <v>22</v>
      </c>
      <c r="V320" s="300"/>
      <c r="W320" s="302" t="s">
        <v>23</v>
      </c>
      <c r="X320" s="772"/>
      <c r="Y320" s="773"/>
      <c r="Z320" s="773"/>
      <c r="AA320" s="773"/>
      <c r="AB320" s="840"/>
    </row>
    <row r="321" spans="1:34" ht="12.6" customHeight="1" x14ac:dyDescent="0.2">
      <c r="A321" s="20"/>
      <c r="B321" s="706" t="s">
        <v>448</v>
      </c>
      <c r="C321" s="729"/>
      <c r="D321" s="729"/>
      <c r="E321" s="729"/>
      <c r="F321" s="487">
        <f>0.611*X2</f>
        <v>554.78800000000001</v>
      </c>
      <c r="G321" s="348">
        <f t="shared" ref="G321:G322" si="734">+F321*$X$1</f>
        <v>554.78800000000001</v>
      </c>
      <c r="H321" s="338"/>
      <c r="I321" s="424"/>
      <c r="J321" s="386"/>
      <c r="K321" s="348"/>
      <c r="L321" s="386">
        <f t="shared" ref="L321:L333" si="735">F321+70</f>
        <v>624.78800000000001</v>
      </c>
      <c r="M321" s="348">
        <f t="shared" ref="M321:M333" si="736">+L321*$X$1</f>
        <v>624.78800000000001</v>
      </c>
      <c r="N321" s="386">
        <f t="shared" ref="N321:N333" si="737">F321+42</f>
        <v>596.78800000000001</v>
      </c>
      <c r="O321" s="348">
        <f t="shared" ref="O321:O343" si="738">+N321*$X$1</f>
        <v>596.78800000000001</v>
      </c>
      <c r="P321" s="386">
        <f t="shared" ref="P321:P333" si="739">F321+38</f>
        <v>592.78800000000001</v>
      </c>
      <c r="Q321" s="348">
        <f t="shared" ref="Q321:Q333" si="740">+P321*$X$1</f>
        <v>592.78800000000001</v>
      </c>
      <c r="R321" s="386">
        <f t="shared" ref="R321:R333" si="741">F321+29</f>
        <v>583.78800000000001</v>
      </c>
      <c r="S321" s="348">
        <f t="shared" ref="S321:S343" si="742">+R321*$X$1</f>
        <v>583.78800000000001</v>
      </c>
      <c r="T321" s="109">
        <f t="shared" ref="T321:T333" si="743">F321+24</f>
        <v>578.78800000000001</v>
      </c>
      <c r="U321" s="306">
        <f t="shared" ref="U321:U343" si="744">+T321*$X$1</f>
        <v>578.78800000000001</v>
      </c>
      <c r="V321" s="109">
        <f t="shared" ref="V321:V333" si="745">F321+19</f>
        <v>573.78800000000001</v>
      </c>
      <c r="W321" s="306">
        <f t="shared" ref="W321:W343" si="746">+V321*$X$1</f>
        <v>573.78800000000001</v>
      </c>
      <c r="X321" s="165"/>
      <c r="Y321" s="142"/>
      <c r="Z321" s="150"/>
      <c r="AA321" s="150"/>
      <c r="AB321" s="557">
        <v>2156</v>
      </c>
      <c r="AC321" s="24"/>
      <c r="AD321" s="24"/>
    </row>
    <row r="322" spans="1:34" ht="12.6" customHeight="1" x14ac:dyDescent="0.2">
      <c r="A322" s="20"/>
      <c r="B322" s="700" t="s">
        <v>235</v>
      </c>
      <c r="C322" s="701"/>
      <c r="D322" s="701"/>
      <c r="E322" s="702"/>
      <c r="F322" s="488">
        <f>0.482*X2</f>
        <v>437.65600000000001</v>
      </c>
      <c r="G322" s="349">
        <f t="shared" si="734"/>
        <v>437.65600000000001</v>
      </c>
      <c r="H322" s="337"/>
      <c r="I322" s="425"/>
      <c r="J322" s="607"/>
      <c r="K322" s="349"/>
      <c r="L322" s="607">
        <f t="shared" si="735"/>
        <v>507.65600000000001</v>
      </c>
      <c r="M322" s="349">
        <f t="shared" si="736"/>
        <v>507.65600000000001</v>
      </c>
      <c r="N322" s="607">
        <f t="shared" si="737"/>
        <v>479.65600000000001</v>
      </c>
      <c r="O322" s="349">
        <f t="shared" si="738"/>
        <v>479.65600000000001</v>
      </c>
      <c r="P322" s="607">
        <f t="shared" si="739"/>
        <v>475.65600000000001</v>
      </c>
      <c r="Q322" s="349">
        <f t="shared" si="740"/>
        <v>475.65600000000001</v>
      </c>
      <c r="R322" s="607">
        <f t="shared" si="741"/>
        <v>466.65600000000001</v>
      </c>
      <c r="S322" s="349">
        <f t="shared" si="742"/>
        <v>466.65600000000001</v>
      </c>
      <c r="T322" s="108">
        <f t="shared" si="743"/>
        <v>461.65600000000001</v>
      </c>
      <c r="U322" s="374">
        <f t="shared" si="744"/>
        <v>461.65600000000001</v>
      </c>
      <c r="V322" s="108">
        <f t="shared" si="745"/>
        <v>456.65600000000001</v>
      </c>
      <c r="W322" s="374">
        <f t="shared" si="746"/>
        <v>456.65600000000001</v>
      </c>
      <c r="X322" s="142"/>
      <c r="Y322" s="150"/>
      <c r="Z322" s="150"/>
      <c r="AA322" s="150"/>
      <c r="AB322" s="557">
        <v>2160</v>
      </c>
      <c r="AC322" s="24"/>
      <c r="AD322" s="24"/>
      <c r="AH322" s="68"/>
    </row>
    <row r="323" spans="1:34" ht="12.6" customHeight="1" x14ac:dyDescent="0.2">
      <c r="A323" s="102"/>
      <c r="B323" s="757" t="s">
        <v>236</v>
      </c>
      <c r="C323" s="758"/>
      <c r="D323" s="758"/>
      <c r="E323" s="759"/>
      <c r="F323" s="487">
        <f>0.648*X2</f>
        <v>588.38400000000001</v>
      </c>
      <c r="G323" s="306">
        <f t="shared" ref="G323:G331" si="747">+F323*$X$1</f>
        <v>588.38400000000001</v>
      </c>
      <c r="H323" s="386"/>
      <c r="I323" s="386"/>
      <c r="J323" s="132"/>
      <c r="K323" s="348"/>
      <c r="L323" s="386">
        <f t="shared" si="735"/>
        <v>658.38400000000001</v>
      </c>
      <c r="M323" s="348">
        <f t="shared" si="736"/>
        <v>658.38400000000001</v>
      </c>
      <c r="N323" s="386">
        <f t="shared" si="737"/>
        <v>630.38400000000001</v>
      </c>
      <c r="O323" s="348">
        <f t="shared" si="738"/>
        <v>630.38400000000001</v>
      </c>
      <c r="P323" s="386">
        <f t="shared" si="739"/>
        <v>626.38400000000001</v>
      </c>
      <c r="Q323" s="348">
        <f t="shared" si="740"/>
        <v>626.38400000000001</v>
      </c>
      <c r="R323" s="386">
        <f t="shared" si="741"/>
        <v>617.38400000000001</v>
      </c>
      <c r="S323" s="348">
        <f t="shared" si="742"/>
        <v>617.38400000000001</v>
      </c>
      <c r="T323" s="109">
        <f t="shared" si="743"/>
        <v>612.38400000000001</v>
      </c>
      <c r="U323" s="306">
        <f t="shared" si="744"/>
        <v>612.38400000000001</v>
      </c>
      <c r="V323" s="109">
        <f t="shared" si="745"/>
        <v>607.38400000000001</v>
      </c>
      <c r="W323" s="306">
        <f t="shared" si="746"/>
        <v>607.38400000000001</v>
      </c>
      <c r="X323" s="142"/>
      <c r="Y323" s="150"/>
      <c r="Z323" s="150"/>
      <c r="AA323" s="150"/>
      <c r="AB323" s="540">
        <v>2174</v>
      </c>
      <c r="AC323" s="70"/>
      <c r="AD323" s="24"/>
    </row>
    <row r="324" spans="1:34" ht="12.6" customHeight="1" x14ac:dyDescent="0.2">
      <c r="A324" s="102"/>
      <c r="B324" s="744" t="s">
        <v>237</v>
      </c>
      <c r="C324" s="745"/>
      <c r="D324" s="745"/>
      <c r="E324" s="746"/>
      <c r="F324" s="488">
        <f>0.648*X2</f>
        <v>588.38400000000001</v>
      </c>
      <c r="G324" s="374">
        <f t="shared" si="747"/>
        <v>588.38400000000001</v>
      </c>
      <c r="H324" s="607"/>
      <c r="I324" s="607"/>
      <c r="J324" s="131"/>
      <c r="K324" s="349"/>
      <c r="L324" s="607">
        <f t="shared" si="735"/>
        <v>658.38400000000001</v>
      </c>
      <c r="M324" s="349">
        <f t="shared" si="736"/>
        <v>658.38400000000001</v>
      </c>
      <c r="N324" s="607">
        <f t="shared" si="737"/>
        <v>630.38400000000001</v>
      </c>
      <c r="O324" s="349">
        <f t="shared" si="738"/>
        <v>630.38400000000001</v>
      </c>
      <c r="P324" s="607">
        <f t="shared" si="739"/>
        <v>626.38400000000001</v>
      </c>
      <c r="Q324" s="349">
        <f t="shared" si="740"/>
        <v>626.38400000000001</v>
      </c>
      <c r="R324" s="607">
        <f t="shared" si="741"/>
        <v>617.38400000000001</v>
      </c>
      <c r="S324" s="349">
        <f t="shared" si="742"/>
        <v>617.38400000000001</v>
      </c>
      <c r="T324" s="108">
        <f t="shared" si="743"/>
        <v>612.38400000000001</v>
      </c>
      <c r="U324" s="374">
        <f t="shared" si="744"/>
        <v>612.38400000000001</v>
      </c>
      <c r="V324" s="108">
        <f t="shared" si="745"/>
        <v>607.38400000000001</v>
      </c>
      <c r="W324" s="374">
        <f t="shared" si="746"/>
        <v>607.38400000000001</v>
      </c>
      <c r="X324" s="142"/>
      <c r="Y324" s="150"/>
      <c r="Z324" s="150"/>
      <c r="AA324" s="150"/>
      <c r="AB324" s="540" t="s">
        <v>395</v>
      </c>
      <c r="AC324" s="70"/>
      <c r="AD324" s="24"/>
    </row>
    <row r="325" spans="1:34" ht="12.6" customHeight="1" x14ac:dyDescent="0.2">
      <c r="A325" s="102" t="s">
        <v>419</v>
      </c>
      <c r="B325" s="757" t="s">
        <v>426</v>
      </c>
      <c r="C325" s="758"/>
      <c r="D325" s="758"/>
      <c r="E325" s="759"/>
      <c r="F325" s="487">
        <f>0.466*X2</f>
        <v>423.12800000000004</v>
      </c>
      <c r="G325" s="306">
        <f t="shared" si="747"/>
        <v>423.12800000000004</v>
      </c>
      <c r="H325" s="386"/>
      <c r="I325" s="386"/>
      <c r="J325" s="132"/>
      <c r="K325" s="348"/>
      <c r="L325" s="386">
        <f t="shared" si="735"/>
        <v>493.12800000000004</v>
      </c>
      <c r="M325" s="348">
        <f t="shared" si="736"/>
        <v>493.12800000000004</v>
      </c>
      <c r="N325" s="386">
        <f t="shared" si="737"/>
        <v>465.12800000000004</v>
      </c>
      <c r="O325" s="348">
        <f t="shared" si="738"/>
        <v>465.12800000000004</v>
      </c>
      <c r="P325" s="386">
        <f t="shared" si="739"/>
        <v>461.12800000000004</v>
      </c>
      <c r="Q325" s="348">
        <f t="shared" si="740"/>
        <v>461.12800000000004</v>
      </c>
      <c r="R325" s="386">
        <f t="shared" si="741"/>
        <v>452.12800000000004</v>
      </c>
      <c r="S325" s="348">
        <f t="shared" si="742"/>
        <v>452.12800000000004</v>
      </c>
      <c r="T325" s="109">
        <f t="shared" si="743"/>
        <v>447.12800000000004</v>
      </c>
      <c r="U325" s="306">
        <f t="shared" si="744"/>
        <v>447.12800000000004</v>
      </c>
      <c r="V325" s="109">
        <f t="shared" si="745"/>
        <v>442.12800000000004</v>
      </c>
      <c r="W325" s="306">
        <f t="shared" si="746"/>
        <v>442.12800000000004</v>
      </c>
      <c r="X325" s="142"/>
      <c r="Y325" s="150"/>
      <c r="Z325" s="150"/>
      <c r="AA325" s="150"/>
      <c r="AB325" s="540">
        <v>2176</v>
      </c>
      <c r="AC325" s="558"/>
      <c r="AD325" s="24"/>
    </row>
    <row r="326" spans="1:34" ht="12.6" customHeight="1" x14ac:dyDescent="0.2">
      <c r="A326" s="102"/>
      <c r="B326" s="720" t="s">
        <v>834</v>
      </c>
      <c r="C326" s="721"/>
      <c r="D326" s="721"/>
      <c r="E326" s="721"/>
      <c r="F326" s="488">
        <f>0.614*X2</f>
        <v>557.51199999999994</v>
      </c>
      <c r="G326" s="374">
        <f t="shared" si="747"/>
        <v>557.51199999999994</v>
      </c>
      <c r="H326" s="607"/>
      <c r="I326" s="607"/>
      <c r="J326" s="131"/>
      <c r="K326" s="349"/>
      <c r="L326" s="607">
        <f t="shared" si="735"/>
        <v>627.51199999999994</v>
      </c>
      <c r="M326" s="349">
        <f t="shared" si="736"/>
        <v>627.51199999999994</v>
      </c>
      <c r="N326" s="607">
        <f t="shared" si="737"/>
        <v>599.51199999999994</v>
      </c>
      <c r="O326" s="349">
        <f t="shared" si="738"/>
        <v>599.51199999999994</v>
      </c>
      <c r="P326" s="607">
        <f t="shared" si="739"/>
        <v>595.51199999999994</v>
      </c>
      <c r="Q326" s="349">
        <f t="shared" si="740"/>
        <v>595.51199999999994</v>
      </c>
      <c r="R326" s="607">
        <f t="shared" si="741"/>
        <v>586.51199999999994</v>
      </c>
      <c r="S326" s="349">
        <f t="shared" si="742"/>
        <v>586.51199999999994</v>
      </c>
      <c r="T326" s="108">
        <f t="shared" si="743"/>
        <v>581.51199999999994</v>
      </c>
      <c r="U326" s="374">
        <f t="shared" si="744"/>
        <v>581.51199999999994</v>
      </c>
      <c r="V326" s="108">
        <f t="shared" si="745"/>
        <v>576.51199999999994</v>
      </c>
      <c r="W326" s="374">
        <f t="shared" si="746"/>
        <v>576.51199999999994</v>
      </c>
      <c r="X326" s="142"/>
      <c r="Y326" s="150"/>
      <c r="Z326" s="150"/>
      <c r="AA326" s="150"/>
      <c r="AB326" s="540">
        <v>2180</v>
      </c>
      <c r="AC326" s="24"/>
      <c r="AD326" s="24"/>
    </row>
    <row r="327" spans="1:34" ht="12" customHeight="1" x14ac:dyDescent="0.2">
      <c r="A327" s="201"/>
      <c r="B327" s="716" t="s">
        <v>238</v>
      </c>
      <c r="C327" s="766"/>
      <c r="D327" s="766"/>
      <c r="E327" s="767"/>
      <c r="F327" s="487">
        <f>0.8*X2</f>
        <v>726.40000000000009</v>
      </c>
      <c r="G327" s="306">
        <f t="shared" si="747"/>
        <v>726.40000000000009</v>
      </c>
      <c r="H327" s="386"/>
      <c r="I327" s="386"/>
      <c r="J327" s="132"/>
      <c r="K327" s="348"/>
      <c r="L327" s="386">
        <f t="shared" si="735"/>
        <v>796.40000000000009</v>
      </c>
      <c r="M327" s="348">
        <f t="shared" si="736"/>
        <v>796.40000000000009</v>
      </c>
      <c r="N327" s="386">
        <f t="shared" si="737"/>
        <v>768.40000000000009</v>
      </c>
      <c r="O327" s="348">
        <f t="shared" si="738"/>
        <v>768.40000000000009</v>
      </c>
      <c r="P327" s="386"/>
      <c r="Q327" s="348"/>
      <c r="R327" s="386"/>
      <c r="S327" s="348"/>
      <c r="T327" s="109"/>
      <c r="U327" s="306"/>
      <c r="V327" s="109"/>
      <c r="W327" s="306"/>
      <c r="X327" s="142"/>
      <c r="Y327" s="142"/>
      <c r="Z327" s="142"/>
      <c r="AA327" s="142"/>
      <c r="AB327" s="540">
        <v>2184</v>
      </c>
    </row>
    <row r="328" spans="1:34" ht="12" customHeight="1" x14ac:dyDescent="0.2">
      <c r="A328" s="201"/>
      <c r="B328" s="700" t="s">
        <v>239</v>
      </c>
      <c r="C328" s="701"/>
      <c r="D328" s="701"/>
      <c r="E328" s="702"/>
      <c r="F328" s="488">
        <f>0.763*X2</f>
        <v>692.80399999999997</v>
      </c>
      <c r="G328" s="374">
        <f t="shared" si="747"/>
        <v>692.80399999999997</v>
      </c>
      <c r="H328" s="607"/>
      <c r="I328" s="607"/>
      <c r="J328" s="131"/>
      <c r="K328" s="349"/>
      <c r="L328" s="607">
        <f t="shared" si="735"/>
        <v>762.80399999999997</v>
      </c>
      <c r="M328" s="349">
        <f t="shared" si="736"/>
        <v>762.80399999999997</v>
      </c>
      <c r="N328" s="607">
        <f t="shared" si="737"/>
        <v>734.80399999999997</v>
      </c>
      <c r="O328" s="349">
        <f t="shared" si="738"/>
        <v>734.80399999999997</v>
      </c>
      <c r="P328" s="607">
        <f t="shared" si="739"/>
        <v>730.80399999999997</v>
      </c>
      <c r="Q328" s="349">
        <f t="shared" si="740"/>
        <v>730.80399999999997</v>
      </c>
      <c r="R328" s="607">
        <f t="shared" si="741"/>
        <v>721.80399999999997</v>
      </c>
      <c r="S328" s="349">
        <f t="shared" si="742"/>
        <v>721.80399999999997</v>
      </c>
      <c r="T328" s="108">
        <f t="shared" si="743"/>
        <v>716.80399999999997</v>
      </c>
      <c r="U328" s="374">
        <f t="shared" si="744"/>
        <v>716.80399999999997</v>
      </c>
      <c r="V328" s="108">
        <f t="shared" si="745"/>
        <v>711.80399999999997</v>
      </c>
      <c r="W328" s="374">
        <f t="shared" si="746"/>
        <v>711.80399999999997</v>
      </c>
      <c r="X328" s="142"/>
      <c r="Y328" s="142"/>
      <c r="Z328" s="142"/>
      <c r="AA328" s="142"/>
      <c r="AB328" s="540" t="s">
        <v>240</v>
      </c>
    </row>
    <row r="329" spans="1:34" ht="12" customHeight="1" x14ac:dyDescent="0.2">
      <c r="A329" s="102"/>
      <c r="B329" s="716" t="s">
        <v>241</v>
      </c>
      <c r="C329" s="717"/>
      <c r="D329" s="717"/>
      <c r="E329" s="718"/>
      <c r="F329" s="487">
        <f>0.372*X2</f>
        <v>337.77600000000001</v>
      </c>
      <c r="G329" s="306">
        <f t="shared" si="747"/>
        <v>337.77600000000001</v>
      </c>
      <c r="H329" s="386"/>
      <c r="I329" s="386"/>
      <c r="J329" s="132"/>
      <c r="K329" s="348"/>
      <c r="L329" s="386">
        <f t="shared" si="735"/>
        <v>407.77600000000001</v>
      </c>
      <c r="M329" s="348">
        <f t="shared" si="736"/>
        <v>407.77600000000001</v>
      </c>
      <c r="N329" s="386">
        <f t="shared" si="737"/>
        <v>379.77600000000001</v>
      </c>
      <c r="O329" s="348">
        <f t="shared" si="738"/>
        <v>379.77600000000001</v>
      </c>
      <c r="P329" s="386">
        <f t="shared" si="739"/>
        <v>375.77600000000001</v>
      </c>
      <c r="Q329" s="348">
        <f t="shared" si="740"/>
        <v>375.77600000000001</v>
      </c>
      <c r="R329" s="386">
        <f t="shared" si="741"/>
        <v>366.77600000000001</v>
      </c>
      <c r="S329" s="348">
        <f t="shared" si="742"/>
        <v>366.77600000000001</v>
      </c>
      <c r="T329" s="109">
        <f t="shared" si="743"/>
        <v>361.77600000000001</v>
      </c>
      <c r="U329" s="306">
        <f t="shared" si="744"/>
        <v>361.77600000000001</v>
      </c>
      <c r="V329" s="109">
        <f t="shared" si="745"/>
        <v>356.77600000000001</v>
      </c>
      <c r="W329" s="306">
        <f t="shared" si="746"/>
        <v>356.77600000000001</v>
      </c>
      <c r="X329" s="142"/>
      <c r="Y329" s="142"/>
      <c r="Z329" s="142"/>
      <c r="AA329" s="142"/>
      <c r="AB329" s="540">
        <v>2189</v>
      </c>
    </row>
    <row r="330" spans="1:34" ht="12.6" customHeight="1" x14ac:dyDescent="0.2">
      <c r="A330" s="102"/>
      <c r="B330" s="700" t="s">
        <v>242</v>
      </c>
      <c r="C330" s="701"/>
      <c r="D330" s="701"/>
      <c r="E330" s="702"/>
      <c r="F330" s="488">
        <f>0.652*X2</f>
        <v>592.01600000000008</v>
      </c>
      <c r="G330" s="374">
        <f t="shared" si="747"/>
        <v>592.01600000000008</v>
      </c>
      <c r="H330" s="607"/>
      <c r="I330" s="607"/>
      <c r="J330" s="131"/>
      <c r="K330" s="349"/>
      <c r="L330" s="607">
        <f t="shared" si="735"/>
        <v>662.01600000000008</v>
      </c>
      <c r="M330" s="349">
        <f t="shared" si="736"/>
        <v>662.01600000000008</v>
      </c>
      <c r="N330" s="607">
        <f t="shared" si="737"/>
        <v>634.01600000000008</v>
      </c>
      <c r="O330" s="349">
        <f t="shared" si="738"/>
        <v>634.01600000000008</v>
      </c>
      <c r="P330" s="607">
        <f t="shared" si="739"/>
        <v>630.01600000000008</v>
      </c>
      <c r="Q330" s="349">
        <f t="shared" si="740"/>
        <v>630.01600000000008</v>
      </c>
      <c r="R330" s="607">
        <f t="shared" si="741"/>
        <v>621.01600000000008</v>
      </c>
      <c r="S330" s="349">
        <f t="shared" si="742"/>
        <v>621.01600000000008</v>
      </c>
      <c r="T330" s="108">
        <f t="shared" si="743"/>
        <v>616.01600000000008</v>
      </c>
      <c r="U330" s="374">
        <f t="shared" si="744"/>
        <v>616.01600000000008</v>
      </c>
      <c r="V330" s="108">
        <f t="shared" si="745"/>
        <v>611.01600000000008</v>
      </c>
      <c r="W330" s="374">
        <f t="shared" si="746"/>
        <v>611.01600000000008</v>
      </c>
      <c r="X330" s="142"/>
      <c r="Y330" s="142"/>
      <c r="Z330" s="142"/>
      <c r="AA330" s="142"/>
      <c r="AB330" s="540">
        <v>2190</v>
      </c>
    </row>
    <row r="331" spans="1:34" ht="12.6" customHeight="1" x14ac:dyDescent="0.2">
      <c r="A331" s="20"/>
      <c r="B331" s="760" t="s">
        <v>243</v>
      </c>
      <c r="C331" s="717"/>
      <c r="D331" s="717"/>
      <c r="E331" s="718"/>
      <c r="F331" s="487">
        <f>0.521*X2</f>
        <v>473.06800000000004</v>
      </c>
      <c r="G331" s="306">
        <f t="shared" si="747"/>
        <v>473.06800000000004</v>
      </c>
      <c r="H331" s="386"/>
      <c r="I331" s="386"/>
      <c r="J331" s="132"/>
      <c r="K331" s="348"/>
      <c r="L331" s="386">
        <f t="shared" si="735"/>
        <v>543.06799999999998</v>
      </c>
      <c r="M331" s="348">
        <f t="shared" si="736"/>
        <v>543.06799999999998</v>
      </c>
      <c r="N331" s="386">
        <f t="shared" si="737"/>
        <v>515.06799999999998</v>
      </c>
      <c r="O331" s="348">
        <f t="shared" si="738"/>
        <v>515.06799999999998</v>
      </c>
      <c r="P331" s="386">
        <f t="shared" si="739"/>
        <v>511.06800000000004</v>
      </c>
      <c r="Q331" s="348">
        <f t="shared" si="740"/>
        <v>511.06800000000004</v>
      </c>
      <c r="R331" s="386">
        <f t="shared" si="741"/>
        <v>502.06800000000004</v>
      </c>
      <c r="S331" s="348">
        <f t="shared" si="742"/>
        <v>502.06800000000004</v>
      </c>
      <c r="T331" s="109">
        <f t="shared" si="743"/>
        <v>497.06800000000004</v>
      </c>
      <c r="U331" s="306">
        <f t="shared" si="744"/>
        <v>497.06800000000004</v>
      </c>
      <c r="V331" s="109">
        <f t="shared" si="745"/>
        <v>492.06800000000004</v>
      </c>
      <c r="W331" s="306">
        <f t="shared" si="746"/>
        <v>492.06800000000004</v>
      </c>
      <c r="X331" s="198"/>
      <c r="Y331" s="199"/>
      <c r="Z331" s="199"/>
      <c r="AA331" s="198"/>
      <c r="AB331" s="540">
        <v>2193</v>
      </c>
    </row>
    <row r="332" spans="1:34" ht="12.6" customHeight="1" x14ac:dyDescent="0.2">
      <c r="A332" s="20"/>
      <c r="B332" s="720" t="s">
        <v>244</v>
      </c>
      <c r="C332" s="721"/>
      <c r="D332" s="721"/>
      <c r="E332" s="721"/>
      <c r="F332" s="488">
        <f>0.614*X2</f>
        <v>557.51199999999994</v>
      </c>
      <c r="G332" s="374">
        <f t="shared" ref="G332:G339" si="748">+F332*$X$1</f>
        <v>557.51199999999994</v>
      </c>
      <c r="H332" s="607"/>
      <c r="I332" s="607"/>
      <c r="J332" s="131"/>
      <c r="K332" s="349"/>
      <c r="L332" s="607">
        <f t="shared" si="735"/>
        <v>627.51199999999994</v>
      </c>
      <c r="M332" s="349">
        <f t="shared" si="736"/>
        <v>627.51199999999994</v>
      </c>
      <c r="N332" s="607">
        <f t="shared" si="737"/>
        <v>599.51199999999994</v>
      </c>
      <c r="O332" s="349">
        <f t="shared" si="738"/>
        <v>599.51199999999994</v>
      </c>
      <c r="P332" s="607">
        <f t="shared" si="739"/>
        <v>595.51199999999994</v>
      </c>
      <c r="Q332" s="349">
        <f t="shared" si="740"/>
        <v>595.51199999999994</v>
      </c>
      <c r="R332" s="607">
        <f t="shared" si="741"/>
        <v>586.51199999999994</v>
      </c>
      <c r="S332" s="349">
        <f t="shared" si="742"/>
        <v>586.51199999999994</v>
      </c>
      <c r="T332" s="108">
        <f t="shared" si="743"/>
        <v>581.51199999999994</v>
      </c>
      <c r="U332" s="374">
        <f t="shared" si="744"/>
        <v>581.51199999999994</v>
      </c>
      <c r="V332" s="108">
        <f t="shared" si="745"/>
        <v>576.51199999999994</v>
      </c>
      <c r="W332" s="374">
        <f t="shared" si="746"/>
        <v>576.51199999999994</v>
      </c>
      <c r="X332" s="142"/>
      <c r="Y332" s="142"/>
      <c r="Z332" s="142"/>
      <c r="AA332" s="142"/>
      <c r="AB332" s="540">
        <v>2194</v>
      </c>
    </row>
    <row r="333" spans="1:34" ht="12.6" customHeight="1" x14ac:dyDescent="0.2">
      <c r="A333" s="20"/>
      <c r="B333" s="741" t="s">
        <v>245</v>
      </c>
      <c r="C333" s="742"/>
      <c r="D333" s="742"/>
      <c r="E333" s="743"/>
      <c r="F333" s="487">
        <f>0.67*X2</f>
        <v>608.36</v>
      </c>
      <c r="G333" s="306">
        <f t="shared" si="748"/>
        <v>608.36</v>
      </c>
      <c r="H333" s="386"/>
      <c r="I333" s="386"/>
      <c r="J333" s="132"/>
      <c r="K333" s="348"/>
      <c r="L333" s="386">
        <f t="shared" si="735"/>
        <v>678.36</v>
      </c>
      <c r="M333" s="348">
        <f t="shared" si="736"/>
        <v>678.36</v>
      </c>
      <c r="N333" s="386">
        <f t="shared" si="737"/>
        <v>650.36</v>
      </c>
      <c r="O333" s="348">
        <f t="shared" si="738"/>
        <v>650.36</v>
      </c>
      <c r="P333" s="386">
        <f t="shared" si="739"/>
        <v>646.36</v>
      </c>
      <c r="Q333" s="348">
        <f t="shared" si="740"/>
        <v>646.36</v>
      </c>
      <c r="R333" s="386">
        <f t="shared" si="741"/>
        <v>637.36</v>
      </c>
      <c r="S333" s="348">
        <f t="shared" si="742"/>
        <v>637.36</v>
      </c>
      <c r="T333" s="109">
        <f t="shared" si="743"/>
        <v>632.36</v>
      </c>
      <c r="U333" s="306">
        <f t="shared" si="744"/>
        <v>632.36</v>
      </c>
      <c r="V333" s="109">
        <f t="shared" si="745"/>
        <v>627.36</v>
      </c>
      <c r="W333" s="306">
        <f t="shared" si="746"/>
        <v>627.36</v>
      </c>
      <c r="X333" s="142"/>
      <c r="Y333" s="142"/>
      <c r="Z333" s="142"/>
      <c r="AA333" s="142"/>
      <c r="AB333" s="540">
        <v>2195</v>
      </c>
    </row>
    <row r="334" spans="1:34" ht="12.6" customHeight="1" x14ac:dyDescent="0.2">
      <c r="A334" s="20"/>
      <c r="B334" s="720" t="s">
        <v>246</v>
      </c>
      <c r="C334" s="721"/>
      <c r="D334" s="721"/>
      <c r="E334" s="721"/>
      <c r="F334" s="488">
        <f>0.652*X2</f>
        <v>592.01600000000008</v>
      </c>
      <c r="G334" s="374">
        <f t="shared" si="748"/>
        <v>592.01600000000008</v>
      </c>
      <c r="H334" s="607"/>
      <c r="I334" s="607"/>
      <c r="J334" s="607"/>
      <c r="K334" s="349"/>
      <c r="L334" s="607">
        <f t="shared" ref="L334:L343" si="749">F334+70</f>
        <v>662.01600000000008</v>
      </c>
      <c r="M334" s="349">
        <f t="shared" ref="M334:M343" si="750">+L334*$X$1</f>
        <v>662.01600000000008</v>
      </c>
      <c r="N334" s="607">
        <f t="shared" ref="N334:N343" si="751">F334+42</f>
        <v>634.01600000000008</v>
      </c>
      <c r="O334" s="349">
        <f t="shared" si="738"/>
        <v>634.01600000000008</v>
      </c>
      <c r="P334" s="607">
        <f t="shared" ref="P334:P343" si="752">F334+38</f>
        <v>630.01600000000008</v>
      </c>
      <c r="Q334" s="349">
        <f t="shared" ref="Q334:Q343" si="753">+P334*$X$1</f>
        <v>630.01600000000008</v>
      </c>
      <c r="R334" s="607">
        <f t="shared" ref="R334:R343" si="754">F334+29</f>
        <v>621.01600000000008</v>
      </c>
      <c r="S334" s="349">
        <f t="shared" si="742"/>
        <v>621.01600000000008</v>
      </c>
      <c r="T334" s="108"/>
      <c r="U334" s="374"/>
      <c r="V334" s="108"/>
      <c r="W334" s="374"/>
      <c r="X334" s="142"/>
      <c r="Y334" s="142"/>
      <c r="Z334" s="142"/>
      <c r="AA334" s="142"/>
      <c r="AB334" s="540">
        <v>2198</v>
      </c>
    </row>
    <row r="335" spans="1:34" ht="12.6" customHeight="1" x14ac:dyDescent="0.2">
      <c r="A335" s="112"/>
      <c r="B335" s="706" t="s">
        <v>383</v>
      </c>
      <c r="C335" s="707"/>
      <c r="D335" s="707"/>
      <c r="E335" s="707"/>
      <c r="F335" s="487">
        <f>0.56*X2</f>
        <v>508.48000000000008</v>
      </c>
      <c r="G335" s="306">
        <f t="shared" si="748"/>
        <v>508.48000000000008</v>
      </c>
      <c r="H335" s="386"/>
      <c r="I335" s="386"/>
      <c r="J335" s="386"/>
      <c r="K335" s="348"/>
      <c r="L335" s="386">
        <f t="shared" si="749"/>
        <v>578.48</v>
      </c>
      <c r="M335" s="348">
        <f t="shared" si="750"/>
        <v>578.48</v>
      </c>
      <c r="N335" s="386">
        <f t="shared" si="751"/>
        <v>550.48</v>
      </c>
      <c r="O335" s="348">
        <f t="shared" si="738"/>
        <v>550.48</v>
      </c>
      <c r="P335" s="386">
        <f t="shared" si="752"/>
        <v>546.48</v>
      </c>
      <c r="Q335" s="348">
        <f t="shared" si="753"/>
        <v>546.48</v>
      </c>
      <c r="R335" s="386">
        <f t="shared" si="754"/>
        <v>537.48</v>
      </c>
      <c r="S335" s="348">
        <f t="shared" si="742"/>
        <v>537.48</v>
      </c>
      <c r="T335" s="109">
        <f t="shared" ref="T335:T343" si="755">F335+24</f>
        <v>532.48</v>
      </c>
      <c r="U335" s="306">
        <f t="shared" si="744"/>
        <v>532.48</v>
      </c>
      <c r="V335" s="109">
        <f t="shared" ref="V335:V343" si="756">F335+19</f>
        <v>527.48</v>
      </c>
      <c r="W335" s="306">
        <f t="shared" si="746"/>
        <v>527.48</v>
      </c>
      <c r="X335" s="167"/>
      <c r="Y335" s="142"/>
      <c r="Z335" s="142"/>
      <c r="AA335" s="142"/>
      <c r="AB335" s="540">
        <v>2202</v>
      </c>
    </row>
    <row r="336" spans="1:34" ht="12.6" customHeight="1" x14ac:dyDescent="0.2">
      <c r="A336" s="112"/>
      <c r="B336" s="720" t="s">
        <v>384</v>
      </c>
      <c r="C336" s="740"/>
      <c r="D336" s="740"/>
      <c r="E336" s="740"/>
      <c r="F336" s="488">
        <f>0.56*X2</f>
        <v>508.48000000000008</v>
      </c>
      <c r="G336" s="374">
        <f t="shared" si="748"/>
        <v>508.48000000000008</v>
      </c>
      <c r="H336" s="607"/>
      <c r="I336" s="607"/>
      <c r="J336" s="607"/>
      <c r="K336" s="349"/>
      <c r="L336" s="607">
        <f t="shared" si="749"/>
        <v>578.48</v>
      </c>
      <c r="M336" s="349">
        <f t="shared" si="750"/>
        <v>578.48</v>
      </c>
      <c r="N336" s="607">
        <f t="shared" si="751"/>
        <v>550.48</v>
      </c>
      <c r="O336" s="349">
        <f t="shared" si="738"/>
        <v>550.48</v>
      </c>
      <c r="P336" s="607">
        <f t="shared" si="752"/>
        <v>546.48</v>
      </c>
      <c r="Q336" s="349">
        <f t="shared" si="753"/>
        <v>546.48</v>
      </c>
      <c r="R336" s="607">
        <f t="shared" si="754"/>
        <v>537.48</v>
      </c>
      <c r="S336" s="349">
        <f t="shared" si="742"/>
        <v>537.48</v>
      </c>
      <c r="T336" s="108">
        <f t="shared" si="755"/>
        <v>532.48</v>
      </c>
      <c r="U336" s="374">
        <f t="shared" si="744"/>
        <v>532.48</v>
      </c>
      <c r="V336" s="108">
        <f t="shared" si="756"/>
        <v>527.48</v>
      </c>
      <c r="W336" s="374">
        <f t="shared" si="746"/>
        <v>527.48</v>
      </c>
      <c r="X336" s="142"/>
      <c r="Y336" s="142"/>
      <c r="Z336" s="142"/>
      <c r="AA336" s="142"/>
      <c r="AB336" s="540" t="s">
        <v>247</v>
      </c>
    </row>
    <row r="337" spans="1:31" ht="12.6" customHeight="1" x14ac:dyDescent="0.2">
      <c r="A337" s="112"/>
      <c r="B337" s="706" t="s">
        <v>385</v>
      </c>
      <c r="C337" s="707"/>
      <c r="D337" s="707"/>
      <c r="E337" s="707"/>
      <c r="F337" s="487">
        <f>0.58*X2</f>
        <v>526.64</v>
      </c>
      <c r="G337" s="306">
        <f t="shared" ref="G337:G340" si="757">+F337*$X$1</f>
        <v>526.64</v>
      </c>
      <c r="H337" s="386"/>
      <c r="I337" s="386"/>
      <c r="J337" s="386"/>
      <c r="K337" s="348"/>
      <c r="L337" s="386">
        <f t="shared" si="749"/>
        <v>596.64</v>
      </c>
      <c r="M337" s="348">
        <f t="shared" si="750"/>
        <v>596.64</v>
      </c>
      <c r="N337" s="386">
        <f t="shared" si="751"/>
        <v>568.64</v>
      </c>
      <c r="O337" s="348">
        <f t="shared" si="738"/>
        <v>568.64</v>
      </c>
      <c r="P337" s="386">
        <f t="shared" si="752"/>
        <v>564.64</v>
      </c>
      <c r="Q337" s="348">
        <f t="shared" si="753"/>
        <v>564.64</v>
      </c>
      <c r="R337" s="386">
        <f t="shared" si="754"/>
        <v>555.64</v>
      </c>
      <c r="S337" s="348">
        <f t="shared" si="742"/>
        <v>555.64</v>
      </c>
      <c r="T337" s="109">
        <f t="shared" si="755"/>
        <v>550.64</v>
      </c>
      <c r="U337" s="306">
        <f t="shared" si="744"/>
        <v>550.64</v>
      </c>
      <c r="V337" s="109">
        <f t="shared" si="756"/>
        <v>545.64</v>
      </c>
      <c r="W337" s="306">
        <f t="shared" si="746"/>
        <v>545.64</v>
      </c>
      <c r="X337" s="142"/>
      <c r="Y337" s="142"/>
      <c r="Z337" s="142"/>
      <c r="AA337" s="142"/>
      <c r="AB337" s="540" t="s">
        <v>248</v>
      </c>
    </row>
    <row r="338" spans="1:31" ht="12.6" customHeight="1" x14ac:dyDescent="0.2">
      <c r="A338" s="112"/>
      <c r="B338" s="735" t="s">
        <v>768</v>
      </c>
      <c r="C338" s="761"/>
      <c r="D338" s="761"/>
      <c r="E338" s="762"/>
      <c r="F338" s="488">
        <f>0.708*X2</f>
        <v>642.86399999999992</v>
      </c>
      <c r="G338" s="374">
        <f t="shared" si="757"/>
        <v>642.86399999999992</v>
      </c>
      <c r="H338" s="607"/>
      <c r="I338" s="607"/>
      <c r="J338" s="607"/>
      <c r="K338" s="349"/>
      <c r="L338" s="607">
        <f t="shared" si="749"/>
        <v>712.86399999999992</v>
      </c>
      <c r="M338" s="349">
        <f t="shared" si="750"/>
        <v>712.86399999999992</v>
      </c>
      <c r="N338" s="607">
        <f t="shared" si="751"/>
        <v>684.86399999999992</v>
      </c>
      <c r="O338" s="349">
        <f t="shared" si="738"/>
        <v>684.86399999999992</v>
      </c>
      <c r="P338" s="607">
        <f t="shared" si="752"/>
        <v>680.86399999999992</v>
      </c>
      <c r="Q338" s="349">
        <f t="shared" si="753"/>
        <v>680.86399999999992</v>
      </c>
      <c r="R338" s="607">
        <f t="shared" si="754"/>
        <v>671.86399999999992</v>
      </c>
      <c r="S338" s="349">
        <f t="shared" si="742"/>
        <v>671.86399999999992</v>
      </c>
      <c r="T338" s="108">
        <f t="shared" si="755"/>
        <v>666.86399999999992</v>
      </c>
      <c r="U338" s="374">
        <f t="shared" si="744"/>
        <v>666.86399999999992</v>
      </c>
      <c r="V338" s="108">
        <f t="shared" si="756"/>
        <v>661.86399999999992</v>
      </c>
      <c r="W338" s="374">
        <f t="shared" si="746"/>
        <v>661.86399999999992</v>
      </c>
      <c r="X338" s="711"/>
      <c r="Y338" s="711"/>
      <c r="Z338" s="711"/>
      <c r="AA338" s="710"/>
      <c r="AB338" s="540" t="s">
        <v>772</v>
      </c>
      <c r="AC338" s="69"/>
      <c r="AE338" s="91"/>
    </row>
    <row r="339" spans="1:31" ht="12.6" customHeight="1" x14ac:dyDescent="0.2">
      <c r="A339" s="112"/>
      <c r="B339" s="751" t="s">
        <v>249</v>
      </c>
      <c r="C339" s="752"/>
      <c r="D339" s="752"/>
      <c r="E339" s="753"/>
      <c r="F339" s="487">
        <f>0.8*X2</f>
        <v>726.40000000000009</v>
      </c>
      <c r="G339" s="306">
        <f t="shared" si="748"/>
        <v>726.40000000000009</v>
      </c>
      <c r="H339" s="386"/>
      <c r="I339" s="386"/>
      <c r="J339" s="386"/>
      <c r="K339" s="348"/>
      <c r="L339" s="386">
        <f t="shared" si="749"/>
        <v>796.40000000000009</v>
      </c>
      <c r="M339" s="348">
        <f t="shared" si="750"/>
        <v>796.40000000000009</v>
      </c>
      <c r="N339" s="386">
        <f t="shared" si="751"/>
        <v>768.40000000000009</v>
      </c>
      <c r="O339" s="348">
        <f t="shared" si="738"/>
        <v>768.40000000000009</v>
      </c>
      <c r="P339" s="386">
        <f t="shared" si="752"/>
        <v>764.40000000000009</v>
      </c>
      <c r="Q339" s="348">
        <f t="shared" si="753"/>
        <v>764.40000000000009</v>
      </c>
      <c r="R339" s="386">
        <f t="shared" si="754"/>
        <v>755.40000000000009</v>
      </c>
      <c r="S339" s="348">
        <f t="shared" si="742"/>
        <v>755.40000000000009</v>
      </c>
      <c r="T339" s="109">
        <f t="shared" si="755"/>
        <v>750.40000000000009</v>
      </c>
      <c r="U339" s="306">
        <f t="shared" si="744"/>
        <v>750.40000000000009</v>
      </c>
      <c r="V339" s="109">
        <f t="shared" si="756"/>
        <v>745.40000000000009</v>
      </c>
      <c r="W339" s="306">
        <f t="shared" si="746"/>
        <v>745.40000000000009</v>
      </c>
      <c r="X339" s="711"/>
      <c r="Y339" s="711"/>
      <c r="Z339" s="711"/>
      <c r="AA339" s="710"/>
      <c r="AB339" s="540" t="s">
        <v>250</v>
      </c>
      <c r="AC339" s="69"/>
      <c r="AE339" s="91"/>
    </row>
    <row r="340" spans="1:31" ht="12.6" customHeight="1" x14ac:dyDescent="0.2">
      <c r="A340" s="102"/>
      <c r="B340" s="732" t="s">
        <v>251</v>
      </c>
      <c r="C340" s="733"/>
      <c r="D340" s="733"/>
      <c r="E340" s="734"/>
      <c r="F340" s="488">
        <f>0.782*X2</f>
        <v>710.05600000000004</v>
      </c>
      <c r="G340" s="374">
        <f t="shared" si="757"/>
        <v>710.05600000000004</v>
      </c>
      <c r="H340" s="607"/>
      <c r="I340" s="607"/>
      <c r="J340" s="607"/>
      <c r="K340" s="349"/>
      <c r="L340" s="607">
        <f t="shared" si="749"/>
        <v>780.05600000000004</v>
      </c>
      <c r="M340" s="349">
        <f t="shared" si="750"/>
        <v>780.05600000000004</v>
      </c>
      <c r="N340" s="607">
        <f t="shared" si="751"/>
        <v>752.05600000000004</v>
      </c>
      <c r="O340" s="349">
        <f t="shared" si="738"/>
        <v>752.05600000000004</v>
      </c>
      <c r="P340" s="607">
        <f t="shared" si="752"/>
        <v>748.05600000000004</v>
      </c>
      <c r="Q340" s="349">
        <f t="shared" si="753"/>
        <v>748.05600000000004</v>
      </c>
      <c r="R340" s="607">
        <f t="shared" si="754"/>
        <v>739.05600000000004</v>
      </c>
      <c r="S340" s="349">
        <f t="shared" si="742"/>
        <v>739.05600000000004</v>
      </c>
      <c r="T340" s="108">
        <f t="shared" si="755"/>
        <v>734.05600000000004</v>
      </c>
      <c r="U340" s="374">
        <f t="shared" si="744"/>
        <v>734.05600000000004</v>
      </c>
      <c r="V340" s="108">
        <f t="shared" si="756"/>
        <v>729.05600000000004</v>
      </c>
      <c r="W340" s="374">
        <f t="shared" si="746"/>
        <v>729.05600000000004</v>
      </c>
      <c r="X340" s="185"/>
      <c r="Y340" s="142"/>
      <c r="Z340" s="142"/>
      <c r="AA340" s="142"/>
      <c r="AB340" s="540">
        <v>2203</v>
      </c>
      <c r="AC340" s="248"/>
    </row>
    <row r="341" spans="1:31" ht="12.6" customHeight="1" x14ac:dyDescent="0.2">
      <c r="A341" s="102"/>
      <c r="B341" s="712" t="s">
        <v>252</v>
      </c>
      <c r="C341" s="719"/>
      <c r="D341" s="719"/>
      <c r="E341" s="719"/>
      <c r="F341" s="487">
        <f>0.838*X2</f>
        <v>760.904</v>
      </c>
      <c r="G341" s="306">
        <f>+F341*$X$1</f>
        <v>760.904</v>
      </c>
      <c r="H341" s="386"/>
      <c r="I341" s="386"/>
      <c r="J341" s="386"/>
      <c r="K341" s="348"/>
      <c r="L341" s="386">
        <f t="shared" si="749"/>
        <v>830.904</v>
      </c>
      <c r="M341" s="348">
        <f t="shared" si="750"/>
        <v>830.904</v>
      </c>
      <c r="N341" s="386">
        <f t="shared" si="751"/>
        <v>802.904</v>
      </c>
      <c r="O341" s="348">
        <f t="shared" si="738"/>
        <v>802.904</v>
      </c>
      <c r="P341" s="386">
        <f t="shared" si="752"/>
        <v>798.904</v>
      </c>
      <c r="Q341" s="348">
        <f t="shared" si="753"/>
        <v>798.904</v>
      </c>
      <c r="R341" s="386">
        <f t="shared" si="754"/>
        <v>789.904</v>
      </c>
      <c r="S341" s="348">
        <f t="shared" si="742"/>
        <v>789.904</v>
      </c>
      <c r="T341" s="109">
        <f t="shared" si="755"/>
        <v>784.904</v>
      </c>
      <c r="U341" s="306">
        <f t="shared" si="744"/>
        <v>784.904</v>
      </c>
      <c r="V341" s="109">
        <f t="shared" si="756"/>
        <v>779.904</v>
      </c>
      <c r="W341" s="306">
        <f t="shared" si="746"/>
        <v>779.904</v>
      </c>
      <c r="X341" s="186"/>
      <c r="Y341" s="146"/>
      <c r="Z341" s="146"/>
      <c r="AA341" s="149"/>
      <c r="AB341" s="540">
        <v>2205</v>
      </c>
      <c r="AC341" s="69"/>
    </row>
    <row r="342" spans="1:31" ht="12.6" customHeight="1" x14ac:dyDescent="0.2">
      <c r="A342" s="102"/>
      <c r="B342" s="720" t="s">
        <v>253</v>
      </c>
      <c r="C342" s="740"/>
      <c r="D342" s="740"/>
      <c r="E342" s="740"/>
      <c r="F342" s="488">
        <f>0.521*X2</f>
        <v>473.06800000000004</v>
      </c>
      <c r="G342" s="374">
        <f>+F342*$X$1</f>
        <v>473.06800000000004</v>
      </c>
      <c r="H342" s="607"/>
      <c r="I342" s="607"/>
      <c r="J342" s="607"/>
      <c r="K342" s="349"/>
      <c r="L342" s="607">
        <f t="shared" si="749"/>
        <v>543.06799999999998</v>
      </c>
      <c r="M342" s="349">
        <f t="shared" si="750"/>
        <v>543.06799999999998</v>
      </c>
      <c r="N342" s="607">
        <f t="shared" si="751"/>
        <v>515.06799999999998</v>
      </c>
      <c r="O342" s="349">
        <f t="shared" si="738"/>
        <v>515.06799999999998</v>
      </c>
      <c r="P342" s="607">
        <f t="shared" si="752"/>
        <v>511.06800000000004</v>
      </c>
      <c r="Q342" s="349">
        <f t="shared" si="753"/>
        <v>511.06800000000004</v>
      </c>
      <c r="R342" s="607">
        <f t="shared" si="754"/>
        <v>502.06800000000004</v>
      </c>
      <c r="S342" s="349">
        <f t="shared" si="742"/>
        <v>502.06800000000004</v>
      </c>
      <c r="T342" s="108">
        <f t="shared" si="755"/>
        <v>497.06800000000004</v>
      </c>
      <c r="U342" s="374">
        <f t="shared" si="744"/>
        <v>497.06800000000004</v>
      </c>
      <c r="V342" s="108">
        <f t="shared" si="756"/>
        <v>492.06800000000004</v>
      </c>
      <c r="W342" s="374">
        <f t="shared" si="746"/>
        <v>492.06800000000004</v>
      </c>
      <c r="X342" s="146"/>
      <c r="Y342" s="146"/>
      <c r="Z342" s="146"/>
      <c r="AA342" s="149"/>
      <c r="AB342" s="540">
        <v>2207</v>
      </c>
    </row>
    <row r="343" spans="1:31" ht="12.6" customHeight="1" x14ac:dyDescent="0.2">
      <c r="A343" s="102"/>
      <c r="B343" s="706" t="s">
        <v>254</v>
      </c>
      <c r="C343" s="707"/>
      <c r="D343" s="707"/>
      <c r="E343" s="707"/>
      <c r="F343" s="487">
        <f>0.42*X2</f>
        <v>381.36</v>
      </c>
      <c r="G343" s="633">
        <f>+F343*$X$1</f>
        <v>381.36</v>
      </c>
      <c r="H343" s="121"/>
      <c r="I343" s="121"/>
      <c r="J343" s="121"/>
      <c r="K343" s="350"/>
      <c r="L343" s="386">
        <f t="shared" si="749"/>
        <v>451.36</v>
      </c>
      <c r="M343" s="348">
        <f t="shared" si="750"/>
        <v>451.36</v>
      </c>
      <c r="N343" s="386">
        <f t="shared" si="751"/>
        <v>423.36</v>
      </c>
      <c r="O343" s="348">
        <f t="shared" si="738"/>
        <v>423.36</v>
      </c>
      <c r="P343" s="386">
        <f t="shared" si="752"/>
        <v>419.36</v>
      </c>
      <c r="Q343" s="348">
        <f t="shared" si="753"/>
        <v>419.36</v>
      </c>
      <c r="R343" s="386">
        <f t="shared" si="754"/>
        <v>410.36</v>
      </c>
      <c r="S343" s="348">
        <f t="shared" si="742"/>
        <v>410.36</v>
      </c>
      <c r="T343" s="109">
        <f t="shared" si="755"/>
        <v>405.36</v>
      </c>
      <c r="U343" s="306">
        <f t="shared" si="744"/>
        <v>405.36</v>
      </c>
      <c r="V343" s="109">
        <f t="shared" si="756"/>
        <v>400.36</v>
      </c>
      <c r="W343" s="306">
        <f t="shared" si="746"/>
        <v>400.36</v>
      </c>
      <c r="X343" s="146"/>
      <c r="Y343" s="146"/>
      <c r="Z343" s="146"/>
      <c r="AA343" s="149"/>
      <c r="AB343" s="540">
        <v>2209</v>
      </c>
    </row>
    <row r="344" spans="1:31" ht="12.6" customHeight="1" x14ac:dyDescent="0.2">
      <c r="A344" s="102"/>
      <c r="B344" s="749" t="s">
        <v>255</v>
      </c>
      <c r="C344" s="750"/>
      <c r="D344" s="750"/>
      <c r="E344" s="750"/>
      <c r="F344" s="488">
        <f>4.636*X2</f>
        <v>4209.4880000000003</v>
      </c>
      <c r="G344" s="349">
        <f t="shared" ref="G344" si="758">+F344*$X$1</f>
        <v>4209.4880000000003</v>
      </c>
      <c r="H344" s="607">
        <f>F344+250</f>
        <v>4459.4880000000003</v>
      </c>
      <c r="I344" s="349">
        <f>+H344*$X$1</f>
        <v>4459.4880000000003</v>
      </c>
      <c r="J344" s="607">
        <f>F344+80</f>
        <v>4289.4880000000003</v>
      </c>
      <c r="K344" s="349">
        <f t="shared" ref="K344" si="759">+J344*$X$1</f>
        <v>4289.4880000000003</v>
      </c>
      <c r="L344" s="607">
        <f>F344+60</f>
        <v>4269.4880000000003</v>
      </c>
      <c r="M344" s="349">
        <f t="shared" ref="M344" si="760">+L344*$X$1</f>
        <v>4269.4880000000003</v>
      </c>
      <c r="N344" s="607">
        <f>F344+40</f>
        <v>4249.4880000000003</v>
      </c>
      <c r="O344" s="349">
        <f t="shared" ref="O344" si="761">+N344*$X$1</f>
        <v>4249.4880000000003</v>
      </c>
      <c r="P344" s="607">
        <f>F344+37</f>
        <v>4246.4880000000003</v>
      </c>
      <c r="Q344" s="349">
        <f t="shared" ref="Q344" si="762">+P344*$X$1</f>
        <v>4246.4880000000003</v>
      </c>
      <c r="R344" s="607">
        <f>F344+33</f>
        <v>4242.4880000000003</v>
      </c>
      <c r="S344" s="349">
        <f t="shared" ref="S344" si="763">+R344*$X$1</f>
        <v>4242.4880000000003</v>
      </c>
      <c r="T344" s="607">
        <f>F344+29</f>
        <v>4238.4880000000003</v>
      </c>
      <c r="U344" s="349">
        <f t="shared" ref="U344" si="764">+T344*$X$1</f>
        <v>4238.4880000000003</v>
      </c>
      <c r="V344" s="607">
        <f>F344+25</f>
        <v>4234.4880000000003</v>
      </c>
      <c r="W344" s="349">
        <f t="shared" ref="W344" si="765">+V344*$X$1</f>
        <v>4234.4880000000003</v>
      </c>
      <c r="X344" s="708"/>
      <c r="Y344" s="711"/>
      <c r="Z344" s="711"/>
      <c r="AA344" s="710"/>
      <c r="AB344" s="540">
        <v>2216</v>
      </c>
      <c r="AC344" s="69"/>
    </row>
    <row r="345" spans="1:31" ht="12.6" customHeight="1" x14ac:dyDescent="0.2">
      <c r="A345" s="112"/>
      <c r="B345" s="738" t="s">
        <v>427</v>
      </c>
      <c r="C345" s="739"/>
      <c r="D345" s="739"/>
      <c r="E345" s="739"/>
      <c r="F345" s="491">
        <v>1350</v>
      </c>
      <c r="G345" s="414">
        <f>+F345*$X$1</f>
        <v>1350</v>
      </c>
      <c r="H345" s="608">
        <f>F345+250</f>
        <v>1600</v>
      </c>
      <c r="I345" s="414">
        <f>+H345*$X$1</f>
        <v>1600</v>
      </c>
      <c r="J345" s="608">
        <f>F345+80</f>
        <v>1430</v>
      </c>
      <c r="K345" s="414">
        <f t="shared" ref="K345" si="766">+J345*$X$1</f>
        <v>1430</v>
      </c>
      <c r="L345" s="608">
        <f>F345+60</f>
        <v>1410</v>
      </c>
      <c r="M345" s="414">
        <f t="shared" ref="M345:M349" si="767">+L345*$X$1</f>
        <v>1410</v>
      </c>
      <c r="N345" s="608">
        <f>F345+40</f>
        <v>1390</v>
      </c>
      <c r="O345" s="414">
        <f t="shared" ref="O345:O349" si="768">+N345*$X$1</f>
        <v>1390</v>
      </c>
      <c r="P345" s="110"/>
      <c r="Q345" s="919" t="s">
        <v>155</v>
      </c>
      <c r="R345" s="920"/>
      <c r="S345" s="920"/>
      <c r="T345" s="920"/>
      <c r="U345" s="920"/>
      <c r="V345" s="920"/>
      <c r="W345" s="921"/>
      <c r="X345" s="708"/>
      <c r="Y345" s="711"/>
      <c r="Z345" s="711"/>
      <c r="AA345" s="710"/>
      <c r="AB345" s="540">
        <v>2222</v>
      </c>
    </row>
    <row r="346" spans="1:31" ht="12.6" customHeight="1" x14ac:dyDescent="0.2">
      <c r="A346" s="20"/>
      <c r="B346" s="735" t="s">
        <v>841</v>
      </c>
      <c r="C346" s="736"/>
      <c r="D346" s="736"/>
      <c r="E346" s="737"/>
      <c r="F346" s="492">
        <f>0.585*X2</f>
        <v>531.17999999999995</v>
      </c>
      <c r="G346" s="349">
        <f t="shared" ref="G346" si="769">+F346*$X$1</f>
        <v>531.17999999999995</v>
      </c>
      <c r="H346" s="337"/>
      <c r="I346" s="337"/>
      <c r="J346" s="620"/>
      <c r="K346" s="620"/>
      <c r="L346" s="620">
        <f t="shared" ref="L346" si="770">F346+70</f>
        <v>601.17999999999995</v>
      </c>
      <c r="M346" s="349">
        <f t="shared" si="767"/>
        <v>601.17999999999995</v>
      </c>
      <c r="N346" s="620">
        <f t="shared" ref="N346" si="771">F346+42</f>
        <v>573.17999999999995</v>
      </c>
      <c r="O346" s="349">
        <f t="shared" si="768"/>
        <v>573.17999999999995</v>
      </c>
      <c r="P346" s="620">
        <f t="shared" ref="P346" si="772">F346+38</f>
        <v>569.17999999999995</v>
      </c>
      <c r="Q346" s="349">
        <f t="shared" ref="Q346" si="773">+P346*$X$1</f>
        <v>569.17999999999995</v>
      </c>
      <c r="R346" s="620">
        <f t="shared" ref="R346" si="774">F346+29</f>
        <v>560.17999999999995</v>
      </c>
      <c r="S346" s="349">
        <f t="shared" ref="S346" si="775">+R346*$X$1</f>
        <v>560.17999999999995</v>
      </c>
      <c r="T346" s="108">
        <f t="shared" ref="T346" si="776">F346+24</f>
        <v>555.17999999999995</v>
      </c>
      <c r="U346" s="374">
        <f t="shared" ref="U346" si="777">+T346*$X$1</f>
        <v>555.17999999999995</v>
      </c>
      <c r="V346" s="108">
        <f t="shared" ref="V346" si="778">F346+19</f>
        <v>550.17999999999995</v>
      </c>
      <c r="W346" s="374">
        <f t="shared" ref="W346" si="779">+V346*$X$1</f>
        <v>550.17999999999995</v>
      </c>
      <c r="X346" s="619"/>
      <c r="Y346" s="618"/>
      <c r="Z346" s="618"/>
      <c r="AA346" s="619"/>
      <c r="AB346" s="540">
        <v>2231</v>
      </c>
      <c r="AC346" s="69"/>
    </row>
    <row r="347" spans="1:31" ht="12.6" customHeight="1" x14ac:dyDescent="0.2">
      <c r="A347" s="20"/>
      <c r="B347" s="735" t="s">
        <v>854</v>
      </c>
      <c r="C347" s="736"/>
      <c r="D347" s="736"/>
      <c r="E347" s="737"/>
      <c r="F347" s="493">
        <f>0.568*X2</f>
        <v>515.74399999999991</v>
      </c>
      <c r="G347" s="348">
        <f t="shared" ref="G347" si="780">+F347*$X$1</f>
        <v>515.74399999999991</v>
      </c>
      <c r="H347" s="338"/>
      <c r="I347" s="338"/>
      <c r="J347" s="386"/>
      <c r="K347" s="386"/>
      <c r="L347" s="386">
        <f t="shared" ref="L347" si="781">F347+70</f>
        <v>585.74399999999991</v>
      </c>
      <c r="M347" s="348">
        <f t="shared" ref="M347" si="782">+L347*$X$1</f>
        <v>585.74399999999991</v>
      </c>
      <c r="N347" s="386">
        <f t="shared" ref="N347" si="783">F347+42</f>
        <v>557.74399999999991</v>
      </c>
      <c r="O347" s="348">
        <f t="shared" ref="O347" si="784">+N347*$X$1</f>
        <v>557.74399999999991</v>
      </c>
      <c r="P347" s="386">
        <f t="shared" ref="P347" si="785">F347+38</f>
        <v>553.74399999999991</v>
      </c>
      <c r="Q347" s="348">
        <f t="shared" ref="Q347" si="786">+P347*$X$1</f>
        <v>553.74399999999991</v>
      </c>
      <c r="R347" s="386">
        <f t="shared" ref="R347" si="787">F347+29</f>
        <v>544.74399999999991</v>
      </c>
      <c r="S347" s="348">
        <f t="shared" ref="S347" si="788">+R347*$X$1</f>
        <v>544.74399999999991</v>
      </c>
      <c r="T347" s="109">
        <f t="shared" ref="T347" si="789">F347+24</f>
        <v>539.74399999999991</v>
      </c>
      <c r="U347" s="306">
        <f t="shared" ref="U347" si="790">+T347*$X$1</f>
        <v>539.74399999999991</v>
      </c>
      <c r="V347" s="109">
        <f t="shared" ref="V347" si="791">F347+19</f>
        <v>534.74399999999991</v>
      </c>
      <c r="W347" s="306">
        <f t="shared" ref="W347" si="792">+V347*$X$1</f>
        <v>534.74399999999991</v>
      </c>
      <c r="X347" s="628"/>
      <c r="Y347" s="627"/>
      <c r="Z347" s="627"/>
      <c r="AA347" s="628"/>
      <c r="AB347" s="540">
        <v>2232</v>
      </c>
      <c r="AC347" s="69"/>
    </row>
    <row r="348" spans="1:31" ht="12.6" customHeight="1" x14ac:dyDescent="0.2">
      <c r="A348" s="20"/>
      <c r="B348" s="735" t="s">
        <v>855</v>
      </c>
      <c r="C348" s="736"/>
      <c r="D348" s="736"/>
      <c r="E348" s="737"/>
      <c r="F348" s="492">
        <f>2.037*X2</f>
        <v>1849.596</v>
      </c>
      <c r="G348" s="349">
        <f t="shared" ref="G348" si="793">+F348*$X$1</f>
        <v>1849.596</v>
      </c>
      <c r="H348" s="337"/>
      <c r="I348" s="337"/>
      <c r="J348" s="629"/>
      <c r="K348" s="629"/>
      <c r="L348" s="629">
        <f t="shared" ref="L348" si="794">F348+70</f>
        <v>1919.596</v>
      </c>
      <c r="M348" s="349">
        <f t="shared" ref="M348" si="795">+L348*$X$1</f>
        <v>1919.596</v>
      </c>
      <c r="N348" s="629">
        <f t="shared" ref="N348" si="796">F348+42</f>
        <v>1891.596</v>
      </c>
      <c r="O348" s="349">
        <f t="shared" ref="O348" si="797">+N348*$X$1</f>
        <v>1891.596</v>
      </c>
      <c r="P348" s="629">
        <f t="shared" ref="P348" si="798">F348+38</f>
        <v>1887.596</v>
      </c>
      <c r="Q348" s="349">
        <f t="shared" ref="Q348" si="799">+P348*$X$1</f>
        <v>1887.596</v>
      </c>
      <c r="R348" s="629">
        <f t="shared" ref="R348" si="800">F348+29</f>
        <v>1878.596</v>
      </c>
      <c r="S348" s="349">
        <f t="shared" ref="S348" si="801">+R348*$X$1</f>
        <v>1878.596</v>
      </c>
      <c r="T348" s="108">
        <f t="shared" ref="T348" si="802">F348+24</f>
        <v>1873.596</v>
      </c>
      <c r="U348" s="374">
        <f t="shared" ref="U348" si="803">+T348*$X$1</f>
        <v>1873.596</v>
      </c>
      <c r="V348" s="108">
        <f t="shared" ref="V348" si="804">F348+19</f>
        <v>1868.596</v>
      </c>
      <c r="W348" s="374">
        <f t="shared" ref="W348" si="805">+V348*$X$1</f>
        <v>1868.596</v>
      </c>
      <c r="X348" s="628"/>
      <c r="Y348" s="627"/>
      <c r="Z348" s="627"/>
      <c r="AA348" s="628"/>
      <c r="AB348" s="540">
        <v>2233</v>
      </c>
      <c r="AC348" s="69"/>
    </row>
    <row r="349" spans="1:31" ht="12.6" customHeight="1" x14ac:dyDescent="0.2">
      <c r="A349" s="102"/>
      <c r="B349" s="738" t="s">
        <v>469</v>
      </c>
      <c r="C349" s="739"/>
      <c r="D349" s="739"/>
      <c r="E349" s="739"/>
      <c r="F349" s="491">
        <f>0.4*X2</f>
        <v>363.20000000000005</v>
      </c>
      <c r="G349" s="414">
        <f t="shared" ref="G349:G353" si="806">+F349*$X$1</f>
        <v>363.20000000000005</v>
      </c>
      <c r="H349" s="608"/>
      <c r="I349" s="414"/>
      <c r="J349" s="608"/>
      <c r="K349" s="414"/>
      <c r="L349" s="608">
        <f>F349+110</f>
        <v>473.20000000000005</v>
      </c>
      <c r="M349" s="414">
        <f t="shared" si="767"/>
        <v>473.20000000000005</v>
      </c>
      <c r="N349" s="608">
        <f>F349+65</f>
        <v>428.20000000000005</v>
      </c>
      <c r="O349" s="414">
        <f t="shared" si="768"/>
        <v>428.20000000000005</v>
      </c>
      <c r="P349" s="608">
        <f>F349+60</f>
        <v>423.20000000000005</v>
      </c>
      <c r="Q349" s="414">
        <f t="shared" ref="Q349" si="807">+P349*$X$1</f>
        <v>423.20000000000005</v>
      </c>
      <c r="R349" s="608">
        <f>F349+45</f>
        <v>408.20000000000005</v>
      </c>
      <c r="S349" s="414">
        <f t="shared" ref="S349" si="808">+R349*$X$1</f>
        <v>408.20000000000005</v>
      </c>
      <c r="T349" s="608">
        <f>F349+36</f>
        <v>399.20000000000005</v>
      </c>
      <c r="U349" s="414">
        <f t="shared" ref="U349" si="809">+T349*$X$1</f>
        <v>399.20000000000005</v>
      </c>
      <c r="V349" s="346"/>
      <c r="W349" s="430"/>
      <c r="X349" s="150"/>
      <c r="Y349" s="146"/>
      <c r="Z349" s="146"/>
      <c r="AA349" s="149"/>
      <c r="AB349" s="540">
        <v>2234</v>
      </c>
    </row>
    <row r="350" spans="1:31" ht="12.6" customHeight="1" x14ac:dyDescent="0.2">
      <c r="A350" s="102"/>
      <c r="B350" s="720" t="s">
        <v>470</v>
      </c>
      <c r="C350" s="721"/>
      <c r="D350" s="721"/>
      <c r="E350" s="721"/>
      <c r="F350" s="488">
        <f>0.614*X2</f>
        <v>557.51199999999994</v>
      </c>
      <c r="G350" s="349">
        <f t="shared" si="806"/>
        <v>557.51199999999994</v>
      </c>
      <c r="H350" s="337"/>
      <c r="I350" s="425"/>
      <c r="J350" s="607"/>
      <c r="K350" s="349"/>
      <c r="L350" s="607">
        <f>F350+110</f>
        <v>667.51199999999994</v>
      </c>
      <c r="M350" s="349">
        <f t="shared" ref="M350:M360" si="810">+L350*$X$1</f>
        <v>667.51199999999994</v>
      </c>
      <c r="N350" s="607">
        <f>F350+65</f>
        <v>622.51199999999994</v>
      </c>
      <c r="O350" s="349">
        <f t="shared" ref="O350:O360" si="811">+N350*$X$1</f>
        <v>622.51199999999994</v>
      </c>
      <c r="P350" s="607">
        <f>F350+60</f>
        <v>617.51199999999994</v>
      </c>
      <c r="Q350" s="349">
        <f t="shared" ref="Q350:Q359" si="812">+P350*$X$1</f>
        <v>617.51199999999994</v>
      </c>
      <c r="R350" s="607">
        <f>F350+45</f>
        <v>602.51199999999994</v>
      </c>
      <c r="S350" s="349">
        <f t="shared" ref="S350:S359" si="813">+R350*$X$1</f>
        <v>602.51199999999994</v>
      </c>
      <c r="T350" s="607">
        <f>F350+36</f>
        <v>593.51199999999994</v>
      </c>
      <c r="U350" s="349">
        <f t="shared" ref="U350:U359" si="814">+T350*$X$1</f>
        <v>593.51199999999994</v>
      </c>
      <c r="V350" s="607">
        <f>F350+29</f>
        <v>586.51199999999994</v>
      </c>
      <c r="W350" s="349">
        <f t="shared" ref="W350:W359" si="815">+V350*$X$1</f>
        <v>586.51199999999994</v>
      </c>
      <c r="X350" s="150"/>
      <c r="Y350" s="146"/>
      <c r="Z350" s="146"/>
      <c r="AA350" s="149"/>
      <c r="AB350" s="540" t="s">
        <v>256</v>
      </c>
    </row>
    <row r="351" spans="1:31" ht="12.6" customHeight="1" x14ac:dyDescent="0.2">
      <c r="A351" s="102"/>
      <c r="B351" s="706" t="s">
        <v>257</v>
      </c>
      <c r="C351" s="729"/>
      <c r="D351" s="729"/>
      <c r="E351" s="729"/>
      <c r="F351" s="487">
        <f>0.447*X2</f>
        <v>405.87600000000003</v>
      </c>
      <c r="G351" s="348">
        <f t="shared" si="806"/>
        <v>405.87600000000003</v>
      </c>
      <c r="H351" s="338"/>
      <c r="I351" s="424"/>
      <c r="J351" s="386"/>
      <c r="K351" s="348"/>
      <c r="L351" s="386">
        <f t="shared" ref="L351:L360" si="816">F351+70</f>
        <v>475.87600000000003</v>
      </c>
      <c r="M351" s="348">
        <f t="shared" si="810"/>
        <v>475.87600000000003</v>
      </c>
      <c r="N351" s="386">
        <f t="shared" ref="N351:N360" si="817">F351+42</f>
        <v>447.87600000000003</v>
      </c>
      <c r="O351" s="348">
        <f t="shared" si="811"/>
        <v>447.87600000000003</v>
      </c>
      <c r="P351" s="386">
        <f t="shared" ref="P351:P359" si="818">F351+38</f>
        <v>443.87600000000003</v>
      </c>
      <c r="Q351" s="348">
        <f t="shared" si="812"/>
        <v>443.87600000000003</v>
      </c>
      <c r="R351" s="386">
        <f t="shared" ref="R351:R359" si="819">F351+29</f>
        <v>434.87600000000003</v>
      </c>
      <c r="S351" s="348">
        <f t="shared" si="813"/>
        <v>434.87600000000003</v>
      </c>
      <c r="T351" s="109">
        <f t="shared" ref="T351:T359" si="820">F351+24</f>
        <v>429.87600000000003</v>
      </c>
      <c r="U351" s="306">
        <f t="shared" si="814"/>
        <v>429.87600000000003</v>
      </c>
      <c r="V351" s="109">
        <f>F351+19</f>
        <v>424.87600000000003</v>
      </c>
      <c r="W351" s="306">
        <f t="shared" si="815"/>
        <v>424.87600000000003</v>
      </c>
      <c r="X351" s="150"/>
      <c r="Y351" s="146"/>
      <c r="Z351" s="146"/>
      <c r="AA351" s="149"/>
      <c r="AB351" s="540">
        <v>2238</v>
      </c>
    </row>
    <row r="352" spans="1:31" ht="12.6" customHeight="1" x14ac:dyDescent="0.2">
      <c r="A352" s="112"/>
      <c r="B352" s="700" t="s">
        <v>258</v>
      </c>
      <c r="C352" s="701"/>
      <c r="D352" s="701"/>
      <c r="E352" s="702"/>
      <c r="F352" s="488">
        <f>0.428*X2</f>
        <v>388.62399999999997</v>
      </c>
      <c r="G352" s="349">
        <f t="shared" si="806"/>
        <v>388.62399999999997</v>
      </c>
      <c r="H352" s="337"/>
      <c r="I352" s="425"/>
      <c r="J352" s="607"/>
      <c r="K352" s="349"/>
      <c r="L352" s="607"/>
      <c r="M352" s="349"/>
      <c r="N352" s="607">
        <f t="shared" si="817"/>
        <v>430.62399999999997</v>
      </c>
      <c r="O352" s="349">
        <f t="shared" si="811"/>
        <v>430.62399999999997</v>
      </c>
      <c r="P352" s="607">
        <f t="shared" si="818"/>
        <v>426.62399999999997</v>
      </c>
      <c r="Q352" s="349">
        <f t="shared" si="812"/>
        <v>426.62399999999997</v>
      </c>
      <c r="R352" s="607">
        <f t="shared" si="819"/>
        <v>417.62399999999997</v>
      </c>
      <c r="S352" s="349">
        <f t="shared" si="813"/>
        <v>417.62399999999997</v>
      </c>
      <c r="T352" s="108">
        <f t="shared" si="820"/>
        <v>412.62399999999997</v>
      </c>
      <c r="U352" s="374">
        <f t="shared" si="814"/>
        <v>412.62399999999997</v>
      </c>
      <c r="V352" s="108">
        <f t="shared" ref="V352:V359" si="821">F352+19</f>
        <v>407.62399999999997</v>
      </c>
      <c r="W352" s="374">
        <f t="shared" si="815"/>
        <v>407.62399999999997</v>
      </c>
      <c r="X352" s="150"/>
      <c r="Y352" s="146"/>
      <c r="Z352" s="146"/>
      <c r="AA352" s="149"/>
      <c r="AB352" s="540">
        <v>2239</v>
      </c>
    </row>
    <row r="353" spans="1:29" ht="12.6" customHeight="1" x14ac:dyDescent="0.2">
      <c r="A353" s="102"/>
      <c r="B353" s="706" t="s">
        <v>259</v>
      </c>
      <c r="C353" s="729"/>
      <c r="D353" s="729"/>
      <c r="E353" s="729"/>
      <c r="F353" s="531">
        <f>0.35*X2</f>
        <v>317.79999999999995</v>
      </c>
      <c r="G353" s="348">
        <f t="shared" si="806"/>
        <v>317.79999999999995</v>
      </c>
      <c r="H353" s="338"/>
      <c r="I353" s="424"/>
      <c r="J353" s="386"/>
      <c r="K353" s="348"/>
      <c r="L353" s="386">
        <f t="shared" si="816"/>
        <v>387.79999999999995</v>
      </c>
      <c r="M353" s="348">
        <f t="shared" si="810"/>
        <v>387.79999999999995</v>
      </c>
      <c r="N353" s="386">
        <f t="shared" si="817"/>
        <v>359.79999999999995</v>
      </c>
      <c r="O353" s="348">
        <f t="shared" si="811"/>
        <v>359.79999999999995</v>
      </c>
      <c r="P353" s="386">
        <f t="shared" si="818"/>
        <v>355.79999999999995</v>
      </c>
      <c r="Q353" s="348">
        <f t="shared" si="812"/>
        <v>355.79999999999995</v>
      </c>
      <c r="R353" s="386">
        <f t="shared" si="819"/>
        <v>346.79999999999995</v>
      </c>
      <c r="S353" s="348">
        <f t="shared" si="813"/>
        <v>346.79999999999995</v>
      </c>
      <c r="T353" s="109">
        <f t="shared" si="820"/>
        <v>341.79999999999995</v>
      </c>
      <c r="U353" s="306">
        <f t="shared" si="814"/>
        <v>341.79999999999995</v>
      </c>
      <c r="V353" s="109"/>
      <c r="W353" s="306"/>
      <c r="X353" s="150"/>
      <c r="Y353" s="146"/>
      <c r="Z353" s="146"/>
      <c r="AA353" s="149"/>
      <c r="AB353" s="540">
        <v>2244</v>
      </c>
    </row>
    <row r="354" spans="1:29" ht="12.6" customHeight="1" x14ac:dyDescent="0.2">
      <c r="A354" s="20"/>
      <c r="B354" s="720" t="s">
        <v>380</v>
      </c>
      <c r="C354" s="721"/>
      <c r="D354" s="721"/>
      <c r="E354" s="721"/>
      <c r="F354" s="500">
        <f>0.29*X2</f>
        <v>263.32</v>
      </c>
      <c r="G354" s="349">
        <f t="shared" ref="G354" si="822">+F354*$X$1</f>
        <v>263.32</v>
      </c>
      <c r="H354" s="337"/>
      <c r="I354" s="425"/>
      <c r="J354" s="607"/>
      <c r="K354" s="349"/>
      <c r="L354" s="607">
        <f t="shared" si="816"/>
        <v>333.32</v>
      </c>
      <c r="M354" s="349">
        <f t="shared" si="810"/>
        <v>333.32</v>
      </c>
      <c r="N354" s="607">
        <f t="shared" si="817"/>
        <v>305.32</v>
      </c>
      <c r="O354" s="349">
        <f t="shared" si="811"/>
        <v>305.32</v>
      </c>
      <c r="P354" s="607">
        <f t="shared" si="818"/>
        <v>301.32</v>
      </c>
      <c r="Q354" s="349">
        <f t="shared" si="812"/>
        <v>301.32</v>
      </c>
      <c r="R354" s="607">
        <f t="shared" si="819"/>
        <v>292.32</v>
      </c>
      <c r="S354" s="349">
        <f t="shared" si="813"/>
        <v>292.32</v>
      </c>
      <c r="T354" s="108">
        <f t="shared" si="820"/>
        <v>287.32</v>
      </c>
      <c r="U354" s="374">
        <f t="shared" si="814"/>
        <v>287.32</v>
      </c>
      <c r="V354" s="108">
        <f t="shared" si="821"/>
        <v>282.32</v>
      </c>
      <c r="W354" s="374">
        <f t="shared" si="815"/>
        <v>282.32</v>
      </c>
      <c r="X354" s="150"/>
      <c r="Y354" s="146"/>
      <c r="Z354" s="146"/>
      <c r="AA354" s="149"/>
      <c r="AB354" s="540">
        <v>2245</v>
      </c>
    </row>
    <row r="355" spans="1:29" ht="12.6" customHeight="1" x14ac:dyDescent="0.2">
      <c r="A355" s="102"/>
      <c r="B355" s="706" t="s">
        <v>628</v>
      </c>
      <c r="C355" s="729"/>
      <c r="D355" s="729"/>
      <c r="E355" s="729"/>
      <c r="F355" s="404">
        <v>1450</v>
      </c>
      <c r="G355" s="348">
        <f>+F355*$X$1</f>
        <v>1450</v>
      </c>
      <c r="H355" s="338"/>
      <c r="I355" s="424"/>
      <c r="J355" s="386"/>
      <c r="K355" s="348"/>
      <c r="L355" s="386">
        <f t="shared" si="816"/>
        <v>1520</v>
      </c>
      <c r="M355" s="348">
        <f t="shared" si="810"/>
        <v>1520</v>
      </c>
      <c r="N355" s="386">
        <f t="shared" si="817"/>
        <v>1492</v>
      </c>
      <c r="O355" s="348">
        <f t="shared" si="811"/>
        <v>1492</v>
      </c>
      <c r="P355" s="386">
        <f t="shared" si="818"/>
        <v>1488</v>
      </c>
      <c r="Q355" s="348">
        <f t="shared" si="812"/>
        <v>1488</v>
      </c>
      <c r="R355" s="386">
        <f t="shared" si="819"/>
        <v>1479</v>
      </c>
      <c r="S355" s="348">
        <f t="shared" si="813"/>
        <v>1479</v>
      </c>
      <c r="T355" s="109">
        <f t="shared" si="820"/>
        <v>1474</v>
      </c>
      <c r="U355" s="306">
        <f t="shared" si="814"/>
        <v>1474</v>
      </c>
      <c r="V355" s="109">
        <f t="shared" si="821"/>
        <v>1469</v>
      </c>
      <c r="W355" s="306">
        <f t="shared" si="815"/>
        <v>1469</v>
      </c>
      <c r="X355" s="150"/>
      <c r="Y355" s="146"/>
      <c r="Z355" s="146"/>
      <c r="AA355" s="149"/>
      <c r="AB355" s="540">
        <v>2246</v>
      </c>
    </row>
    <row r="356" spans="1:29" ht="12.6" customHeight="1" x14ac:dyDescent="0.2">
      <c r="A356" s="20"/>
      <c r="B356" s="700" t="s">
        <v>570</v>
      </c>
      <c r="C356" s="724"/>
      <c r="D356" s="724"/>
      <c r="E356" s="725"/>
      <c r="F356" s="492">
        <f>0.47*X2</f>
        <v>426.76</v>
      </c>
      <c r="G356" s="349">
        <f t="shared" ref="G356:G362" si="823">+F356*$X$1</f>
        <v>426.76</v>
      </c>
      <c r="H356" s="337"/>
      <c r="I356" s="425"/>
      <c r="J356" s="607"/>
      <c r="K356" s="349"/>
      <c r="L356" s="607">
        <f t="shared" si="816"/>
        <v>496.76</v>
      </c>
      <c r="M356" s="349">
        <f t="shared" si="810"/>
        <v>496.76</v>
      </c>
      <c r="N356" s="607">
        <f t="shared" si="817"/>
        <v>468.76</v>
      </c>
      <c r="O356" s="349">
        <f t="shared" si="811"/>
        <v>468.76</v>
      </c>
      <c r="P356" s="607">
        <f t="shared" si="818"/>
        <v>464.76</v>
      </c>
      <c r="Q356" s="349">
        <f t="shared" si="812"/>
        <v>464.76</v>
      </c>
      <c r="R356" s="607">
        <f t="shared" si="819"/>
        <v>455.76</v>
      </c>
      <c r="S356" s="349">
        <f t="shared" si="813"/>
        <v>455.76</v>
      </c>
      <c r="T356" s="108">
        <f t="shared" si="820"/>
        <v>450.76</v>
      </c>
      <c r="U356" s="374">
        <f t="shared" si="814"/>
        <v>450.76</v>
      </c>
      <c r="V356" s="108">
        <f t="shared" si="821"/>
        <v>445.76</v>
      </c>
      <c r="W356" s="374">
        <f t="shared" si="815"/>
        <v>445.76</v>
      </c>
      <c r="X356" s="142"/>
      <c r="Y356" s="142"/>
      <c r="Z356" s="142"/>
      <c r="AA356" s="142"/>
      <c r="AB356" s="559">
        <v>2251</v>
      </c>
    </row>
    <row r="357" spans="1:29" ht="12.6" customHeight="1" x14ac:dyDescent="0.2">
      <c r="A357" s="20"/>
      <c r="B357" s="716" t="s">
        <v>833</v>
      </c>
      <c r="C357" s="912"/>
      <c r="D357" s="912"/>
      <c r="E357" s="913"/>
      <c r="F357" s="493">
        <f>0.47*X2</f>
        <v>426.76</v>
      </c>
      <c r="G357" s="348">
        <f t="shared" si="823"/>
        <v>426.76</v>
      </c>
      <c r="H357" s="338"/>
      <c r="I357" s="424"/>
      <c r="J357" s="386"/>
      <c r="K357" s="348"/>
      <c r="L357" s="386">
        <f t="shared" si="816"/>
        <v>496.76</v>
      </c>
      <c r="M357" s="348">
        <f t="shared" si="810"/>
        <v>496.76</v>
      </c>
      <c r="N357" s="386">
        <f t="shared" si="817"/>
        <v>468.76</v>
      </c>
      <c r="O357" s="348">
        <f t="shared" si="811"/>
        <v>468.76</v>
      </c>
      <c r="P357" s="386">
        <f t="shared" si="818"/>
        <v>464.76</v>
      </c>
      <c r="Q357" s="348">
        <f t="shared" si="812"/>
        <v>464.76</v>
      </c>
      <c r="R357" s="386">
        <f t="shared" si="819"/>
        <v>455.76</v>
      </c>
      <c r="S357" s="348">
        <f t="shared" si="813"/>
        <v>455.76</v>
      </c>
      <c r="T357" s="109">
        <f t="shared" si="820"/>
        <v>450.76</v>
      </c>
      <c r="U357" s="306">
        <f t="shared" si="814"/>
        <v>450.76</v>
      </c>
      <c r="V357" s="109">
        <f t="shared" si="821"/>
        <v>445.76</v>
      </c>
      <c r="W357" s="306">
        <f t="shared" si="815"/>
        <v>445.76</v>
      </c>
      <c r="X357" s="142"/>
      <c r="Y357" s="142"/>
      <c r="Z357" s="142"/>
      <c r="AA357" s="142"/>
      <c r="AB357" s="540">
        <v>2252</v>
      </c>
    </row>
    <row r="358" spans="1:29" ht="12.6" customHeight="1" x14ac:dyDescent="0.2">
      <c r="A358" s="112"/>
      <c r="B358" s="700" t="s">
        <v>260</v>
      </c>
      <c r="C358" s="730"/>
      <c r="D358" s="730"/>
      <c r="E358" s="731"/>
      <c r="F358" s="488">
        <f>0.372*X2</f>
        <v>337.77600000000001</v>
      </c>
      <c r="G358" s="349">
        <f t="shared" si="823"/>
        <v>337.77600000000001</v>
      </c>
      <c r="H358" s="337"/>
      <c r="I358" s="425"/>
      <c r="J358" s="607"/>
      <c r="K358" s="349"/>
      <c r="L358" s="607">
        <f t="shared" si="816"/>
        <v>407.77600000000001</v>
      </c>
      <c r="M358" s="349">
        <f t="shared" si="810"/>
        <v>407.77600000000001</v>
      </c>
      <c r="N358" s="607">
        <f t="shared" si="817"/>
        <v>379.77600000000001</v>
      </c>
      <c r="O358" s="349">
        <f t="shared" si="811"/>
        <v>379.77600000000001</v>
      </c>
      <c r="P358" s="607">
        <f t="shared" si="818"/>
        <v>375.77600000000001</v>
      </c>
      <c r="Q358" s="349">
        <f t="shared" si="812"/>
        <v>375.77600000000001</v>
      </c>
      <c r="R358" s="607">
        <f t="shared" si="819"/>
        <v>366.77600000000001</v>
      </c>
      <c r="S358" s="349">
        <f t="shared" si="813"/>
        <v>366.77600000000001</v>
      </c>
      <c r="T358" s="108">
        <f t="shared" si="820"/>
        <v>361.77600000000001</v>
      </c>
      <c r="U358" s="374">
        <f t="shared" si="814"/>
        <v>361.77600000000001</v>
      </c>
      <c r="V358" s="108">
        <f t="shared" si="821"/>
        <v>356.77600000000001</v>
      </c>
      <c r="W358" s="374">
        <f t="shared" si="815"/>
        <v>356.77600000000001</v>
      </c>
      <c r="X358" s="185"/>
      <c r="Y358" s="142"/>
      <c r="Z358" s="142"/>
      <c r="AA358" s="162"/>
      <c r="AB358" s="540">
        <v>2254</v>
      </c>
      <c r="AC358" s="69"/>
    </row>
    <row r="359" spans="1:29" ht="12.6" customHeight="1" x14ac:dyDescent="0.2">
      <c r="A359" s="112"/>
      <c r="B359" s="716" t="s">
        <v>585</v>
      </c>
      <c r="C359" s="766"/>
      <c r="D359" s="766"/>
      <c r="E359" s="767"/>
      <c r="F359" s="487">
        <f>0.429*X2</f>
        <v>389.53199999999998</v>
      </c>
      <c r="G359" s="348">
        <f t="shared" si="823"/>
        <v>389.53199999999998</v>
      </c>
      <c r="H359" s="338"/>
      <c r="I359" s="424"/>
      <c r="J359" s="386"/>
      <c r="K359" s="348"/>
      <c r="L359" s="386">
        <f t="shared" si="816"/>
        <v>459.53199999999998</v>
      </c>
      <c r="M359" s="348">
        <f t="shared" si="810"/>
        <v>459.53199999999998</v>
      </c>
      <c r="N359" s="386">
        <f t="shared" si="817"/>
        <v>431.53199999999998</v>
      </c>
      <c r="O359" s="348">
        <f t="shared" si="811"/>
        <v>431.53199999999998</v>
      </c>
      <c r="P359" s="386">
        <f t="shared" si="818"/>
        <v>427.53199999999998</v>
      </c>
      <c r="Q359" s="348">
        <f t="shared" si="812"/>
        <v>427.53199999999998</v>
      </c>
      <c r="R359" s="386">
        <f t="shared" si="819"/>
        <v>418.53199999999998</v>
      </c>
      <c r="S359" s="348">
        <f t="shared" si="813"/>
        <v>418.53199999999998</v>
      </c>
      <c r="T359" s="109">
        <f t="shared" si="820"/>
        <v>413.53199999999998</v>
      </c>
      <c r="U359" s="306">
        <f t="shared" si="814"/>
        <v>413.53199999999998</v>
      </c>
      <c r="V359" s="109">
        <f t="shared" si="821"/>
        <v>408.53199999999998</v>
      </c>
      <c r="W359" s="306">
        <f t="shared" si="815"/>
        <v>408.53199999999998</v>
      </c>
      <c r="X359" s="185"/>
      <c r="Y359" s="142"/>
      <c r="Z359" s="142"/>
      <c r="AA359" s="162"/>
      <c r="AB359" s="540" t="s">
        <v>618</v>
      </c>
      <c r="AC359" s="69"/>
    </row>
    <row r="360" spans="1:29" ht="12.6" customHeight="1" x14ac:dyDescent="0.2">
      <c r="A360" s="112"/>
      <c r="B360" s="700" t="s">
        <v>590</v>
      </c>
      <c r="C360" s="730"/>
      <c r="D360" s="730"/>
      <c r="E360" s="731"/>
      <c r="F360" s="488">
        <f>0.372*X2</f>
        <v>337.77600000000001</v>
      </c>
      <c r="G360" s="349">
        <f t="shared" si="823"/>
        <v>337.77600000000001</v>
      </c>
      <c r="H360" s="337"/>
      <c r="I360" s="425"/>
      <c r="J360" s="607"/>
      <c r="K360" s="349"/>
      <c r="L360" s="607">
        <f t="shared" si="816"/>
        <v>407.77600000000001</v>
      </c>
      <c r="M360" s="349">
        <f t="shared" si="810"/>
        <v>407.77600000000001</v>
      </c>
      <c r="N360" s="607">
        <f t="shared" si="817"/>
        <v>379.77600000000001</v>
      </c>
      <c r="O360" s="349">
        <f t="shared" si="811"/>
        <v>379.77600000000001</v>
      </c>
      <c r="P360" s="607"/>
      <c r="Q360" s="349"/>
      <c r="R360" s="607"/>
      <c r="S360" s="349"/>
      <c r="T360" s="108"/>
      <c r="U360" s="374"/>
      <c r="V360" s="108"/>
      <c r="W360" s="374"/>
      <c r="X360" s="185"/>
      <c r="Y360" s="142"/>
      <c r="Z360" s="142"/>
      <c r="AA360" s="162"/>
      <c r="AB360" s="540" t="s">
        <v>617</v>
      </c>
      <c r="AC360" s="69"/>
    </row>
    <row r="361" spans="1:29" ht="12.6" customHeight="1" x14ac:dyDescent="0.2">
      <c r="A361" s="112"/>
      <c r="B361" s="716" t="s">
        <v>261</v>
      </c>
      <c r="C361" s="717"/>
      <c r="D361" s="717"/>
      <c r="E361" s="718"/>
      <c r="F361" s="404">
        <v>619</v>
      </c>
      <c r="G361" s="348">
        <f t="shared" si="823"/>
        <v>619</v>
      </c>
      <c r="H361" s="338"/>
      <c r="I361" s="424"/>
      <c r="J361" s="386"/>
      <c r="K361" s="348"/>
      <c r="L361" s="386">
        <f t="shared" ref="L361" si="824">F361+70</f>
        <v>689</v>
      </c>
      <c r="M361" s="348">
        <f t="shared" ref="M361:M362" si="825">+L361*$X$1</f>
        <v>689</v>
      </c>
      <c r="N361" s="386">
        <f t="shared" ref="N361" si="826">F361+42</f>
        <v>661</v>
      </c>
      <c r="O361" s="348">
        <f t="shared" ref="O361:O362" si="827">+N361*$X$1</f>
        <v>661</v>
      </c>
      <c r="P361" s="386">
        <f t="shared" ref="P361" si="828">F361+38</f>
        <v>657</v>
      </c>
      <c r="Q361" s="348">
        <f t="shared" ref="Q361:Q362" si="829">+P361*$X$1</f>
        <v>657</v>
      </c>
      <c r="R361" s="386">
        <f t="shared" ref="R361" si="830">F361+29</f>
        <v>648</v>
      </c>
      <c r="S361" s="348">
        <f t="shared" ref="S361:S362" si="831">+R361*$X$1</f>
        <v>648</v>
      </c>
      <c r="T361" s="109">
        <f t="shared" ref="T361" si="832">F361+24</f>
        <v>643</v>
      </c>
      <c r="U361" s="306">
        <f t="shared" ref="U361:U362" si="833">+T361*$X$1</f>
        <v>643</v>
      </c>
      <c r="V361" s="109">
        <f t="shared" ref="V361" si="834">F361+19</f>
        <v>638</v>
      </c>
      <c r="W361" s="306">
        <f t="shared" ref="W361:W362" si="835">+V361*$X$1</f>
        <v>638</v>
      </c>
      <c r="X361" s="185"/>
      <c r="Y361" s="142"/>
      <c r="Z361" s="142"/>
      <c r="AA361" s="142"/>
      <c r="AB361" s="540">
        <v>2255</v>
      </c>
      <c r="AC361" s="69"/>
    </row>
    <row r="362" spans="1:29" ht="12.6" customHeight="1" x14ac:dyDescent="0.2">
      <c r="A362" s="20"/>
      <c r="B362" s="722" t="s">
        <v>667</v>
      </c>
      <c r="C362" s="764"/>
      <c r="D362" s="764"/>
      <c r="E362" s="764"/>
      <c r="F362" s="403">
        <v>2985</v>
      </c>
      <c r="G362" s="349">
        <f t="shared" si="823"/>
        <v>2985</v>
      </c>
      <c r="H362" s="607"/>
      <c r="I362" s="349"/>
      <c r="J362" s="607">
        <f>F362+80</f>
        <v>3065</v>
      </c>
      <c r="K362" s="349">
        <f t="shared" ref="K362" si="836">+J362*$X$1</f>
        <v>3065</v>
      </c>
      <c r="L362" s="607">
        <f>F362+60</f>
        <v>3045</v>
      </c>
      <c r="M362" s="349">
        <f t="shared" si="825"/>
        <v>3045</v>
      </c>
      <c r="N362" s="607">
        <f>F362+40</f>
        <v>3025</v>
      </c>
      <c r="O362" s="349">
        <f t="shared" si="827"/>
        <v>3025</v>
      </c>
      <c r="P362" s="607">
        <f>F362+37</f>
        <v>3022</v>
      </c>
      <c r="Q362" s="349">
        <f t="shared" si="829"/>
        <v>3022</v>
      </c>
      <c r="R362" s="607">
        <f>F362+33</f>
        <v>3018</v>
      </c>
      <c r="S362" s="349">
        <f t="shared" si="831"/>
        <v>3018</v>
      </c>
      <c r="T362" s="607">
        <f>F362+29</f>
        <v>3014</v>
      </c>
      <c r="U362" s="349">
        <f t="shared" si="833"/>
        <v>3014</v>
      </c>
      <c r="V362" s="607">
        <f>F362+25</f>
        <v>3010</v>
      </c>
      <c r="W362" s="349">
        <f t="shared" si="835"/>
        <v>3010</v>
      </c>
      <c r="X362" s="708"/>
      <c r="Y362" s="709"/>
      <c r="Z362" s="709"/>
      <c r="AA362" s="710"/>
      <c r="AB362" s="540">
        <v>2257</v>
      </c>
      <c r="AC362" s="69"/>
    </row>
    <row r="363" spans="1:29" ht="12.6" customHeight="1" x14ac:dyDescent="0.2">
      <c r="A363" s="20"/>
      <c r="B363" s="714" t="s">
        <v>811</v>
      </c>
      <c r="C363" s="763"/>
      <c r="D363" s="763"/>
      <c r="E363" s="763"/>
      <c r="F363" s="487">
        <f>0.702*X2</f>
        <v>637.41599999999994</v>
      </c>
      <c r="G363" s="348">
        <f t="shared" ref="G363" si="837">+F363*$X$1</f>
        <v>637.41599999999994</v>
      </c>
      <c r="H363" s="386"/>
      <c r="I363" s="348"/>
      <c r="J363" s="386"/>
      <c r="K363" s="348"/>
      <c r="L363" s="386">
        <f t="shared" ref="L363:L367" si="838">F363+70</f>
        <v>707.41599999999994</v>
      </c>
      <c r="M363" s="348">
        <f t="shared" ref="M363:M368" si="839">+L363*$X$1</f>
        <v>707.41599999999994</v>
      </c>
      <c r="N363" s="386">
        <f t="shared" ref="N363:N367" si="840">F363+42</f>
        <v>679.41599999999994</v>
      </c>
      <c r="O363" s="348">
        <f t="shared" ref="O363:O368" si="841">+N363*$X$1</f>
        <v>679.41599999999994</v>
      </c>
      <c r="P363" s="386">
        <f t="shared" ref="P363:P367" si="842">F363+38</f>
        <v>675.41599999999994</v>
      </c>
      <c r="Q363" s="348">
        <f t="shared" ref="Q363:Q368" si="843">+P363*$X$1</f>
        <v>675.41599999999994</v>
      </c>
      <c r="R363" s="386">
        <f t="shared" ref="R363:R367" si="844">F363+29</f>
        <v>666.41599999999994</v>
      </c>
      <c r="S363" s="348">
        <f t="shared" ref="S363:S368" si="845">+R363*$X$1</f>
        <v>666.41599999999994</v>
      </c>
      <c r="T363" s="109">
        <f t="shared" ref="T363:T367" si="846">F363+24</f>
        <v>661.41599999999994</v>
      </c>
      <c r="U363" s="306">
        <f t="shared" ref="U363:U368" si="847">+T363*$X$1</f>
        <v>661.41599999999994</v>
      </c>
      <c r="V363" s="109">
        <f t="shared" ref="V363:V367" si="848">F363+19</f>
        <v>656.41599999999994</v>
      </c>
      <c r="W363" s="306">
        <f t="shared" ref="W363:W368" si="849">+V363*$X$1</f>
        <v>656.41599999999994</v>
      </c>
      <c r="X363" s="708"/>
      <c r="Y363" s="709"/>
      <c r="Z363" s="709"/>
      <c r="AA363" s="710"/>
      <c r="AB363" s="540">
        <v>2260</v>
      </c>
      <c r="AC363" s="69"/>
    </row>
    <row r="364" spans="1:29" ht="12.6" customHeight="1" x14ac:dyDescent="0.2">
      <c r="A364" s="20"/>
      <c r="B364" s="714" t="s">
        <v>778</v>
      </c>
      <c r="C364" s="763"/>
      <c r="D364" s="763"/>
      <c r="E364" s="763"/>
      <c r="F364" s="488">
        <f>0.614*X2</f>
        <v>557.51199999999994</v>
      </c>
      <c r="G364" s="349">
        <f t="shared" ref="G364:G365" si="850">+F364*$X$1</f>
        <v>557.51199999999994</v>
      </c>
      <c r="H364" s="632"/>
      <c r="I364" s="349"/>
      <c r="J364" s="632"/>
      <c r="K364" s="349"/>
      <c r="L364" s="632">
        <f t="shared" si="838"/>
        <v>627.51199999999994</v>
      </c>
      <c r="M364" s="349">
        <f t="shared" si="839"/>
        <v>627.51199999999994</v>
      </c>
      <c r="N364" s="632">
        <f t="shared" si="840"/>
        <v>599.51199999999994</v>
      </c>
      <c r="O364" s="349">
        <f t="shared" si="841"/>
        <v>599.51199999999994</v>
      </c>
      <c r="P364" s="632">
        <f t="shared" si="842"/>
        <v>595.51199999999994</v>
      </c>
      <c r="Q364" s="349">
        <f t="shared" si="843"/>
        <v>595.51199999999994</v>
      </c>
      <c r="R364" s="632">
        <f t="shared" si="844"/>
        <v>586.51199999999994</v>
      </c>
      <c r="S364" s="349">
        <f t="shared" si="845"/>
        <v>586.51199999999994</v>
      </c>
      <c r="T364" s="108">
        <f t="shared" si="846"/>
        <v>581.51199999999994</v>
      </c>
      <c r="U364" s="374">
        <f t="shared" si="847"/>
        <v>581.51199999999994</v>
      </c>
      <c r="V364" s="108">
        <f t="shared" si="848"/>
        <v>576.51199999999994</v>
      </c>
      <c r="W364" s="374">
        <f t="shared" si="849"/>
        <v>576.51199999999994</v>
      </c>
      <c r="X364" s="708"/>
      <c r="Y364" s="709"/>
      <c r="Z364" s="709"/>
      <c r="AA364" s="710"/>
      <c r="AB364" s="540">
        <v>2261</v>
      </c>
      <c r="AC364" s="69"/>
    </row>
    <row r="365" spans="1:29" ht="12.6" customHeight="1" x14ac:dyDescent="0.2">
      <c r="A365" s="20"/>
      <c r="B365" s="714" t="s">
        <v>813</v>
      </c>
      <c r="C365" s="763"/>
      <c r="D365" s="763"/>
      <c r="E365" s="763"/>
      <c r="F365" s="487">
        <f>0.652*X2</f>
        <v>592.01600000000008</v>
      </c>
      <c r="G365" s="348">
        <f t="shared" si="850"/>
        <v>592.01600000000008</v>
      </c>
      <c r="H365" s="386"/>
      <c r="I365" s="348"/>
      <c r="J365" s="386"/>
      <c r="K365" s="348"/>
      <c r="L365" s="386">
        <f t="shared" si="838"/>
        <v>662.01600000000008</v>
      </c>
      <c r="M365" s="348">
        <f t="shared" si="839"/>
        <v>662.01600000000008</v>
      </c>
      <c r="N365" s="386">
        <f t="shared" si="840"/>
        <v>634.01600000000008</v>
      </c>
      <c r="O365" s="348">
        <f t="shared" si="841"/>
        <v>634.01600000000008</v>
      </c>
      <c r="P365" s="386">
        <f t="shared" si="842"/>
        <v>630.01600000000008</v>
      </c>
      <c r="Q365" s="348">
        <f t="shared" si="843"/>
        <v>630.01600000000008</v>
      </c>
      <c r="R365" s="386">
        <f t="shared" si="844"/>
        <v>621.01600000000008</v>
      </c>
      <c r="S365" s="348">
        <f t="shared" si="845"/>
        <v>621.01600000000008</v>
      </c>
      <c r="T365" s="109">
        <f t="shared" si="846"/>
        <v>616.01600000000008</v>
      </c>
      <c r="U365" s="306">
        <f t="shared" si="847"/>
        <v>616.01600000000008</v>
      </c>
      <c r="V365" s="109">
        <f t="shared" si="848"/>
        <v>611.01600000000008</v>
      </c>
      <c r="W365" s="306">
        <f t="shared" si="849"/>
        <v>611.01600000000008</v>
      </c>
      <c r="X365" s="708"/>
      <c r="Y365" s="709"/>
      <c r="Z365" s="709"/>
      <c r="AA365" s="710"/>
      <c r="AB365" s="540">
        <v>2262</v>
      </c>
      <c r="AC365" s="69"/>
    </row>
    <row r="366" spans="1:29" ht="12.6" customHeight="1" x14ac:dyDescent="0.2">
      <c r="A366" s="20"/>
      <c r="B366" s="714" t="s">
        <v>739</v>
      </c>
      <c r="C366" s="763"/>
      <c r="D366" s="763"/>
      <c r="E366" s="763"/>
      <c r="F366" s="488">
        <f>1.91*X2</f>
        <v>1734.28</v>
      </c>
      <c r="G366" s="349">
        <f t="shared" ref="G366" si="851">+F366*$X$1</f>
        <v>1734.28</v>
      </c>
      <c r="H366" s="632"/>
      <c r="I366" s="349"/>
      <c r="J366" s="632"/>
      <c r="K366" s="349"/>
      <c r="L366" s="632">
        <f t="shared" si="838"/>
        <v>1804.28</v>
      </c>
      <c r="M366" s="349">
        <f t="shared" si="839"/>
        <v>1804.28</v>
      </c>
      <c r="N366" s="632">
        <f t="shared" si="840"/>
        <v>1776.28</v>
      </c>
      <c r="O366" s="349">
        <f t="shared" si="841"/>
        <v>1776.28</v>
      </c>
      <c r="P366" s="632">
        <f t="shared" si="842"/>
        <v>1772.28</v>
      </c>
      <c r="Q366" s="349">
        <f t="shared" si="843"/>
        <v>1772.28</v>
      </c>
      <c r="R366" s="632">
        <f t="shared" si="844"/>
        <v>1763.28</v>
      </c>
      <c r="S366" s="349">
        <f t="shared" si="845"/>
        <v>1763.28</v>
      </c>
      <c r="T366" s="108">
        <f t="shared" si="846"/>
        <v>1758.28</v>
      </c>
      <c r="U366" s="374">
        <f t="shared" si="847"/>
        <v>1758.28</v>
      </c>
      <c r="V366" s="108">
        <f t="shared" si="848"/>
        <v>1753.28</v>
      </c>
      <c r="W366" s="374">
        <f t="shared" si="849"/>
        <v>1753.28</v>
      </c>
      <c r="X366" s="708"/>
      <c r="Y366" s="709"/>
      <c r="Z366" s="709"/>
      <c r="AA366" s="710"/>
      <c r="AB366" s="540">
        <v>2264</v>
      </c>
      <c r="AC366" s="69"/>
    </row>
    <row r="367" spans="1:29" ht="12.6" customHeight="1" x14ac:dyDescent="0.2">
      <c r="A367" s="20"/>
      <c r="B367" s="712" t="s">
        <v>812</v>
      </c>
      <c r="C367" s="765"/>
      <c r="D367" s="765"/>
      <c r="E367" s="765"/>
      <c r="F367" s="487">
        <f>0.838*X2</f>
        <v>760.904</v>
      </c>
      <c r="G367" s="348">
        <f t="shared" ref="G367" si="852">+F367*$X$1</f>
        <v>760.904</v>
      </c>
      <c r="H367" s="386"/>
      <c r="I367" s="348"/>
      <c r="J367" s="386"/>
      <c r="K367" s="348"/>
      <c r="L367" s="386">
        <f t="shared" si="838"/>
        <v>830.904</v>
      </c>
      <c r="M367" s="348">
        <f t="shared" si="839"/>
        <v>830.904</v>
      </c>
      <c r="N367" s="386">
        <f t="shared" si="840"/>
        <v>802.904</v>
      </c>
      <c r="O367" s="348">
        <f t="shared" si="841"/>
        <v>802.904</v>
      </c>
      <c r="P367" s="386">
        <f t="shared" si="842"/>
        <v>798.904</v>
      </c>
      <c r="Q367" s="348">
        <f t="shared" si="843"/>
        <v>798.904</v>
      </c>
      <c r="R367" s="386">
        <f t="shared" si="844"/>
        <v>789.904</v>
      </c>
      <c r="S367" s="348">
        <f t="shared" si="845"/>
        <v>789.904</v>
      </c>
      <c r="T367" s="109">
        <f t="shared" si="846"/>
        <v>784.904</v>
      </c>
      <c r="U367" s="306">
        <f t="shared" si="847"/>
        <v>784.904</v>
      </c>
      <c r="V367" s="109">
        <f t="shared" si="848"/>
        <v>779.904</v>
      </c>
      <c r="W367" s="306">
        <f t="shared" si="849"/>
        <v>779.904</v>
      </c>
      <c r="X367" s="708"/>
      <c r="Y367" s="709"/>
      <c r="Z367" s="709"/>
      <c r="AA367" s="710"/>
      <c r="AB367" s="540">
        <v>2266</v>
      </c>
      <c r="AC367" s="69"/>
    </row>
    <row r="368" spans="1:29" ht="12.6" customHeight="1" x14ac:dyDescent="0.2">
      <c r="A368" s="20"/>
      <c r="B368" s="916" t="s">
        <v>262</v>
      </c>
      <c r="C368" s="917"/>
      <c r="D368" s="917"/>
      <c r="E368" s="917"/>
      <c r="F368" s="494">
        <f>1.96*X2</f>
        <v>1779.68</v>
      </c>
      <c r="G368" s="349">
        <f t="shared" ref="G368:G369" si="853">+F368*$X$1</f>
        <v>1779.68</v>
      </c>
      <c r="H368" s="632">
        <f>F368+250</f>
        <v>2029.68</v>
      </c>
      <c r="I368" s="349">
        <f>+H368*$X$1</f>
        <v>2029.68</v>
      </c>
      <c r="J368" s="632">
        <f>F368+80</f>
        <v>1859.68</v>
      </c>
      <c r="K368" s="349">
        <f t="shared" ref="K368" si="854">+J368*$X$1</f>
        <v>1859.68</v>
      </c>
      <c r="L368" s="632">
        <f>F368+60</f>
        <v>1839.68</v>
      </c>
      <c r="M368" s="349">
        <f t="shared" si="839"/>
        <v>1839.68</v>
      </c>
      <c r="N368" s="632">
        <f>F368+40</f>
        <v>1819.68</v>
      </c>
      <c r="O368" s="349">
        <f t="shared" si="841"/>
        <v>1819.68</v>
      </c>
      <c r="P368" s="632">
        <f>F368+37</f>
        <v>1816.68</v>
      </c>
      <c r="Q368" s="349">
        <f t="shared" si="843"/>
        <v>1816.68</v>
      </c>
      <c r="R368" s="632">
        <f>F368+33</f>
        <v>1812.68</v>
      </c>
      <c r="S368" s="349">
        <f t="shared" si="845"/>
        <v>1812.68</v>
      </c>
      <c r="T368" s="632">
        <f>F368+29</f>
        <v>1808.68</v>
      </c>
      <c r="U368" s="349">
        <f t="shared" si="847"/>
        <v>1808.68</v>
      </c>
      <c r="V368" s="632">
        <f>F368+25</f>
        <v>1804.68</v>
      </c>
      <c r="W368" s="349">
        <f t="shared" si="849"/>
        <v>1804.68</v>
      </c>
      <c r="X368" s="711"/>
      <c r="Y368" s="709"/>
      <c r="Z368" s="709"/>
      <c r="AA368" s="710"/>
      <c r="AB368" s="540">
        <v>2268</v>
      </c>
      <c r="AC368" s="69"/>
    </row>
    <row r="369" spans="1:29" ht="12.6" customHeight="1" x14ac:dyDescent="0.2">
      <c r="A369" s="20"/>
      <c r="B369" s="712" t="s">
        <v>263</v>
      </c>
      <c r="C369" s="719"/>
      <c r="D369" s="719"/>
      <c r="E369" s="719"/>
      <c r="F369" s="487">
        <f>0.393*X2</f>
        <v>356.84399999999999</v>
      </c>
      <c r="G369" s="348">
        <f t="shared" si="853"/>
        <v>356.84399999999999</v>
      </c>
      <c r="H369" s="338"/>
      <c r="I369" s="338"/>
      <c r="J369" s="386"/>
      <c r="K369" s="386"/>
      <c r="L369" s="386">
        <f t="shared" ref="L369:L372" si="855">F369+70</f>
        <v>426.84399999999999</v>
      </c>
      <c r="M369" s="348">
        <f t="shared" ref="M369:M372" si="856">+L369*$X$1</f>
        <v>426.84399999999999</v>
      </c>
      <c r="N369" s="386">
        <f t="shared" ref="N369:N372" si="857">F369+42</f>
        <v>398.84399999999999</v>
      </c>
      <c r="O369" s="348">
        <f t="shared" ref="O369:O372" si="858">+N369*$X$1</f>
        <v>398.84399999999999</v>
      </c>
      <c r="P369" s="386">
        <f t="shared" ref="P369:P372" si="859">F369+38</f>
        <v>394.84399999999999</v>
      </c>
      <c r="Q369" s="348">
        <f t="shared" ref="Q369:Q372" si="860">+P369*$X$1</f>
        <v>394.84399999999999</v>
      </c>
      <c r="R369" s="386">
        <f t="shared" ref="R369:R372" si="861">F369+29</f>
        <v>385.84399999999999</v>
      </c>
      <c r="S369" s="348">
        <f t="shared" ref="S369:S372" si="862">+R369*$X$1</f>
        <v>385.84399999999999</v>
      </c>
      <c r="T369" s="109">
        <f t="shared" ref="T369:T372" si="863">F369+24</f>
        <v>380.84399999999999</v>
      </c>
      <c r="U369" s="306">
        <f t="shared" ref="U369:U372" si="864">+T369*$X$1</f>
        <v>380.84399999999999</v>
      </c>
      <c r="V369" s="109">
        <f t="shared" ref="V369:V372" si="865">F369+19</f>
        <v>375.84399999999999</v>
      </c>
      <c r="W369" s="306">
        <f t="shared" ref="W369:W372" si="866">+V369*$X$1</f>
        <v>375.84399999999999</v>
      </c>
      <c r="X369" s="191"/>
      <c r="Y369" s="193"/>
      <c r="Z369" s="193"/>
      <c r="AA369" s="191"/>
      <c r="AB369" s="540">
        <v>2270</v>
      </c>
      <c r="AC369" s="69"/>
    </row>
    <row r="370" spans="1:29" ht="12.6" customHeight="1" x14ac:dyDescent="0.2">
      <c r="A370" s="20"/>
      <c r="B370" s="722" t="s">
        <v>264</v>
      </c>
      <c r="C370" s="787"/>
      <c r="D370" s="787"/>
      <c r="E370" s="787"/>
      <c r="F370" s="488">
        <f>0.48*X2</f>
        <v>435.84</v>
      </c>
      <c r="G370" s="349">
        <f>+F370*$X$1</f>
        <v>435.84</v>
      </c>
      <c r="H370" s="337"/>
      <c r="I370" s="337"/>
      <c r="J370" s="632"/>
      <c r="K370" s="632"/>
      <c r="L370" s="632">
        <f t="shared" si="855"/>
        <v>505.84</v>
      </c>
      <c r="M370" s="349">
        <f t="shared" si="856"/>
        <v>505.84</v>
      </c>
      <c r="N370" s="632">
        <f t="shared" si="857"/>
        <v>477.84</v>
      </c>
      <c r="O370" s="349">
        <f t="shared" si="858"/>
        <v>477.84</v>
      </c>
      <c r="P370" s="632">
        <f t="shared" si="859"/>
        <v>473.84</v>
      </c>
      <c r="Q370" s="349">
        <f t="shared" si="860"/>
        <v>473.84</v>
      </c>
      <c r="R370" s="632">
        <f t="shared" si="861"/>
        <v>464.84</v>
      </c>
      <c r="S370" s="349">
        <f t="shared" si="862"/>
        <v>464.84</v>
      </c>
      <c r="T370" s="108">
        <f t="shared" si="863"/>
        <v>459.84</v>
      </c>
      <c r="U370" s="374">
        <f t="shared" si="864"/>
        <v>459.84</v>
      </c>
      <c r="V370" s="108">
        <f t="shared" si="865"/>
        <v>454.84</v>
      </c>
      <c r="W370" s="374">
        <f t="shared" si="866"/>
        <v>454.84</v>
      </c>
      <c r="X370" s="191"/>
      <c r="Y370" s="193"/>
      <c r="Z370" s="193"/>
      <c r="AA370" s="191"/>
      <c r="AB370" s="540">
        <v>2271</v>
      </c>
      <c r="AC370" s="69"/>
    </row>
    <row r="371" spans="1:29" ht="12.6" customHeight="1" x14ac:dyDescent="0.2">
      <c r="A371" s="20"/>
      <c r="B371" s="712" t="s">
        <v>265</v>
      </c>
      <c r="C371" s="719"/>
      <c r="D371" s="719"/>
      <c r="E371" s="719"/>
      <c r="F371" s="487">
        <f>0.725*X2</f>
        <v>658.3</v>
      </c>
      <c r="G371" s="348">
        <f t="shared" ref="G371" si="867">+F371*$X$1</f>
        <v>658.3</v>
      </c>
      <c r="H371" s="338"/>
      <c r="I371" s="338"/>
      <c r="J371" s="386"/>
      <c r="K371" s="386"/>
      <c r="L371" s="386">
        <f t="shared" si="855"/>
        <v>728.3</v>
      </c>
      <c r="M371" s="348">
        <f t="shared" si="856"/>
        <v>728.3</v>
      </c>
      <c r="N371" s="386">
        <f t="shared" si="857"/>
        <v>700.3</v>
      </c>
      <c r="O371" s="348">
        <f t="shared" si="858"/>
        <v>700.3</v>
      </c>
      <c r="P371" s="386">
        <f t="shared" si="859"/>
        <v>696.3</v>
      </c>
      <c r="Q371" s="348">
        <f t="shared" si="860"/>
        <v>696.3</v>
      </c>
      <c r="R371" s="386">
        <f t="shared" si="861"/>
        <v>687.3</v>
      </c>
      <c r="S371" s="348">
        <f t="shared" si="862"/>
        <v>687.3</v>
      </c>
      <c r="T371" s="109">
        <f t="shared" si="863"/>
        <v>682.3</v>
      </c>
      <c r="U371" s="306">
        <f t="shared" si="864"/>
        <v>682.3</v>
      </c>
      <c r="V371" s="109">
        <f t="shared" si="865"/>
        <v>677.3</v>
      </c>
      <c r="W371" s="306">
        <f t="shared" si="866"/>
        <v>677.3</v>
      </c>
      <c r="X371" s="191"/>
      <c r="Y371" s="193"/>
      <c r="Z371" s="193"/>
      <c r="AA371" s="191"/>
      <c r="AB371" s="540">
        <v>2272</v>
      </c>
      <c r="AC371" s="69"/>
    </row>
    <row r="372" spans="1:29" ht="12.6" customHeight="1" x14ac:dyDescent="0.2">
      <c r="A372" s="20"/>
      <c r="B372" s="722" t="s">
        <v>266</v>
      </c>
      <c r="C372" s="723"/>
      <c r="D372" s="723"/>
      <c r="E372" s="723"/>
      <c r="F372" s="488">
        <f>0.596*X2</f>
        <v>541.16800000000001</v>
      </c>
      <c r="G372" s="349">
        <f>+F372*$X$1</f>
        <v>541.16800000000001</v>
      </c>
      <c r="H372" s="337"/>
      <c r="I372" s="337"/>
      <c r="J372" s="632"/>
      <c r="K372" s="632"/>
      <c r="L372" s="632">
        <f t="shared" si="855"/>
        <v>611.16800000000001</v>
      </c>
      <c r="M372" s="349">
        <f t="shared" si="856"/>
        <v>611.16800000000001</v>
      </c>
      <c r="N372" s="632">
        <f t="shared" si="857"/>
        <v>583.16800000000001</v>
      </c>
      <c r="O372" s="349">
        <f t="shared" si="858"/>
        <v>583.16800000000001</v>
      </c>
      <c r="P372" s="632">
        <f t="shared" si="859"/>
        <v>579.16800000000001</v>
      </c>
      <c r="Q372" s="349">
        <f t="shared" si="860"/>
        <v>579.16800000000001</v>
      </c>
      <c r="R372" s="632">
        <f t="shared" si="861"/>
        <v>570.16800000000001</v>
      </c>
      <c r="S372" s="349">
        <f t="shared" si="862"/>
        <v>570.16800000000001</v>
      </c>
      <c r="T372" s="108">
        <f t="shared" si="863"/>
        <v>565.16800000000001</v>
      </c>
      <c r="U372" s="374">
        <f t="shared" si="864"/>
        <v>565.16800000000001</v>
      </c>
      <c r="V372" s="108">
        <f t="shared" si="865"/>
        <v>560.16800000000001</v>
      </c>
      <c r="W372" s="374">
        <f t="shared" si="866"/>
        <v>560.16800000000001</v>
      </c>
      <c r="X372" s="191"/>
      <c r="Y372" s="193"/>
      <c r="Z372" s="193"/>
      <c r="AA372" s="191"/>
      <c r="AB372" s="540">
        <v>2275</v>
      </c>
      <c r="AC372" s="69"/>
    </row>
    <row r="373" spans="1:29" ht="12.6" customHeight="1" x14ac:dyDescent="0.2">
      <c r="A373" s="20"/>
      <c r="B373" s="712" t="s">
        <v>737</v>
      </c>
      <c r="C373" s="713"/>
      <c r="D373" s="713"/>
      <c r="E373" s="713"/>
      <c r="F373" s="487">
        <f>0.82*X2</f>
        <v>744.56</v>
      </c>
      <c r="G373" s="348">
        <f t="shared" ref="G373:G374" si="868">+F373*$X$1</f>
        <v>744.56</v>
      </c>
      <c r="H373" s="338"/>
      <c r="I373" s="338"/>
      <c r="J373" s="386"/>
      <c r="K373" s="386"/>
      <c r="L373" s="386">
        <f t="shared" ref="L373:L374" si="869">F373+70</f>
        <v>814.56</v>
      </c>
      <c r="M373" s="348">
        <f t="shared" ref="M373:M374" si="870">+L373*$X$1</f>
        <v>814.56</v>
      </c>
      <c r="N373" s="386">
        <f t="shared" ref="N373:N375" si="871">F373+42</f>
        <v>786.56</v>
      </c>
      <c r="O373" s="348">
        <f t="shared" ref="O373:O375" si="872">+N373*$X$1</f>
        <v>786.56</v>
      </c>
      <c r="P373" s="386">
        <f t="shared" ref="P373:P375" si="873">F373+38</f>
        <v>782.56</v>
      </c>
      <c r="Q373" s="348">
        <f t="shared" ref="Q373:Q375" si="874">+P373*$X$1</f>
        <v>782.56</v>
      </c>
      <c r="R373" s="386">
        <f t="shared" ref="R373:R375" si="875">F373+29</f>
        <v>773.56</v>
      </c>
      <c r="S373" s="348">
        <f t="shared" ref="S373:S375" si="876">+R373*$X$1</f>
        <v>773.56</v>
      </c>
      <c r="T373" s="109">
        <f t="shared" ref="T373:T375" si="877">F373+24</f>
        <v>768.56</v>
      </c>
      <c r="U373" s="306">
        <f t="shared" ref="U373:U375" si="878">+T373*$X$1</f>
        <v>768.56</v>
      </c>
      <c r="V373" s="109">
        <f t="shared" ref="V373:V375" si="879">F373+19</f>
        <v>763.56</v>
      </c>
      <c r="W373" s="306">
        <f t="shared" ref="W373:W375" si="880">+V373*$X$1</f>
        <v>763.56</v>
      </c>
      <c r="X373" s="246"/>
      <c r="Y373" s="247"/>
      <c r="Z373" s="247"/>
      <c r="AA373" s="246"/>
      <c r="AB373" s="540">
        <v>2279</v>
      </c>
      <c r="AC373" s="69"/>
    </row>
    <row r="374" spans="1:29" ht="12.6" customHeight="1" x14ac:dyDescent="0.2">
      <c r="A374" s="20"/>
      <c r="B374" s="722" t="s">
        <v>267</v>
      </c>
      <c r="C374" s="723"/>
      <c r="D374" s="723"/>
      <c r="E374" s="723"/>
      <c r="F374" s="488">
        <f>0.484*X2</f>
        <v>439.47199999999998</v>
      </c>
      <c r="G374" s="349">
        <f t="shared" si="868"/>
        <v>439.47199999999998</v>
      </c>
      <c r="H374" s="337"/>
      <c r="I374" s="337"/>
      <c r="J374" s="632"/>
      <c r="K374" s="632"/>
      <c r="L374" s="632">
        <f t="shared" si="869"/>
        <v>509.47199999999998</v>
      </c>
      <c r="M374" s="349">
        <f t="shared" si="870"/>
        <v>509.47199999999998</v>
      </c>
      <c r="N374" s="632">
        <f t="shared" si="871"/>
        <v>481.47199999999998</v>
      </c>
      <c r="O374" s="349">
        <f t="shared" si="872"/>
        <v>481.47199999999998</v>
      </c>
      <c r="P374" s="632">
        <f t="shared" si="873"/>
        <v>477.47199999999998</v>
      </c>
      <c r="Q374" s="349">
        <f t="shared" si="874"/>
        <v>477.47199999999998</v>
      </c>
      <c r="R374" s="632">
        <f t="shared" si="875"/>
        <v>468.47199999999998</v>
      </c>
      <c r="S374" s="349">
        <f t="shared" si="876"/>
        <v>468.47199999999998</v>
      </c>
      <c r="T374" s="108">
        <f t="shared" si="877"/>
        <v>463.47199999999998</v>
      </c>
      <c r="U374" s="374">
        <f t="shared" si="878"/>
        <v>463.47199999999998</v>
      </c>
      <c r="V374" s="108">
        <f t="shared" si="879"/>
        <v>458.47199999999998</v>
      </c>
      <c r="W374" s="374">
        <f t="shared" si="880"/>
        <v>458.47199999999998</v>
      </c>
      <c r="X374" s="191"/>
      <c r="Y374" s="193"/>
      <c r="Z374" s="193"/>
      <c r="AA374" s="191"/>
      <c r="AB374" s="540">
        <v>2280</v>
      </c>
      <c r="AC374" s="69"/>
    </row>
    <row r="375" spans="1:29" ht="12.6" customHeight="1" x14ac:dyDescent="0.2">
      <c r="A375" s="20"/>
      <c r="B375" s="712" t="s">
        <v>578</v>
      </c>
      <c r="C375" s="713"/>
      <c r="D375" s="713"/>
      <c r="E375" s="713"/>
      <c r="F375" s="487">
        <f>0.55*X2</f>
        <v>499.40000000000003</v>
      </c>
      <c r="G375" s="348">
        <f t="shared" ref="G375:G377" si="881">+F375*$X$1</f>
        <v>499.40000000000003</v>
      </c>
      <c r="H375" s="338"/>
      <c r="I375" s="338"/>
      <c r="J375" s="386"/>
      <c r="K375" s="386"/>
      <c r="L375" s="386"/>
      <c r="M375" s="348"/>
      <c r="N375" s="386">
        <f t="shared" si="871"/>
        <v>541.40000000000009</v>
      </c>
      <c r="O375" s="348">
        <f t="shared" si="872"/>
        <v>541.40000000000009</v>
      </c>
      <c r="P375" s="386">
        <f t="shared" si="873"/>
        <v>537.40000000000009</v>
      </c>
      <c r="Q375" s="348">
        <f t="shared" si="874"/>
        <v>537.40000000000009</v>
      </c>
      <c r="R375" s="386">
        <f t="shared" si="875"/>
        <v>528.40000000000009</v>
      </c>
      <c r="S375" s="348">
        <f t="shared" si="876"/>
        <v>528.40000000000009</v>
      </c>
      <c r="T375" s="109">
        <f t="shared" si="877"/>
        <v>523.40000000000009</v>
      </c>
      <c r="U375" s="306">
        <f t="shared" si="878"/>
        <v>523.40000000000009</v>
      </c>
      <c r="V375" s="109">
        <f t="shared" si="879"/>
        <v>518.40000000000009</v>
      </c>
      <c r="W375" s="306">
        <f t="shared" si="880"/>
        <v>518.40000000000009</v>
      </c>
      <c r="X375" s="191"/>
      <c r="Y375" s="193"/>
      <c r="Z375" s="193"/>
      <c r="AA375" s="191"/>
      <c r="AB375" s="540">
        <v>2281</v>
      </c>
      <c r="AC375" s="69"/>
    </row>
    <row r="376" spans="1:29" ht="12.6" customHeight="1" x14ac:dyDescent="0.2">
      <c r="A376" s="20"/>
      <c r="B376" s="722" t="s">
        <v>393</v>
      </c>
      <c r="C376" s="723"/>
      <c r="D376" s="723"/>
      <c r="E376" s="723"/>
      <c r="F376" s="488">
        <f>0.745*X2</f>
        <v>676.46</v>
      </c>
      <c r="G376" s="349">
        <f t="shared" si="881"/>
        <v>676.46</v>
      </c>
      <c r="H376" s="337"/>
      <c r="I376" s="337"/>
      <c r="J376" s="632"/>
      <c r="K376" s="632"/>
      <c r="L376" s="632">
        <f t="shared" ref="L376:L388" si="882">F376+70</f>
        <v>746.46</v>
      </c>
      <c r="M376" s="349">
        <f t="shared" ref="M376:M388" si="883">+L376*$X$1</f>
        <v>746.46</v>
      </c>
      <c r="N376" s="632">
        <f t="shared" ref="N376:N388" si="884">F376+42</f>
        <v>718.46</v>
      </c>
      <c r="O376" s="349">
        <f t="shared" ref="O376:O388" si="885">+N376*$X$1</f>
        <v>718.46</v>
      </c>
      <c r="P376" s="632">
        <f t="shared" ref="P376:P388" si="886">F376+38</f>
        <v>714.46</v>
      </c>
      <c r="Q376" s="349">
        <f t="shared" ref="Q376:Q388" si="887">+P376*$X$1</f>
        <v>714.46</v>
      </c>
      <c r="R376" s="632">
        <f t="shared" ref="R376:R388" si="888">F376+29</f>
        <v>705.46</v>
      </c>
      <c r="S376" s="349">
        <f t="shared" ref="S376:S388" si="889">+R376*$X$1</f>
        <v>705.46</v>
      </c>
      <c r="T376" s="108">
        <f t="shared" ref="T376:T388" si="890">F376+24</f>
        <v>700.46</v>
      </c>
      <c r="U376" s="374">
        <f t="shared" ref="U376:U388" si="891">+T376*$X$1</f>
        <v>700.46</v>
      </c>
      <c r="V376" s="108">
        <f t="shared" ref="V376:V388" si="892">F376+19</f>
        <v>695.46</v>
      </c>
      <c r="W376" s="374">
        <f t="shared" ref="W376:W388" si="893">+V376*$X$1</f>
        <v>695.46</v>
      </c>
      <c r="X376" s="204"/>
      <c r="Y376" s="203"/>
      <c r="Z376" s="203"/>
      <c r="AA376" s="204"/>
      <c r="AB376" s="540">
        <v>2285</v>
      </c>
      <c r="AC376" s="69"/>
    </row>
    <row r="377" spans="1:29" ht="12.6" customHeight="1" x14ac:dyDescent="0.2">
      <c r="A377" s="20"/>
      <c r="B377" s="712" t="s">
        <v>394</v>
      </c>
      <c r="C377" s="713"/>
      <c r="D377" s="713"/>
      <c r="E377" s="713"/>
      <c r="F377" s="487">
        <f>0.373*X2</f>
        <v>338.68400000000003</v>
      </c>
      <c r="G377" s="348">
        <f t="shared" si="881"/>
        <v>338.68400000000003</v>
      </c>
      <c r="H377" s="338"/>
      <c r="I377" s="338"/>
      <c r="J377" s="386"/>
      <c r="K377" s="386"/>
      <c r="L377" s="386">
        <f t="shared" si="882"/>
        <v>408.68400000000003</v>
      </c>
      <c r="M377" s="348">
        <f t="shared" si="883"/>
        <v>408.68400000000003</v>
      </c>
      <c r="N377" s="386">
        <f t="shared" si="884"/>
        <v>380.68400000000003</v>
      </c>
      <c r="O377" s="348">
        <f t="shared" si="885"/>
        <v>380.68400000000003</v>
      </c>
      <c r="P377" s="386">
        <f t="shared" si="886"/>
        <v>376.68400000000003</v>
      </c>
      <c r="Q377" s="348">
        <f t="shared" si="887"/>
        <v>376.68400000000003</v>
      </c>
      <c r="R377" s="386">
        <f t="shared" si="888"/>
        <v>367.68400000000003</v>
      </c>
      <c r="S377" s="348">
        <f t="shared" si="889"/>
        <v>367.68400000000003</v>
      </c>
      <c r="T377" s="109">
        <f t="shared" si="890"/>
        <v>362.68400000000003</v>
      </c>
      <c r="U377" s="306">
        <f t="shared" si="891"/>
        <v>362.68400000000003</v>
      </c>
      <c r="V377" s="109">
        <f t="shared" si="892"/>
        <v>357.68400000000003</v>
      </c>
      <c r="W377" s="306">
        <f t="shared" si="893"/>
        <v>357.68400000000003</v>
      </c>
      <c r="X377" s="205"/>
      <c r="Y377" s="206"/>
      <c r="Z377" s="206"/>
      <c r="AA377" s="205"/>
      <c r="AB377" s="540">
        <v>2286</v>
      </c>
      <c r="AC377" s="69"/>
    </row>
    <row r="378" spans="1:29" ht="12.6" customHeight="1" x14ac:dyDescent="0.2">
      <c r="A378" s="20"/>
      <c r="B378" s="914" t="s">
        <v>443</v>
      </c>
      <c r="C378" s="915"/>
      <c r="D378" s="915"/>
      <c r="E378" s="915"/>
      <c r="F378" s="492">
        <f>0.521*X2</f>
        <v>473.06800000000004</v>
      </c>
      <c r="G378" s="391">
        <f t="shared" ref="G378:G380" si="894">+F378*$X$1</f>
        <v>473.06800000000004</v>
      </c>
      <c r="H378" s="366"/>
      <c r="I378" s="366"/>
      <c r="J378" s="108"/>
      <c r="K378" s="108"/>
      <c r="L378" s="632">
        <f t="shared" si="882"/>
        <v>543.06799999999998</v>
      </c>
      <c r="M378" s="349">
        <f t="shared" si="883"/>
        <v>543.06799999999998</v>
      </c>
      <c r="N378" s="632">
        <f t="shared" si="884"/>
        <v>515.06799999999998</v>
      </c>
      <c r="O378" s="349">
        <f t="shared" si="885"/>
        <v>515.06799999999998</v>
      </c>
      <c r="P378" s="632">
        <f t="shared" si="886"/>
        <v>511.06800000000004</v>
      </c>
      <c r="Q378" s="349">
        <f t="shared" si="887"/>
        <v>511.06800000000004</v>
      </c>
      <c r="R378" s="632">
        <f t="shared" si="888"/>
        <v>502.06800000000004</v>
      </c>
      <c r="S378" s="349">
        <f t="shared" si="889"/>
        <v>502.06800000000004</v>
      </c>
      <c r="T378" s="108">
        <f t="shared" si="890"/>
        <v>497.06800000000004</v>
      </c>
      <c r="U378" s="374">
        <f t="shared" si="891"/>
        <v>497.06800000000004</v>
      </c>
      <c r="V378" s="108">
        <f t="shared" si="892"/>
        <v>492.06800000000004</v>
      </c>
      <c r="W378" s="374">
        <f t="shared" si="893"/>
        <v>492.06800000000004</v>
      </c>
      <c r="X378" s="240"/>
      <c r="Y378" s="239"/>
      <c r="Z378" s="239"/>
      <c r="AA378" s="240"/>
      <c r="AB378" s="540">
        <v>2287</v>
      </c>
      <c r="AC378" s="69"/>
    </row>
    <row r="379" spans="1:29" ht="12.6" customHeight="1" x14ac:dyDescent="0.2">
      <c r="A379" s="20"/>
      <c r="B379" s="925" t="s">
        <v>455</v>
      </c>
      <c r="C379" s="926"/>
      <c r="D379" s="926"/>
      <c r="E379" s="927"/>
      <c r="F379" s="487">
        <f>1.19*X2</f>
        <v>1080.52</v>
      </c>
      <c r="G379" s="348">
        <f t="shared" si="894"/>
        <v>1080.52</v>
      </c>
      <c r="H379" s="338"/>
      <c r="I379" s="338"/>
      <c r="J379" s="386"/>
      <c r="K379" s="386"/>
      <c r="L379" s="386">
        <f t="shared" si="882"/>
        <v>1150.52</v>
      </c>
      <c r="M379" s="348">
        <f t="shared" si="883"/>
        <v>1150.52</v>
      </c>
      <c r="N379" s="386">
        <f t="shared" si="884"/>
        <v>1122.52</v>
      </c>
      <c r="O379" s="348">
        <f t="shared" si="885"/>
        <v>1122.52</v>
      </c>
      <c r="P379" s="386">
        <f t="shared" si="886"/>
        <v>1118.52</v>
      </c>
      <c r="Q379" s="348">
        <f t="shared" si="887"/>
        <v>1118.52</v>
      </c>
      <c r="R379" s="386">
        <f t="shared" si="888"/>
        <v>1109.52</v>
      </c>
      <c r="S379" s="348">
        <f t="shared" si="889"/>
        <v>1109.52</v>
      </c>
      <c r="T379" s="109">
        <f t="shared" si="890"/>
        <v>1104.52</v>
      </c>
      <c r="U379" s="306">
        <f t="shared" si="891"/>
        <v>1104.52</v>
      </c>
      <c r="V379" s="109">
        <f t="shared" si="892"/>
        <v>1099.52</v>
      </c>
      <c r="W379" s="306">
        <f t="shared" si="893"/>
        <v>1099.52</v>
      </c>
      <c r="X379" s="242"/>
      <c r="Y379" s="243"/>
      <c r="Z379" s="243"/>
      <c r="AA379" s="242"/>
      <c r="AB379" s="540">
        <v>2289</v>
      </c>
      <c r="AC379" s="69"/>
    </row>
    <row r="380" spans="1:29" ht="12.6" customHeight="1" x14ac:dyDescent="0.2">
      <c r="A380" s="20"/>
      <c r="B380" s="735" t="s">
        <v>840</v>
      </c>
      <c r="C380" s="736"/>
      <c r="D380" s="736"/>
      <c r="E380" s="737"/>
      <c r="F380" s="492">
        <f>0.863*X2</f>
        <v>783.60400000000004</v>
      </c>
      <c r="G380" s="349">
        <f t="shared" si="894"/>
        <v>783.60400000000004</v>
      </c>
      <c r="H380" s="337"/>
      <c r="I380" s="337"/>
      <c r="J380" s="632"/>
      <c r="K380" s="632"/>
      <c r="L380" s="632">
        <f t="shared" ref="L380" si="895">F380+70</f>
        <v>853.60400000000004</v>
      </c>
      <c r="M380" s="349">
        <f t="shared" ref="M380" si="896">+L380*$X$1</f>
        <v>853.60400000000004</v>
      </c>
      <c r="N380" s="632">
        <f t="shared" ref="N380" si="897">F380+42</f>
        <v>825.60400000000004</v>
      </c>
      <c r="O380" s="349">
        <f t="shared" ref="O380" si="898">+N380*$X$1</f>
        <v>825.60400000000004</v>
      </c>
      <c r="P380" s="632">
        <f t="shared" ref="P380" si="899">F380+38</f>
        <v>821.60400000000004</v>
      </c>
      <c r="Q380" s="349">
        <f t="shared" ref="Q380" si="900">+P380*$X$1</f>
        <v>821.60400000000004</v>
      </c>
      <c r="R380" s="632">
        <f t="shared" ref="R380" si="901">F380+29</f>
        <v>812.60400000000004</v>
      </c>
      <c r="S380" s="349">
        <f t="shared" ref="S380" si="902">+R380*$X$1</f>
        <v>812.60400000000004</v>
      </c>
      <c r="T380" s="108">
        <f t="shared" ref="T380" si="903">F380+24</f>
        <v>807.60400000000004</v>
      </c>
      <c r="U380" s="374">
        <f t="shared" ref="U380" si="904">+T380*$X$1</f>
        <v>807.60400000000004</v>
      </c>
      <c r="V380" s="108">
        <f t="shared" ref="V380" si="905">F380+19</f>
        <v>802.60400000000004</v>
      </c>
      <c r="W380" s="374">
        <f t="shared" ref="W380" si="906">+V380*$X$1</f>
        <v>802.60400000000004</v>
      </c>
      <c r="X380" s="616"/>
      <c r="Y380" s="617"/>
      <c r="Z380" s="617"/>
      <c r="AA380" s="616"/>
      <c r="AB380" s="540">
        <v>2290</v>
      </c>
      <c r="AC380" s="69"/>
    </row>
    <row r="381" spans="1:29" ht="12.6" customHeight="1" x14ac:dyDescent="0.2">
      <c r="A381" s="20"/>
      <c r="B381" s="751" t="s">
        <v>576</v>
      </c>
      <c r="C381" s="778"/>
      <c r="D381" s="778"/>
      <c r="E381" s="779"/>
      <c r="F381" s="493">
        <f>0.546*X2</f>
        <v>495.76800000000003</v>
      </c>
      <c r="G381" s="348">
        <f t="shared" ref="G381" si="907">+F381*$X$1</f>
        <v>495.76800000000003</v>
      </c>
      <c r="H381" s="338"/>
      <c r="I381" s="338"/>
      <c r="J381" s="386"/>
      <c r="K381" s="386"/>
      <c r="L381" s="386">
        <f t="shared" si="882"/>
        <v>565.76800000000003</v>
      </c>
      <c r="M381" s="348">
        <f t="shared" si="883"/>
        <v>565.76800000000003</v>
      </c>
      <c r="N381" s="386">
        <f t="shared" si="884"/>
        <v>537.76800000000003</v>
      </c>
      <c r="O381" s="348">
        <f t="shared" si="885"/>
        <v>537.76800000000003</v>
      </c>
      <c r="P381" s="386">
        <f t="shared" si="886"/>
        <v>533.76800000000003</v>
      </c>
      <c r="Q381" s="348">
        <f t="shared" si="887"/>
        <v>533.76800000000003</v>
      </c>
      <c r="R381" s="386">
        <f t="shared" si="888"/>
        <v>524.76800000000003</v>
      </c>
      <c r="S381" s="348">
        <f t="shared" si="889"/>
        <v>524.76800000000003</v>
      </c>
      <c r="T381" s="109">
        <f t="shared" si="890"/>
        <v>519.76800000000003</v>
      </c>
      <c r="U381" s="306">
        <f t="shared" si="891"/>
        <v>519.76800000000003</v>
      </c>
      <c r="V381" s="109">
        <f t="shared" si="892"/>
        <v>514.76800000000003</v>
      </c>
      <c r="W381" s="306">
        <f t="shared" si="893"/>
        <v>514.76800000000003</v>
      </c>
      <c r="X381" s="289"/>
      <c r="Y381" s="293"/>
      <c r="Z381" s="293"/>
      <c r="AA381" s="289"/>
      <c r="AB381" s="540">
        <v>2291</v>
      </c>
      <c r="AC381" s="69"/>
    </row>
    <row r="382" spans="1:29" ht="12.6" customHeight="1" x14ac:dyDescent="0.2">
      <c r="A382" s="20"/>
      <c r="B382" s="732" t="s">
        <v>738</v>
      </c>
      <c r="C382" s="776"/>
      <c r="D382" s="776"/>
      <c r="E382" s="777"/>
      <c r="F382" s="492">
        <f>0.549*X2</f>
        <v>498.49200000000002</v>
      </c>
      <c r="G382" s="349">
        <f t="shared" ref="G382" si="908">+F382*$X$1</f>
        <v>498.49200000000002</v>
      </c>
      <c r="H382" s="337"/>
      <c r="I382" s="337"/>
      <c r="J382" s="632"/>
      <c r="K382" s="632"/>
      <c r="L382" s="632">
        <f t="shared" si="882"/>
        <v>568.49199999999996</v>
      </c>
      <c r="M382" s="349">
        <f t="shared" si="883"/>
        <v>568.49199999999996</v>
      </c>
      <c r="N382" s="632">
        <f t="shared" si="884"/>
        <v>540.49199999999996</v>
      </c>
      <c r="O382" s="349">
        <f t="shared" si="885"/>
        <v>540.49199999999996</v>
      </c>
      <c r="P382" s="632">
        <f t="shared" si="886"/>
        <v>536.49199999999996</v>
      </c>
      <c r="Q382" s="349">
        <f t="shared" si="887"/>
        <v>536.49199999999996</v>
      </c>
      <c r="R382" s="632">
        <f t="shared" si="888"/>
        <v>527.49199999999996</v>
      </c>
      <c r="S382" s="349">
        <f t="shared" si="889"/>
        <v>527.49199999999996</v>
      </c>
      <c r="T382" s="108">
        <f t="shared" si="890"/>
        <v>522.49199999999996</v>
      </c>
      <c r="U382" s="374">
        <f t="shared" si="891"/>
        <v>522.49199999999996</v>
      </c>
      <c r="V382" s="108">
        <f t="shared" si="892"/>
        <v>517.49199999999996</v>
      </c>
      <c r="W382" s="374">
        <f t="shared" si="893"/>
        <v>517.49199999999996</v>
      </c>
      <c r="X382" s="304"/>
      <c r="Y382" s="305"/>
      <c r="Z382" s="305"/>
      <c r="AA382" s="304"/>
      <c r="AB382" s="540">
        <v>2292</v>
      </c>
      <c r="AC382" s="69"/>
    </row>
    <row r="383" spans="1:29" ht="12.6" customHeight="1" x14ac:dyDescent="0.2">
      <c r="A383" s="20"/>
      <c r="B383" s="751" t="s">
        <v>599</v>
      </c>
      <c r="C383" s="778"/>
      <c r="D383" s="778"/>
      <c r="E383" s="779"/>
      <c r="F383" s="493">
        <f>1.287*X2</f>
        <v>1168.596</v>
      </c>
      <c r="G383" s="348">
        <f t="shared" ref="G383" si="909">+F383*$X$1</f>
        <v>1168.596</v>
      </c>
      <c r="H383" s="338"/>
      <c r="I383" s="338"/>
      <c r="J383" s="386"/>
      <c r="K383" s="386"/>
      <c r="L383" s="386">
        <f t="shared" si="882"/>
        <v>1238.596</v>
      </c>
      <c r="M383" s="348">
        <f t="shared" si="883"/>
        <v>1238.596</v>
      </c>
      <c r="N383" s="386">
        <f t="shared" si="884"/>
        <v>1210.596</v>
      </c>
      <c r="O383" s="348">
        <f t="shared" si="885"/>
        <v>1210.596</v>
      </c>
      <c r="P383" s="386">
        <f t="shared" si="886"/>
        <v>1206.596</v>
      </c>
      <c r="Q383" s="348">
        <f t="shared" si="887"/>
        <v>1206.596</v>
      </c>
      <c r="R383" s="386">
        <f t="shared" si="888"/>
        <v>1197.596</v>
      </c>
      <c r="S383" s="348">
        <f t="shared" si="889"/>
        <v>1197.596</v>
      </c>
      <c r="T383" s="109">
        <f t="shared" si="890"/>
        <v>1192.596</v>
      </c>
      <c r="U383" s="306">
        <f t="shared" si="891"/>
        <v>1192.596</v>
      </c>
      <c r="V383" s="109">
        <f t="shared" si="892"/>
        <v>1187.596</v>
      </c>
      <c r="W383" s="306">
        <f t="shared" si="893"/>
        <v>1187.596</v>
      </c>
      <c r="X383" s="308"/>
      <c r="Y383" s="309"/>
      <c r="Z383" s="309"/>
      <c r="AA383" s="308"/>
      <c r="AB383" s="540">
        <v>2293</v>
      </c>
      <c r="AC383" s="69"/>
    </row>
    <row r="384" spans="1:29" ht="12.6" customHeight="1" x14ac:dyDescent="0.2">
      <c r="A384" s="20"/>
      <c r="B384" s="732" t="s">
        <v>669</v>
      </c>
      <c r="C384" s="776"/>
      <c r="D384" s="776"/>
      <c r="E384" s="777"/>
      <c r="F384" s="512">
        <v>440</v>
      </c>
      <c r="G384" s="349">
        <f t="shared" ref="G384" si="910">+F384*$X$1</f>
        <v>440</v>
      </c>
      <c r="H384" s="337"/>
      <c r="I384" s="337"/>
      <c r="J384" s="632"/>
      <c r="K384" s="632"/>
      <c r="L384" s="632">
        <f t="shared" si="882"/>
        <v>510</v>
      </c>
      <c r="M384" s="349">
        <f t="shared" si="883"/>
        <v>510</v>
      </c>
      <c r="N384" s="632">
        <f t="shared" si="884"/>
        <v>482</v>
      </c>
      <c r="O384" s="349">
        <f t="shared" si="885"/>
        <v>482</v>
      </c>
      <c r="P384" s="632">
        <f t="shared" si="886"/>
        <v>478</v>
      </c>
      <c r="Q384" s="349">
        <f t="shared" si="887"/>
        <v>478</v>
      </c>
      <c r="R384" s="632">
        <f t="shared" si="888"/>
        <v>469</v>
      </c>
      <c r="S384" s="349">
        <f t="shared" si="889"/>
        <v>469</v>
      </c>
      <c r="T384" s="108">
        <f t="shared" si="890"/>
        <v>464</v>
      </c>
      <c r="U384" s="374">
        <f t="shared" si="891"/>
        <v>464</v>
      </c>
      <c r="V384" s="108">
        <f t="shared" si="892"/>
        <v>459</v>
      </c>
      <c r="W384" s="374">
        <f t="shared" si="893"/>
        <v>459</v>
      </c>
      <c r="X384" s="401"/>
      <c r="Y384" s="402"/>
      <c r="Z384" s="402"/>
      <c r="AA384" s="401"/>
      <c r="AB384" s="540">
        <v>2294</v>
      </c>
      <c r="AC384" s="69"/>
    </row>
    <row r="385" spans="1:34" ht="12.6" customHeight="1" x14ac:dyDescent="0.2">
      <c r="A385" s="20"/>
      <c r="B385" s="751" t="s">
        <v>530</v>
      </c>
      <c r="C385" s="778"/>
      <c r="D385" s="778"/>
      <c r="E385" s="779"/>
      <c r="F385" s="493">
        <f>0.783*X2</f>
        <v>710.96400000000006</v>
      </c>
      <c r="G385" s="348">
        <f t="shared" ref="G385" si="911">+F385*$X$1</f>
        <v>710.96400000000006</v>
      </c>
      <c r="H385" s="338"/>
      <c r="I385" s="338"/>
      <c r="J385" s="386"/>
      <c r="K385" s="386"/>
      <c r="L385" s="386">
        <f t="shared" si="882"/>
        <v>780.96400000000006</v>
      </c>
      <c r="M385" s="348">
        <f t="shared" si="883"/>
        <v>780.96400000000006</v>
      </c>
      <c r="N385" s="386">
        <f t="shared" si="884"/>
        <v>752.96400000000006</v>
      </c>
      <c r="O385" s="348">
        <f t="shared" si="885"/>
        <v>752.96400000000006</v>
      </c>
      <c r="P385" s="386">
        <f t="shared" si="886"/>
        <v>748.96400000000006</v>
      </c>
      <c r="Q385" s="348">
        <f t="shared" si="887"/>
        <v>748.96400000000006</v>
      </c>
      <c r="R385" s="386">
        <f t="shared" si="888"/>
        <v>739.96400000000006</v>
      </c>
      <c r="S385" s="348">
        <f t="shared" si="889"/>
        <v>739.96400000000006</v>
      </c>
      <c r="T385" s="109">
        <f t="shared" si="890"/>
        <v>734.96400000000006</v>
      </c>
      <c r="U385" s="306">
        <f t="shared" si="891"/>
        <v>734.96400000000006</v>
      </c>
      <c r="V385" s="109">
        <f t="shared" si="892"/>
        <v>729.96400000000006</v>
      </c>
      <c r="W385" s="306">
        <f t="shared" si="893"/>
        <v>729.96400000000006</v>
      </c>
      <c r="X385" s="244"/>
      <c r="Y385" s="245"/>
      <c r="Z385" s="245"/>
      <c r="AA385" s="244"/>
      <c r="AB385" s="540">
        <v>2295</v>
      </c>
      <c r="AC385" s="69"/>
    </row>
    <row r="386" spans="1:34" ht="12.6" customHeight="1" x14ac:dyDescent="0.2">
      <c r="A386" s="20"/>
      <c r="B386" s="726" t="s">
        <v>458</v>
      </c>
      <c r="C386" s="727"/>
      <c r="D386" s="727"/>
      <c r="E386" s="728"/>
      <c r="F386" s="603">
        <f>0.52*X2</f>
        <v>472.16</v>
      </c>
      <c r="G386" s="414">
        <f t="shared" ref="G386" si="912">+F386*$X$1</f>
        <v>472.16</v>
      </c>
      <c r="H386" s="345"/>
      <c r="I386" s="345"/>
      <c r="J386" s="608"/>
      <c r="K386" s="608"/>
      <c r="L386" s="608">
        <f t="shared" si="882"/>
        <v>542.16000000000008</v>
      </c>
      <c r="M386" s="414">
        <f t="shared" si="883"/>
        <v>542.16000000000008</v>
      </c>
      <c r="N386" s="608">
        <f t="shared" si="884"/>
        <v>514.16000000000008</v>
      </c>
      <c r="O386" s="414">
        <f t="shared" si="885"/>
        <v>514.16000000000008</v>
      </c>
      <c r="P386" s="608">
        <f t="shared" si="886"/>
        <v>510.16</v>
      </c>
      <c r="Q386" s="414">
        <f t="shared" si="887"/>
        <v>510.16</v>
      </c>
      <c r="R386" s="608">
        <f t="shared" si="888"/>
        <v>501.16</v>
      </c>
      <c r="S386" s="414">
        <f t="shared" si="889"/>
        <v>501.16</v>
      </c>
      <c r="T386" s="123">
        <f t="shared" si="890"/>
        <v>496.16</v>
      </c>
      <c r="U386" s="485">
        <f t="shared" si="891"/>
        <v>496.16</v>
      </c>
      <c r="V386" s="123">
        <f t="shared" si="892"/>
        <v>491.16</v>
      </c>
      <c r="W386" s="485">
        <f t="shared" si="893"/>
        <v>491.16</v>
      </c>
      <c r="X386" s="244"/>
      <c r="Y386" s="245"/>
      <c r="Z386" s="245"/>
      <c r="AA386" s="244"/>
      <c r="AB386" s="540">
        <v>2296</v>
      </c>
      <c r="AC386" s="69"/>
    </row>
    <row r="387" spans="1:34" ht="12.6" customHeight="1" x14ac:dyDescent="0.2">
      <c r="A387" s="20"/>
      <c r="B387" s="751" t="s">
        <v>500</v>
      </c>
      <c r="C387" s="778"/>
      <c r="D387" s="778"/>
      <c r="E387" s="779"/>
      <c r="F387" s="493">
        <f>0.627*X2</f>
        <v>569.31600000000003</v>
      </c>
      <c r="G387" s="348">
        <f t="shared" ref="G387" si="913">+F387*$X$1</f>
        <v>569.31600000000003</v>
      </c>
      <c r="H387" s="338"/>
      <c r="I387" s="338"/>
      <c r="J387" s="386"/>
      <c r="K387" s="386"/>
      <c r="L387" s="386">
        <f t="shared" si="882"/>
        <v>639.31600000000003</v>
      </c>
      <c r="M387" s="348">
        <f t="shared" si="883"/>
        <v>639.31600000000003</v>
      </c>
      <c r="N387" s="386">
        <f t="shared" si="884"/>
        <v>611.31600000000003</v>
      </c>
      <c r="O387" s="348">
        <f t="shared" si="885"/>
        <v>611.31600000000003</v>
      </c>
      <c r="P387" s="386"/>
      <c r="Q387" s="348"/>
      <c r="R387" s="386"/>
      <c r="S387" s="348"/>
      <c r="T387" s="109"/>
      <c r="U387" s="306"/>
      <c r="V387" s="109"/>
      <c r="W387" s="306"/>
      <c r="X387" s="263"/>
      <c r="Y387" s="262"/>
      <c r="Z387" s="262"/>
      <c r="AA387" s="263"/>
      <c r="AB387" s="540">
        <v>2298</v>
      </c>
      <c r="AC387" s="69"/>
    </row>
    <row r="388" spans="1:34" ht="12.6" customHeight="1" x14ac:dyDescent="0.2">
      <c r="A388" s="20"/>
      <c r="B388" s="732" t="s">
        <v>649</v>
      </c>
      <c r="C388" s="776"/>
      <c r="D388" s="776"/>
      <c r="E388" s="777"/>
      <c r="F388" s="492">
        <f>0.686*X2</f>
        <v>622.88800000000003</v>
      </c>
      <c r="G388" s="349">
        <f t="shared" ref="G388" si="914">+F388*$X$1</f>
        <v>622.88800000000003</v>
      </c>
      <c r="H388" s="337"/>
      <c r="I388" s="337"/>
      <c r="J388" s="632"/>
      <c r="K388" s="349"/>
      <c r="L388" s="632">
        <f t="shared" si="882"/>
        <v>692.88800000000003</v>
      </c>
      <c r="M388" s="349">
        <f t="shared" si="883"/>
        <v>692.88800000000003</v>
      </c>
      <c r="N388" s="632">
        <f t="shared" si="884"/>
        <v>664.88800000000003</v>
      </c>
      <c r="O388" s="349">
        <f t="shared" si="885"/>
        <v>664.88800000000003</v>
      </c>
      <c r="P388" s="632">
        <f t="shared" si="886"/>
        <v>660.88800000000003</v>
      </c>
      <c r="Q388" s="349">
        <f t="shared" si="887"/>
        <v>660.88800000000003</v>
      </c>
      <c r="R388" s="632">
        <f t="shared" si="888"/>
        <v>651.88800000000003</v>
      </c>
      <c r="S388" s="349">
        <f t="shared" si="889"/>
        <v>651.88800000000003</v>
      </c>
      <c r="T388" s="108">
        <f t="shared" si="890"/>
        <v>646.88800000000003</v>
      </c>
      <c r="U388" s="374">
        <f t="shared" si="891"/>
        <v>646.88800000000003</v>
      </c>
      <c r="V388" s="108">
        <f t="shared" si="892"/>
        <v>641.88800000000003</v>
      </c>
      <c r="W388" s="374">
        <f t="shared" si="893"/>
        <v>641.88800000000003</v>
      </c>
      <c r="X388" s="383"/>
      <c r="Y388" s="384"/>
      <c r="Z388" s="384"/>
      <c r="AA388" s="383"/>
      <c r="AB388" s="540">
        <v>2299</v>
      </c>
      <c r="AC388" s="69"/>
    </row>
    <row r="389" spans="1:34" ht="12.6" customHeight="1" x14ac:dyDescent="0.2">
      <c r="A389" s="20"/>
      <c r="B389" s="712" t="s">
        <v>268</v>
      </c>
      <c r="C389" s="765"/>
      <c r="D389" s="765"/>
      <c r="E389" s="765"/>
      <c r="F389" s="487">
        <f>2.719*X2</f>
        <v>2468.8519999999999</v>
      </c>
      <c r="G389" s="348">
        <f t="shared" ref="G389:G390" si="915">+F389*$X$1</f>
        <v>2468.8519999999999</v>
      </c>
      <c r="H389" s="386">
        <f t="shared" ref="H389:H393" si="916">F389+250</f>
        <v>2718.8519999999999</v>
      </c>
      <c r="I389" s="348">
        <f t="shared" ref="I389:I393" si="917">+H389*$X$1</f>
        <v>2718.8519999999999</v>
      </c>
      <c r="J389" s="386">
        <f t="shared" ref="J389:J393" si="918">F389+80</f>
        <v>2548.8519999999999</v>
      </c>
      <c r="K389" s="348">
        <f t="shared" ref="K389" si="919">+J389*$X$1</f>
        <v>2548.8519999999999</v>
      </c>
      <c r="L389" s="386">
        <f t="shared" ref="L389:L393" si="920">F389+60</f>
        <v>2528.8519999999999</v>
      </c>
      <c r="M389" s="348">
        <f t="shared" ref="M389" si="921">+L389*$X$1</f>
        <v>2528.8519999999999</v>
      </c>
      <c r="N389" s="386"/>
      <c r="O389" s="348"/>
      <c r="P389" s="386"/>
      <c r="Q389" s="348"/>
      <c r="R389" s="386"/>
      <c r="S389" s="348"/>
      <c r="T389" s="386"/>
      <c r="U389" s="348"/>
      <c r="V389" s="386"/>
      <c r="W389" s="348"/>
      <c r="X389" s="708"/>
      <c r="Y389" s="709"/>
      <c r="Z389" s="709"/>
      <c r="AA389" s="710"/>
      <c r="AB389" s="540">
        <v>2321</v>
      </c>
      <c r="AC389" s="69"/>
    </row>
    <row r="390" spans="1:34" ht="12.6" customHeight="1" x14ac:dyDescent="0.2">
      <c r="A390" s="20"/>
      <c r="B390" s="722" t="s">
        <v>517</v>
      </c>
      <c r="C390" s="764"/>
      <c r="D390" s="764"/>
      <c r="E390" s="764"/>
      <c r="F390" s="488">
        <f>1.57*X2</f>
        <v>1425.56</v>
      </c>
      <c r="G390" s="349">
        <f t="shared" si="915"/>
        <v>1425.56</v>
      </c>
      <c r="H390" s="632">
        <f t="shared" si="916"/>
        <v>1675.56</v>
      </c>
      <c r="I390" s="349">
        <f t="shared" si="917"/>
        <v>1675.56</v>
      </c>
      <c r="J390" s="632">
        <f t="shared" si="918"/>
        <v>1505.56</v>
      </c>
      <c r="K390" s="349">
        <f t="shared" ref="K390" si="922">+J390*$X$1</f>
        <v>1505.56</v>
      </c>
      <c r="L390" s="632">
        <f t="shared" si="920"/>
        <v>1485.56</v>
      </c>
      <c r="M390" s="349">
        <f t="shared" ref="M390" si="923">+L390*$X$1</f>
        <v>1485.56</v>
      </c>
      <c r="N390" s="632">
        <f>F390+40</f>
        <v>1465.56</v>
      </c>
      <c r="O390" s="349">
        <f t="shared" ref="O390" si="924">+N390*$X$1</f>
        <v>1465.56</v>
      </c>
      <c r="P390" s="632">
        <f>F390+37</f>
        <v>1462.56</v>
      </c>
      <c r="Q390" s="349">
        <f t="shared" ref="Q390" si="925">+P390*$X$1</f>
        <v>1462.56</v>
      </c>
      <c r="R390" s="632">
        <f>F390+33</f>
        <v>1458.56</v>
      </c>
      <c r="S390" s="349">
        <f t="shared" ref="S390" si="926">+R390*$X$1</f>
        <v>1458.56</v>
      </c>
      <c r="T390" s="632">
        <f>F390+29</f>
        <v>1454.56</v>
      </c>
      <c r="U390" s="349">
        <f t="shared" ref="U390" si="927">+T390*$X$1</f>
        <v>1454.56</v>
      </c>
      <c r="V390" s="632">
        <f>F390+25</f>
        <v>1450.56</v>
      </c>
      <c r="W390" s="349">
        <f t="shared" ref="W390" si="928">+V390*$X$1</f>
        <v>1450.56</v>
      </c>
      <c r="X390" s="708"/>
      <c r="Y390" s="709"/>
      <c r="Z390" s="709"/>
      <c r="AA390" s="710"/>
      <c r="AB390" s="540">
        <v>2322</v>
      </c>
      <c r="AC390" s="69"/>
    </row>
    <row r="391" spans="1:34" ht="12.6" customHeight="1" x14ac:dyDescent="0.2">
      <c r="A391" s="20"/>
      <c r="B391" s="716" t="s">
        <v>269</v>
      </c>
      <c r="C391" s="766"/>
      <c r="D391" s="766"/>
      <c r="E391" s="767"/>
      <c r="F391" s="487">
        <f>3.407*X2</f>
        <v>3093.556</v>
      </c>
      <c r="G391" s="348">
        <f>+F391*$X$1</f>
        <v>3093.556</v>
      </c>
      <c r="H391" s="386">
        <f t="shared" si="916"/>
        <v>3343.556</v>
      </c>
      <c r="I391" s="348">
        <f t="shared" si="917"/>
        <v>3343.556</v>
      </c>
      <c r="J391" s="386">
        <f t="shared" si="918"/>
        <v>3173.556</v>
      </c>
      <c r="K391" s="348">
        <f t="shared" ref="K391:K393" si="929">+J391*$X$1</f>
        <v>3173.556</v>
      </c>
      <c r="L391" s="386">
        <f t="shared" si="920"/>
        <v>3153.556</v>
      </c>
      <c r="M391" s="348">
        <f t="shared" ref="M391:M393" si="930">+L391*$X$1</f>
        <v>3153.556</v>
      </c>
      <c r="N391" s="386">
        <f>F391+40</f>
        <v>3133.556</v>
      </c>
      <c r="O391" s="348">
        <f t="shared" ref="O391:O393" si="931">+N391*$X$1</f>
        <v>3133.556</v>
      </c>
      <c r="P391" s="386">
        <f>F391+37</f>
        <v>3130.556</v>
      </c>
      <c r="Q391" s="348">
        <f t="shared" ref="Q391:Q393" si="932">+P391*$X$1</f>
        <v>3130.556</v>
      </c>
      <c r="R391" s="386">
        <f>F391+33</f>
        <v>3126.556</v>
      </c>
      <c r="S391" s="348">
        <f t="shared" ref="S391:S393" si="933">+R391*$X$1</f>
        <v>3126.556</v>
      </c>
      <c r="T391" s="386">
        <f>F391+29</f>
        <v>3122.556</v>
      </c>
      <c r="U391" s="348">
        <f t="shared" ref="U391:U393" si="934">+T391*$X$1</f>
        <v>3122.556</v>
      </c>
      <c r="V391" s="386">
        <f>F391+25</f>
        <v>3118.556</v>
      </c>
      <c r="W391" s="348">
        <f t="shared" ref="W391:W393" si="935">+V391*$X$1</f>
        <v>3118.556</v>
      </c>
      <c r="X391" s="708"/>
      <c r="Y391" s="709"/>
      <c r="Z391" s="709"/>
      <c r="AA391" s="710"/>
      <c r="AB391" s="540">
        <v>2330</v>
      </c>
      <c r="AC391" s="69"/>
    </row>
    <row r="392" spans="1:34" ht="12.6" customHeight="1" x14ac:dyDescent="0.2">
      <c r="A392" s="112"/>
      <c r="B392" s="703" t="s">
        <v>863</v>
      </c>
      <c r="C392" s="704"/>
      <c r="D392" s="704"/>
      <c r="E392" s="705"/>
      <c r="F392" s="488">
        <f>5.39*X2</f>
        <v>4894.12</v>
      </c>
      <c r="G392" s="349">
        <f t="shared" ref="G392" si="936">+F392*$X$1</f>
        <v>4894.12</v>
      </c>
      <c r="H392" s="632">
        <f>F392+370</f>
        <v>5264.12</v>
      </c>
      <c r="I392" s="349">
        <f t="shared" si="917"/>
        <v>5264.12</v>
      </c>
      <c r="J392" s="632">
        <f>F392+120</f>
        <v>5014.12</v>
      </c>
      <c r="K392" s="349">
        <f t="shared" si="929"/>
        <v>5014.12</v>
      </c>
      <c r="L392" s="632">
        <f>F392+90</f>
        <v>4984.12</v>
      </c>
      <c r="M392" s="349">
        <f t="shared" si="930"/>
        <v>4984.12</v>
      </c>
      <c r="N392" s="632">
        <f>F392+60</f>
        <v>4954.12</v>
      </c>
      <c r="O392" s="349">
        <f>+N392*$X$1</f>
        <v>4954.12</v>
      </c>
      <c r="P392" s="632">
        <f>F392+55</f>
        <v>4949.12</v>
      </c>
      <c r="Q392" s="349">
        <f t="shared" si="932"/>
        <v>4949.12</v>
      </c>
      <c r="R392" s="632">
        <f>F392+49</f>
        <v>4943.12</v>
      </c>
      <c r="S392" s="349">
        <f>+R392*$X$1</f>
        <v>4943.12</v>
      </c>
      <c r="T392" s="632">
        <f>F392+44</f>
        <v>4938.12</v>
      </c>
      <c r="U392" s="349">
        <f t="shared" si="934"/>
        <v>4938.12</v>
      </c>
      <c r="V392" s="632">
        <f>F392+38</f>
        <v>4932.12</v>
      </c>
      <c r="W392" s="374">
        <f t="shared" si="935"/>
        <v>4932.12</v>
      </c>
      <c r="X392" s="708"/>
      <c r="Y392" s="709"/>
      <c r="Z392" s="709"/>
      <c r="AA392" s="710"/>
      <c r="AB392" s="540">
        <v>2332</v>
      </c>
      <c r="AC392" s="69"/>
    </row>
    <row r="393" spans="1:34" ht="12.6" customHeight="1" x14ac:dyDescent="0.2">
      <c r="A393" s="112"/>
      <c r="B393" s="716" t="s">
        <v>459</v>
      </c>
      <c r="C393" s="717"/>
      <c r="D393" s="717"/>
      <c r="E393" s="718"/>
      <c r="F393" s="487">
        <f>1.22*X2</f>
        <v>1107.76</v>
      </c>
      <c r="G393" s="348">
        <f t="shared" ref="G393" si="937">+F393*$X$1</f>
        <v>1107.76</v>
      </c>
      <c r="H393" s="386">
        <f t="shared" si="916"/>
        <v>1357.76</v>
      </c>
      <c r="I393" s="348">
        <f t="shared" si="917"/>
        <v>1357.76</v>
      </c>
      <c r="J393" s="386">
        <f t="shared" si="918"/>
        <v>1187.76</v>
      </c>
      <c r="K393" s="348">
        <f t="shared" si="929"/>
        <v>1187.76</v>
      </c>
      <c r="L393" s="386">
        <f t="shared" si="920"/>
        <v>1167.76</v>
      </c>
      <c r="M393" s="348">
        <f t="shared" si="930"/>
        <v>1167.76</v>
      </c>
      <c r="N393" s="386">
        <f>F393+40</f>
        <v>1147.76</v>
      </c>
      <c r="O393" s="348">
        <f t="shared" si="931"/>
        <v>1147.76</v>
      </c>
      <c r="P393" s="386">
        <f>F393+37</f>
        <v>1144.76</v>
      </c>
      <c r="Q393" s="348">
        <f t="shared" si="932"/>
        <v>1144.76</v>
      </c>
      <c r="R393" s="386">
        <f>F393+33</f>
        <v>1140.76</v>
      </c>
      <c r="S393" s="348">
        <f t="shared" si="933"/>
        <v>1140.76</v>
      </c>
      <c r="T393" s="386">
        <f>F393+29</f>
        <v>1136.76</v>
      </c>
      <c r="U393" s="348">
        <f t="shared" si="934"/>
        <v>1136.76</v>
      </c>
      <c r="V393" s="386">
        <f>F393+25</f>
        <v>1132.76</v>
      </c>
      <c r="W393" s="348">
        <f t="shared" si="935"/>
        <v>1132.76</v>
      </c>
      <c r="X393" s="708"/>
      <c r="Y393" s="709"/>
      <c r="Z393" s="709"/>
      <c r="AA393" s="710"/>
      <c r="AB393" s="540">
        <v>2334</v>
      </c>
      <c r="AC393" s="69"/>
    </row>
    <row r="394" spans="1:34" ht="12.6" customHeight="1" x14ac:dyDescent="0.2">
      <c r="A394" s="112"/>
      <c r="B394" s="700" t="s">
        <v>270</v>
      </c>
      <c r="C394" s="701"/>
      <c r="D394" s="701"/>
      <c r="E394" s="702"/>
      <c r="F394" s="488">
        <f>1.42*X2</f>
        <v>1289.3599999999999</v>
      </c>
      <c r="G394" s="349">
        <f t="shared" ref="G394" si="938">+F394*$X$1</f>
        <v>1289.3599999999999</v>
      </c>
      <c r="H394" s="672">
        <f>F394+250</f>
        <v>1539.36</v>
      </c>
      <c r="I394" s="349">
        <f>+H394*$X$1</f>
        <v>1539.36</v>
      </c>
      <c r="J394" s="672">
        <f>F394+80</f>
        <v>1369.36</v>
      </c>
      <c r="K394" s="349">
        <f>+J394*$X$1</f>
        <v>1369.36</v>
      </c>
      <c r="L394" s="672">
        <f>F394+60</f>
        <v>1349.36</v>
      </c>
      <c r="M394" s="349">
        <f>+L394*$X$1</f>
        <v>1349.36</v>
      </c>
      <c r="N394" s="672">
        <f>F394+40</f>
        <v>1329.36</v>
      </c>
      <c r="O394" s="349">
        <f>+N394*$X$1</f>
        <v>1329.36</v>
      </c>
      <c r="P394" s="672">
        <f>F394+37</f>
        <v>1326.36</v>
      </c>
      <c r="Q394" s="349">
        <f>+P394*$X$1</f>
        <v>1326.36</v>
      </c>
      <c r="R394" s="672">
        <f>F394+33</f>
        <v>1322.36</v>
      </c>
      <c r="S394" s="349">
        <f>+R394*$X$1</f>
        <v>1322.36</v>
      </c>
      <c r="T394" s="672">
        <f>F394+29</f>
        <v>1318.36</v>
      </c>
      <c r="U394" s="349">
        <f>+T394*$X$1</f>
        <v>1318.36</v>
      </c>
      <c r="V394" s="672">
        <f>F394+25</f>
        <v>1314.36</v>
      </c>
      <c r="W394" s="349">
        <f>+V394*$X$1</f>
        <v>1314.36</v>
      </c>
      <c r="X394" s="708"/>
      <c r="Y394" s="709"/>
      <c r="Z394" s="709"/>
      <c r="AA394" s="710"/>
      <c r="AB394" s="540">
        <v>2336</v>
      </c>
      <c r="AC394" s="69"/>
    </row>
    <row r="395" spans="1:34" ht="12.6" customHeight="1" x14ac:dyDescent="0.2">
      <c r="A395" s="20"/>
      <c r="B395" s="716" t="s">
        <v>271</v>
      </c>
      <c r="C395" s="717"/>
      <c r="D395" s="717"/>
      <c r="E395" s="718"/>
      <c r="F395" s="487">
        <f>1.48*X2</f>
        <v>1343.84</v>
      </c>
      <c r="G395" s="348">
        <f>+F395*$X$1</f>
        <v>1343.84</v>
      </c>
      <c r="H395" s="386">
        <f>F395+250</f>
        <v>1593.84</v>
      </c>
      <c r="I395" s="348">
        <f>+H395*$X$1</f>
        <v>1593.84</v>
      </c>
      <c r="J395" s="386">
        <f>F395+80</f>
        <v>1423.84</v>
      </c>
      <c r="K395" s="348">
        <f>+J395*$X$1</f>
        <v>1423.84</v>
      </c>
      <c r="L395" s="386">
        <f>F395+60</f>
        <v>1403.84</v>
      </c>
      <c r="M395" s="348">
        <f>+L395*$X$1</f>
        <v>1403.84</v>
      </c>
      <c r="N395" s="386">
        <f>F395+40</f>
        <v>1383.84</v>
      </c>
      <c r="O395" s="348">
        <f>+N395*$X$1</f>
        <v>1383.84</v>
      </c>
      <c r="P395" s="386">
        <f>F395+37</f>
        <v>1380.84</v>
      </c>
      <c r="Q395" s="348">
        <f>+P395*$X$1</f>
        <v>1380.84</v>
      </c>
      <c r="R395" s="386">
        <f>F395+33</f>
        <v>1376.84</v>
      </c>
      <c r="S395" s="348">
        <f>+R395*$X$1</f>
        <v>1376.84</v>
      </c>
      <c r="T395" s="386">
        <f>F395+29</f>
        <v>1372.84</v>
      </c>
      <c r="U395" s="348">
        <f>+T395*$X$1</f>
        <v>1372.84</v>
      </c>
      <c r="V395" s="386">
        <f>F395+25</f>
        <v>1368.84</v>
      </c>
      <c r="W395" s="348">
        <f>+V395*$X$1</f>
        <v>1368.84</v>
      </c>
      <c r="X395" s="708"/>
      <c r="Y395" s="709"/>
      <c r="Z395" s="709"/>
      <c r="AA395" s="710"/>
      <c r="AB395" s="540">
        <v>2337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768" t="s">
        <v>11</v>
      </c>
      <c r="C399" s="754" t="s">
        <v>12</v>
      </c>
      <c r="D399" s="755"/>
      <c r="E399" s="755"/>
      <c r="F399" s="780" t="s">
        <v>13</v>
      </c>
      <c r="G399" s="780" t="s">
        <v>13</v>
      </c>
      <c r="H399" s="1061" t="s">
        <v>14</v>
      </c>
      <c r="I399" s="1061"/>
      <c r="J399" s="874"/>
      <c r="K399" s="874"/>
      <c r="L399" s="874"/>
      <c r="M399" s="874"/>
      <c r="N399" s="874"/>
      <c r="O399" s="874"/>
      <c r="P399" s="874"/>
      <c r="Q399" s="874"/>
      <c r="R399" s="874"/>
      <c r="S399" s="874"/>
      <c r="T399" s="874"/>
      <c r="U399" s="874"/>
      <c r="V399" s="874"/>
      <c r="W399" s="875"/>
      <c r="X399" s="770" t="s">
        <v>15</v>
      </c>
      <c r="Y399" s="771"/>
      <c r="Z399" s="771"/>
      <c r="AA399" s="771"/>
      <c r="AB399" s="839" t="s">
        <v>16</v>
      </c>
      <c r="AE399" s="68"/>
      <c r="AF399" s="828" t="s">
        <v>3</v>
      </c>
      <c r="AG399" s="829"/>
      <c r="AH399" s="829"/>
    </row>
    <row r="400" spans="1:34" ht="12" customHeight="1" thickBot="1" x14ac:dyDescent="0.25">
      <c r="A400" s="20"/>
      <c r="B400" s="769"/>
      <c r="C400" s="756"/>
      <c r="D400" s="756"/>
      <c r="E400" s="756"/>
      <c r="F400" s="781"/>
      <c r="G400" s="781"/>
      <c r="H400" s="298"/>
      <c r="I400" s="295" t="s">
        <v>312</v>
      </c>
      <c r="J400" s="299"/>
      <c r="K400" s="295" t="s">
        <v>18</v>
      </c>
      <c r="L400" s="300"/>
      <c r="M400" s="300" t="s">
        <v>19</v>
      </c>
      <c r="N400" s="300"/>
      <c r="O400" s="295" t="s">
        <v>20</v>
      </c>
      <c r="P400" s="300"/>
      <c r="Q400" s="300" t="s">
        <v>314</v>
      </c>
      <c r="R400" s="300"/>
      <c r="S400" s="300" t="s">
        <v>21</v>
      </c>
      <c r="T400" s="300"/>
      <c r="U400" s="300" t="s">
        <v>22</v>
      </c>
      <c r="V400" s="300"/>
      <c r="W400" s="302" t="s">
        <v>23</v>
      </c>
      <c r="X400" s="772"/>
      <c r="Y400" s="773"/>
      <c r="Z400" s="773"/>
      <c r="AA400" s="773"/>
      <c r="AB400" s="840"/>
    </row>
    <row r="401" spans="1:29" ht="12.6" customHeight="1" x14ac:dyDescent="0.2">
      <c r="A401" s="20"/>
      <c r="B401" s="716" t="s">
        <v>272</v>
      </c>
      <c r="C401" s="717"/>
      <c r="D401" s="717"/>
      <c r="E401" s="718"/>
      <c r="F401" s="487">
        <f>2.02*X2</f>
        <v>1834.16</v>
      </c>
      <c r="G401" s="348">
        <f t="shared" ref="G401" si="939">+F401*$X$1</f>
        <v>1834.16</v>
      </c>
      <c r="H401" s="386">
        <f>F401+250</f>
        <v>2084.16</v>
      </c>
      <c r="I401" s="348">
        <f>+H401*$X$1</f>
        <v>2084.16</v>
      </c>
      <c r="J401" s="386">
        <f>F401+80</f>
        <v>1914.16</v>
      </c>
      <c r="K401" s="348">
        <f t="shared" ref="K401:K402" si="940">+J401*$X$1</f>
        <v>1914.16</v>
      </c>
      <c r="L401" s="386">
        <f>F401+60</f>
        <v>1894.16</v>
      </c>
      <c r="M401" s="348">
        <f t="shared" ref="M401:M402" si="941">+L401*$X$1</f>
        <v>1894.16</v>
      </c>
      <c r="N401" s="386">
        <f>F401+40</f>
        <v>1874.16</v>
      </c>
      <c r="O401" s="348">
        <f t="shared" ref="O401:O402" si="942">+N401*$X$1</f>
        <v>1874.16</v>
      </c>
      <c r="P401" s="386">
        <f>F401+37</f>
        <v>1871.16</v>
      </c>
      <c r="Q401" s="348">
        <f t="shared" ref="Q401:Q402" si="943">+P401*$X$1</f>
        <v>1871.16</v>
      </c>
      <c r="R401" s="386">
        <f>F401+33</f>
        <v>1867.16</v>
      </c>
      <c r="S401" s="348">
        <f t="shared" ref="S401:S402" si="944">+R401*$X$1</f>
        <v>1867.16</v>
      </c>
      <c r="T401" s="386">
        <f>F401+29</f>
        <v>1863.16</v>
      </c>
      <c r="U401" s="348">
        <f t="shared" ref="U401:U402" si="945">+T401*$X$1</f>
        <v>1863.16</v>
      </c>
      <c r="V401" s="386">
        <f>F401+25</f>
        <v>1859.16</v>
      </c>
      <c r="W401" s="348">
        <f t="shared" ref="W401:W402" si="946">+V401*$X$1</f>
        <v>1859.16</v>
      </c>
      <c r="X401" s="708"/>
      <c r="Y401" s="709"/>
      <c r="Z401" s="709"/>
      <c r="AA401" s="710"/>
      <c r="AB401" s="540">
        <v>2338</v>
      </c>
      <c r="AC401" s="69"/>
    </row>
    <row r="402" spans="1:29" ht="12.6" customHeight="1" x14ac:dyDescent="0.2">
      <c r="A402" s="20"/>
      <c r="B402" s="700" t="s">
        <v>379</v>
      </c>
      <c r="C402" s="701"/>
      <c r="D402" s="701"/>
      <c r="E402" s="702"/>
      <c r="F402" s="494">
        <f>1.607*X2</f>
        <v>1459.1559999999999</v>
      </c>
      <c r="G402" s="349">
        <f t="shared" ref="G402:G405" si="947">+F402*$X$1</f>
        <v>1459.1559999999999</v>
      </c>
      <c r="H402" s="626">
        <f>F402+250</f>
        <v>1709.1559999999999</v>
      </c>
      <c r="I402" s="349">
        <f>+H402*$X$1</f>
        <v>1709.1559999999999</v>
      </c>
      <c r="J402" s="626">
        <f>F402+80</f>
        <v>1539.1559999999999</v>
      </c>
      <c r="K402" s="349">
        <f t="shared" si="940"/>
        <v>1539.1559999999999</v>
      </c>
      <c r="L402" s="626">
        <f>F402+60</f>
        <v>1519.1559999999999</v>
      </c>
      <c r="M402" s="349">
        <f t="shared" si="941"/>
        <v>1519.1559999999999</v>
      </c>
      <c r="N402" s="626">
        <f>F402+40</f>
        <v>1499.1559999999999</v>
      </c>
      <c r="O402" s="349">
        <f t="shared" si="942"/>
        <v>1499.1559999999999</v>
      </c>
      <c r="P402" s="626">
        <f>F402+37</f>
        <v>1496.1559999999999</v>
      </c>
      <c r="Q402" s="349">
        <f t="shared" si="943"/>
        <v>1496.1559999999999</v>
      </c>
      <c r="R402" s="626">
        <f>F402+33</f>
        <v>1492.1559999999999</v>
      </c>
      <c r="S402" s="349">
        <f t="shared" si="944"/>
        <v>1492.1559999999999</v>
      </c>
      <c r="T402" s="626">
        <f>F402+29</f>
        <v>1488.1559999999999</v>
      </c>
      <c r="U402" s="349">
        <f t="shared" si="945"/>
        <v>1488.1559999999999</v>
      </c>
      <c r="V402" s="626">
        <f>F402+25</f>
        <v>1484.1559999999999</v>
      </c>
      <c r="W402" s="349">
        <f t="shared" si="946"/>
        <v>1484.1559999999999</v>
      </c>
      <c r="X402" s="190"/>
      <c r="Y402" s="193"/>
      <c r="Z402" s="193"/>
      <c r="AA402" s="192"/>
      <c r="AB402" s="540">
        <v>2340</v>
      </c>
      <c r="AC402" s="69"/>
    </row>
    <row r="403" spans="1:29" ht="12.6" customHeight="1" x14ac:dyDescent="0.2">
      <c r="A403" s="20"/>
      <c r="B403" s="716" t="s">
        <v>378</v>
      </c>
      <c r="C403" s="717"/>
      <c r="D403" s="717"/>
      <c r="E403" s="718"/>
      <c r="F403" s="487">
        <f>6.958*X2</f>
        <v>6317.8640000000005</v>
      </c>
      <c r="G403" s="348">
        <f t="shared" si="947"/>
        <v>6317.8640000000005</v>
      </c>
      <c r="H403" s="386">
        <f>F403+370</f>
        <v>6687.8640000000005</v>
      </c>
      <c r="I403" s="348">
        <f t="shared" ref="I403" si="948">+H403*$X$1</f>
        <v>6687.8640000000005</v>
      </c>
      <c r="J403" s="386">
        <f>F403+120</f>
        <v>6437.8640000000005</v>
      </c>
      <c r="K403" s="348">
        <f t="shared" ref="K403:K405" si="949">+J403*$X$1</f>
        <v>6437.8640000000005</v>
      </c>
      <c r="L403" s="386">
        <f>F403+90</f>
        <v>6407.8640000000005</v>
      </c>
      <c r="M403" s="348">
        <f t="shared" ref="M403:M405" si="950">+L403*$X$1</f>
        <v>6407.8640000000005</v>
      </c>
      <c r="N403" s="386">
        <f>F403+60</f>
        <v>6377.8640000000005</v>
      </c>
      <c r="O403" s="348">
        <f>+N403*$X$1</f>
        <v>6377.8640000000005</v>
      </c>
      <c r="P403" s="386">
        <f>F403+55</f>
        <v>6372.8640000000005</v>
      </c>
      <c r="Q403" s="348">
        <f t="shared" ref="Q403:Q405" si="951">+P403*$X$1</f>
        <v>6372.8640000000005</v>
      </c>
      <c r="R403" s="386">
        <f>F403+49</f>
        <v>6366.8640000000005</v>
      </c>
      <c r="S403" s="348">
        <f>+R403*$X$1</f>
        <v>6366.8640000000005</v>
      </c>
      <c r="T403" s="386">
        <f>F403+44</f>
        <v>6361.8640000000005</v>
      </c>
      <c r="U403" s="348">
        <f t="shared" ref="U403:U405" si="952">+T403*$X$1</f>
        <v>6361.8640000000005</v>
      </c>
      <c r="V403" s="386">
        <f>F403+38</f>
        <v>6355.8640000000005</v>
      </c>
      <c r="W403" s="306">
        <f t="shared" ref="W403:W405" si="953">+V403*$X$1</f>
        <v>6355.8640000000005</v>
      </c>
      <c r="X403" s="190"/>
      <c r="Y403" s="193"/>
      <c r="Z403" s="193"/>
      <c r="AA403" s="192"/>
      <c r="AB403" s="540">
        <v>2341</v>
      </c>
      <c r="AC403" s="69"/>
    </row>
    <row r="404" spans="1:29" ht="12.6" customHeight="1" x14ac:dyDescent="0.2">
      <c r="A404" s="20"/>
      <c r="B404" s="700" t="s">
        <v>851</v>
      </c>
      <c r="C404" s="701"/>
      <c r="D404" s="701"/>
      <c r="E404" s="702"/>
      <c r="F404" s="488">
        <f>12.416*X2</f>
        <v>11273.728000000001</v>
      </c>
      <c r="G404" s="349">
        <f t="shared" ref="G404" si="954">+F404*$X$1</f>
        <v>11273.728000000001</v>
      </c>
      <c r="H404" s="626">
        <f t="shared" ref="H404:H411" si="955">F404+250</f>
        <v>11523.728000000001</v>
      </c>
      <c r="I404" s="349">
        <f t="shared" ref="I404:I411" si="956">+H404*$X$1</f>
        <v>11523.728000000001</v>
      </c>
      <c r="J404" s="626">
        <f t="shared" ref="J404:J411" si="957">F404+80</f>
        <v>11353.728000000001</v>
      </c>
      <c r="K404" s="349">
        <f t="shared" ref="K404" si="958">+J404*$X$1</f>
        <v>11353.728000000001</v>
      </c>
      <c r="L404" s="626">
        <f t="shared" ref="L404:L411" si="959">F404+60</f>
        <v>11333.728000000001</v>
      </c>
      <c r="M404" s="349">
        <f t="shared" ref="M404" si="960">+L404*$X$1</f>
        <v>11333.728000000001</v>
      </c>
      <c r="N404" s="626">
        <f t="shared" ref="N404:N411" si="961">F404+40</f>
        <v>11313.728000000001</v>
      </c>
      <c r="O404" s="349">
        <f t="shared" ref="O404" si="962">+N404*$X$1</f>
        <v>11313.728000000001</v>
      </c>
      <c r="P404" s="626">
        <f t="shared" ref="P404:P411" si="963">F404+37</f>
        <v>11310.728000000001</v>
      </c>
      <c r="Q404" s="349">
        <f t="shared" ref="Q404" si="964">+P404*$X$1</f>
        <v>11310.728000000001</v>
      </c>
      <c r="R404" s="626">
        <f t="shared" ref="R404:R411" si="965">F404+33</f>
        <v>11306.728000000001</v>
      </c>
      <c r="S404" s="349">
        <f t="shared" ref="S404" si="966">+R404*$X$1</f>
        <v>11306.728000000001</v>
      </c>
      <c r="T404" s="626">
        <f t="shared" ref="T404" si="967">F404+29</f>
        <v>11302.728000000001</v>
      </c>
      <c r="U404" s="349">
        <f t="shared" ref="U404" si="968">+T404*$X$1</f>
        <v>11302.728000000001</v>
      </c>
      <c r="V404" s="626">
        <f t="shared" ref="V404:V411" si="969">F404+25</f>
        <v>11298.728000000001</v>
      </c>
      <c r="W404" s="349">
        <f t="shared" ref="W404" si="970">+V404*$X$1</f>
        <v>11298.728000000001</v>
      </c>
      <c r="X404" s="622"/>
      <c r="Y404" s="623"/>
      <c r="Z404" s="623"/>
      <c r="AA404" s="624"/>
      <c r="AB404" s="540">
        <v>2342</v>
      </c>
      <c r="AC404" s="69"/>
    </row>
    <row r="405" spans="1:29" ht="12.6" customHeight="1" x14ac:dyDescent="0.2">
      <c r="A405" s="20"/>
      <c r="B405" s="716" t="s">
        <v>850</v>
      </c>
      <c r="C405" s="717"/>
      <c r="D405" s="717"/>
      <c r="E405" s="718"/>
      <c r="F405" s="487">
        <f>14.9*X2</f>
        <v>13529.2</v>
      </c>
      <c r="G405" s="348">
        <f t="shared" si="947"/>
        <v>13529.2</v>
      </c>
      <c r="H405" s="386">
        <f t="shared" si="955"/>
        <v>13779.2</v>
      </c>
      <c r="I405" s="348">
        <f t="shared" si="956"/>
        <v>13779.2</v>
      </c>
      <c r="J405" s="386">
        <f t="shared" si="957"/>
        <v>13609.2</v>
      </c>
      <c r="K405" s="348">
        <f t="shared" si="949"/>
        <v>13609.2</v>
      </c>
      <c r="L405" s="386">
        <f t="shared" si="959"/>
        <v>13589.2</v>
      </c>
      <c r="M405" s="348">
        <f t="shared" si="950"/>
        <v>13589.2</v>
      </c>
      <c r="N405" s="386">
        <f t="shared" si="961"/>
        <v>13569.2</v>
      </c>
      <c r="O405" s="348">
        <f t="shared" ref="O405" si="971">+N405*$X$1</f>
        <v>13569.2</v>
      </c>
      <c r="P405" s="386">
        <f t="shared" si="963"/>
        <v>13566.2</v>
      </c>
      <c r="Q405" s="348">
        <f t="shared" si="951"/>
        <v>13566.2</v>
      </c>
      <c r="R405" s="386">
        <f t="shared" si="965"/>
        <v>13562.2</v>
      </c>
      <c r="S405" s="348">
        <f t="shared" ref="S405" si="972">+R405*$X$1</f>
        <v>13562.2</v>
      </c>
      <c r="T405" s="386">
        <f t="shared" ref="T405" si="973">F405+29</f>
        <v>13558.2</v>
      </c>
      <c r="U405" s="348">
        <f t="shared" si="952"/>
        <v>13558.2</v>
      </c>
      <c r="V405" s="386">
        <f t="shared" si="969"/>
        <v>13554.2</v>
      </c>
      <c r="W405" s="348">
        <f t="shared" si="953"/>
        <v>13554.2</v>
      </c>
      <c r="X405" s="622"/>
      <c r="Y405" s="623"/>
      <c r="Z405" s="623"/>
      <c r="AA405" s="624"/>
      <c r="AB405" s="540">
        <v>2343</v>
      </c>
      <c r="AC405" s="69"/>
    </row>
    <row r="406" spans="1:29" ht="12.6" customHeight="1" x14ac:dyDescent="0.2">
      <c r="A406" s="20"/>
      <c r="B406" s="700" t="s">
        <v>531</v>
      </c>
      <c r="C406" s="701"/>
      <c r="D406" s="701"/>
      <c r="E406" s="702"/>
      <c r="F406" s="488">
        <f>8.45*X2</f>
        <v>7672.5999999999995</v>
      </c>
      <c r="G406" s="349">
        <f t="shared" ref="G406" si="974">+F406*$X$1</f>
        <v>7672.5999999999995</v>
      </c>
      <c r="H406" s="626">
        <f t="shared" si="955"/>
        <v>7922.5999999999995</v>
      </c>
      <c r="I406" s="349">
        <f t="shared" si="956"/>
        <v>7922.5999999999995</v>
      </c>
      <c r="J406" s="626">
        <f t="shared" si="957"/>
        <v>7752.5999999999995</v>
      </c>
      <c r="K406" s="349">
        <f t="shared" ref="K406" si="975">+J406*$X$1</f>
        <v>7752.5999999999995</v>
      </c>
      <c r="L406" s="626">
        <f t="shared" si="959"/>
        <v>7732.5999999999995</v>
      </c>
      <c r="M406" s="349">
        <f t="shared" ref="M406" si="976">+L406*$X$1</f>
        <v>7732.5999999999995</v>
      </c>
      <c r="N406" s="626">
        <f t="shared" si="961"/>
        <v>7712.5999999999995</v>
      </c>
      <c r="O406" s="349">
        <f t="shared" ref="O406" si="977">+N406*$X$1</f>
        <v>7712.5999999999995</v>
      </c>
      <c r="P406" s="626">
        <f t="shared" si="963"/>
        <v>7709.5999999999995</v>
      </c>
      <c r="Q406" s="349">
        <f t="shared" ref="Q406" si="978">+P406*$X$1</f>
        <v>7709.5999999999995</v>
      </c>
      <c r="R406" s="626">
        <f t="shared" si="965"/>
        <v>7705.5999999999995</v>
      </c>
      <c r="S406" s="349">
        <f t="shared" ref="S406" si="979">+R406*$X$1</f>
        <v>7705.5999999999995</v>
      </c>
      <c r="T406" s="626">
        <f t="shared" ref="T406" si="980">F406+29</f>
        <v>7701.5999999999995</v>
      </c>
      <c r="U406" s="349">
        <f t="shared" ref="U406" si="981">+T406*$X$1</f>
        <v>7701.5999999999995</v>
      </c>
      <c r="V406" s="626">
        <f t="shared" si="969"/>
        <v>7697.5999999999995</v>
      </c>
      <c r="W406" s="349">
        <f t="shared" ref="W406" si="982">+V406*$X$1</f>
        <v>7697.5999999999995</v>
      </c>
      <c r="X406" s="273"/>
      <c r="Y406" s="271"/>
      <c r="Z406" s="271"/>
      <c r="AA406" s="272"/>
      <c r="AB406" s="540">
        <v>2346</v>
      </c>
      <c r="AC406" s="69"/>
    </row>
    <row r="407" spans="1:29" ht="12.6" customHeight="1" x14ac:dyDescent="0.2">
      <c r="A407" s="20"/>
      <c r="B407" s="703" t="s">
        <v>852</v>
      </c>
      <c r="C407" s="704"/>
      <c r="D407" s="704"/>
      <c r="E407" s="705"/>
      <c r="F407" s="487">
        <f>11.834*X2</f>
        <v>10745.271999999999</v>
      </c>
      <c r="G407" s="348">
        <f t="shared" ref="G407" si="983">+F407*$X$1</f>
        <v>10745.271999999999</v>
      </c>
      <c r="H407" s="386">
        <f t="shared" si="955"/>
        <v>10995.271999999999</v>
      </c>
      <c r="I407" s="348">
        <f t="shared" si="956"/>
        <v>10995.271999999999</v>
      </c>
      <c r="J407" s="386">
        <f t="shared" si="957"/>
        <v>10825.271999999999</v>
      </c>
      <c r="K407" s="348">
        <f t="shared" ref="K407" si="984">+J407*$X$1</f>
        <v>10825.271999999999</v>
      </c>
      <c r="L407" s="386">
        <f t="shared" si="959"/>
        <v>10805.271999999999</v>
      </c>
      <c r="M407" s="348">
        <f t="shared" ref="M407" si="985">+L407*$X$1</f>
        <v>10805.271999999999</v>
      </c>
      <c r="N407" s="386">
        <f t="shared" si="961"/>
        <v>10785.271999999999</v>
      </c>
      <c r="O407" s="348">
        <f t="shared" ref="O407" si="986">+N407*$X$1</f>
        <v>10785.271999999999</v>
      </c>
      <c r="P407" s="386">
        <f t="shared" si="963"/>
        <v>10782.271999999999</v>
      </c>
      <c r="Q407" s="348">
        <f t="shared" ref="Q407" si="987">+P407*$X$1</f>
        <v>10782.271999999999</v>
      </c>
      <c r="R407" s="386">
        <f t="shared" si="965"/>
        <v>10778.271999999999</v>
      </c>
      <c r="S407" s="348">
        <f t="shared" ref="S407" si="988">+R407*$X$1</f>
        <v>10778.271999999999</v>
      </c>
      <c r="T407" s="386">
        <f t="shared" ref="T407" si="989">F407+29</f>
        <v>10774.271999999999</v>
      </c>
      <c r="U407" s="348">
        <f t="shared" ref="U407" si="990">+T407*$X$1</f>
        <v>10774.271999999999</v>
      </c>
      <c r="V407" s="386">
        <f t="shared" si="969"/>
        <v>10770.271999999999</v>
      </c>
      <c r="W407" s="348">
        <f t="shared" ref="W407" si="991">+V407*$X$1</f>
        <v>10770.271999999999</v>
      </c>
      <c r="X407" s="622"/>
      <c r="Y407" s="623"/>
      <c r="Z407" s="623"/>
      <c r="AA407" s="624"/>
      <c r="AB407" s="540" t="s">
        <v>864</v>
      </c>
      <c r="AC407" s="69"/>
    </row>
    <row r="408" spans="1:29" ht="12.6" customHeight="1" x14ac:dyDescent="0.2">
      <c r="A408" s="20"/>
      <c r="B408" s="700" t="s">
        <v>853</v>
      </c>
      <c r="C408" s="701"/>
      <c r="D408" s="701"/>
      <c r="E408" s="702"/>
      <c r="F408" s="488"/>
      <c r="G408" s="349"/>
      <c r="H408" s="626"/>
      <c r="I408" s="349"/>
      <c r="J408" s="626"/>
      <c r="K408" s="349"/>
      <c r="L408" s="626"/>
      <c r="M408" s="349"/>
      <c r="N408" s="626"/>
      <c r="O408" s="349"/>
      <c r="P408" s="626"/>
      <c r="Q408" s="349"/>
      <c r="R408" s="626"/>
      <c r="S408" s="349"/>
      <c r="T408" s="626"/>
      <c r="U408" s="349"/>
      <c r="V408" s="626"/>
      <c r="W408" s="349"/>
      <c r="X408" s="622"/>
      <c r="Y408" s="623"/>
      <c r="Z408" s="623"/>
      <c r="AA408" s="624"/>
      <c r="AB408" s="540"/>
      <c r="AC408" s="69"/>
    </row>
    <row r="409" spans="1:29" ht="12.6" customHeight="1" x14ac:dyDescent="0.2">
      <c r="A409" s="20"/>
      <c r="B409" s="716" t="s">
        <v>706</v>
      </c>
      <c r="C409" s="717"/>
      <c r="D409" s="717"/>
      <c r="E409" s="718"/>
      <c r="F409" s="487">
        <f>2.985*X2</f>
        <v>2710.38</v>
      </c>
      <c r="G409" s="348">
        <f t="shared" ref="G409" si="992">+F409*$X$1</f>
        <v>2710.38</v>
      </c>
      <c r="H409" s="386">
        <f t="shared" si="955"/>
        <v>2960.38</v>
      </c>
      <c r="I409" s="348">
        <f t="shared" si="956"/>
        <v>2960.38</v>
      </c>
      <c r="J409" s="386">
        <f t="shared" si="957"/>
        <v>2790.38</v>
      </c>
      <c r="K409" s="348">
        <f t="shared" ref="K409:K412" si="993">+J409*$X$1</f>
        <v>2790.38</v>
      </c>
      <c r="L409" s="386">
        <f t="shared" si="959"/>
        <v>2770.38</v>
      </c>
      <c r="M409" s="348">
        <f t="shared" ref="M409:M412" si="994">+L409*$X$1</f>
        <v>2770.38</v>
      </c>
      <c r="N409" s="386">
        <f t="shared" si="961"/>
        <v>2750.38</v>
      </c>
      <c r="O409" s="348">
        <f t="shared" ref="O409:O412" si="995">+N409*$X$1</f>
        <v>2750.38</v>
      </c>
      <c r="P409" s="386">
        <f t="shared" si="963"/>
        <v>2747.38</v>
      </c>
      <c r="Q409" s="348">
        <f t="shared" ref="Q409:Q412" si="996">+P409*$X$1</f>
        <v>2747.38</v>
      </c>
      <c r="R409" s="386">
        <f t="shared" si="965"/>
        <v>2743.38</v>
      </c>
      <c r="S409" s="348">
        <f t="shared" ref="S409:S412" si="997">+R409*$X$1</f>
        <v>2743.38</v>
      </c>
      <c r="T409" s="386">
        <f t="shared" ref="T409:T414" si="998">F409+29</f>
        <v>2739.38</v>
      </c>
      <c r="U409" s="348">
        <f t="shared" ref="U409:U412" si="999">+T409*$X$1</f>
        <v>2739.38</v>
      </c>
      <c r="V409" s="386">
        <f t="shared" si="969"/>
        <v>2735.38</v>
      </c>
      <c r="W409" s="348">
        <f t="shared" ref="W409:W412" si="1000">+V409*$X$1</f>
        <v>2735.38</v>
      </c>
      <c r="X409" s="475"/>
      <c r="Y409" s="476"/>
      <c r="Z409" s="476"/>
      <c r="AA409" s="477"/>
      <c r="AB409" s="540">
        <v>2350</v>
      </c>
      <c r="AC409" s="69"/>
    </row>
    <row r="410" spans="1:29" ht="12.6" customHeight="1" x14ac:dyDescent="0.2">
      <c r="A410" s="20"/>
      <c r="B410" s="703" t="s">
        <v>818</v>
      </c>
      <c r="C410" s="704"/>
      <c r="D410" s="704"/>
      <c r="E410" s="705"/>
      <c r="F410" s="488">
        <f>3.299*X2</f>
        <v>2995.4919999999997</v>
      </c>
      <c r="G410" s="349">
        <f t="shared" ref="G410" si="1001">+F410*$X$1</f>
        <v>2995.4919999999997</v>
      </c>
      <c r="H410" s="611">
        <f t="shared" si="955"/>
        <v>3245.4919999999997</v>
      </c>
      <c r="I410" s="349">
        <f t="shared" si="956"/>
        <v>3245.4919999999997</v>
      </c>
      <c r="J410" s="611">
        <f t="shared" si="957"/>
        <v>3075.4919999999997</v>
      </c>
      <c r="K410" s="349">
        <f t="shared" si="993"/>
        <v>3075.4919999999997</v>
      </c>
      <c r="L410" s="611">
        <f t="shared" si="959"/>
        <v>3055.4919999999997</v>
      </c>
      <c r="M410" s="349">
        <f t="shared" si="994"/>
        <v>3055.4919999999997</v>
      </c>
      <c r="N410" s="611">
        <f t="shared" si="961"/>
        <v>3035.4919999999997</v>
      </c>
      <c r="O410" s="349">
        <f t="shared" si="995"/>
        <v>3035.4919999999997</v>
      </c>
      <c r="P410" s="611">
        <f t="shared" si="963"/>
        <v>3032.4919999999997</v>
      </c>
      <c r="Q410" s="349">
        <f t="shared" si="996"/>
        <v>3032.4919999999997</v>
      </c>
      <c r="R410" s="611">
        <f t="shared" si="965"/>
        <v>3028.4919999999997</v>
      </c>
      <c r="S410" s="349">
        <f t="shared" si="997"/>
        <v>3028.4919999999997</v>
      </c>
      <c r="T410" s="611">
        <f t="shared" si="998"/>
        <v>3024.4919999999997</v>
      </c>
      <c r="U410" s="349">
        <f t="shared" si="999"/>
        <v>3024.4919999999997</v>
      </c>
      <c r="V410" s="611">
        <f t="shared" si="969"/>
        <v>3020.4919999999997</v>
      </c>
      <c r="W410" s="349">
        <f t="shared" si="1000"/>
        <v>3020.4919999999997</v>
      </c>
      <c r="X410" s="590"/>
      <c r="Y410" s="591"/>
      <c r="Z410" s="591"/>
      <c r="AA410" s="592"/>
      <c r="AB410" s="540">
        <v>2351</v>
      </c>
      <c r="AC410" s="69"/>
    </row>
    <row r="411" spans="1:29" ht="12.6" customHeight="1" x14ac:dyDescent="0.2">
      <c r="A411" s="20"/>
      <c r="B411" s="703" t="s">
        <v>832</v>
      </c>
      <c r="C411" s="704"/>
      <c r="D411" s="704"/>
      <c r="E411" s="705"/>
      <c r="F411" s="487">
        <f>1.59*X2</f>
        <v>1443.72</v>
      </c>
      <c r="G411" s="348">
        <f t="shared" ref="G411" si="1002">+F411*$X$1</f>
        <v>1443.72</v>
      </c>
      <c r="H411" s="386">
        <f t="shared" si="955"/>
        <v>1693.72</v>
      </c>
      <c r="I411" s="348">
        <f t="shared" si="956"/>
        <v>1693.72</v>
      </c>
      <c r="J411" s="386">
        <f t="shared" si="957"/>
        <v>1523.72</v>
      </c>
      <c r="K411" s="348">
        <f t="shared" si="993"/>
        <v>1523.72</v>
      </c>
      <c r="L411" s="386">
        <f t="shared" si="959"/>
        <v>1503.72</v>
      </c>
      <c r="M411" s="348">
        <f t="shared" si="994"/>
        <v>1503.72</v>
      </c>
      <c r="N411" s="386">
        <f t="shared" si="961"/>
        <v>1483.72</v>
      </c>
      <c r="O411" s="348">
        <f t="shared" si="995"/>
        <v>1483.72</v>
      </c>
      <c r="P411" s="386">
        <f t="shared" si="963"/>
        <v>1480.72</v>
      </c>
      <c r="Q411" s="348">
        <f t="shared" si="996"/>
        <v>1480.72</v>
      </c>
      <c r="R411" s="386">
        <f t="shared" si="965"/>
        <v>1476.72</v>
      </c>
      <c r="S411" s="348">
        <f t="shared" si="997"/>
        <v>1476.72</v>
      </c>
      <c r="T411" s="386">
        <f t="shared" si="998"/>
        <v>1472.72</v>
      </c>
      <c r="U411" s="348">
        <f t="shared" si="999"/>
        <v>1472.72</v>
      </c>
      <c r="V411" s="386">
        <f t="shared" si="969"/>
        <v>1468.72</v>
      </c>
      <c r="W411" s="348">
        <f t="shared" si="1000"/>
        <v>1468.72</v>
      </c>
      <c r="X411" s="599"/>
      <c r="Y411" s="600"/>
      <c r="Z411" s="600"/>
      <c r="AA411" s="601"/>
      <c r="AB411" s="540">
        <v>2352</v>
      </c>
      <c r="AC411" s="69"/>
    </row>
    <row r="412" spans="1:29" ht="12.6" customHeight="1" x14ac:dyDescent="0.2">
      <c r="A412" s="20"/>
      <c r="B412" s="703" t="s">
        <v>726</v>
      </c>
      <c r="C412" s="704"/>
      <c r="D412" s="704"/>
      <c r="E412" s="705"/>
      <c r="F412" s="488">
        <f>1*X2</f>
        <v>908</v>
      </c>
      <c r="G412" s="349">
        <f t="shared" ref="G412" si="1003">+F412*$X$1</f>
        <v>908</v>
      </c>
      <c r="H412" s="673">
        <f>F412+290</f>
        <v>1198</v>
      </c>
      <c r="I412" s="349">
        <f>+H412*$X$1</f>
        <v>1198</v>
      </c>
      <c r="J412" s="611">
        <f>F412+120</f>
        <v>1028</v>
      </c>
      <c r="K412" s="349">
        <f t="shared" si="993"/>
        <v>1028</v>
      </c>
      <c r="L412" s="611">
        <f>F412+74</f>
        <v>982</v>
      </c>
      <c r="M412" s="349">
        <f t="shared" si="994"/>
        <v>982</v>
      </c>
      <c r="N412" s="611">
        <f>F412+46</f>
        <v>954</v>
      </c>
      <c r="O412" s="349">
        <f t="shared" si="995"/>
        <v>954</v>
      </c>
      <c r="P412" s="611">
        <f>F412+42</f>
        <v>950</v>
      </c>
      <c r="Q412" s="349">
        <f t="shared" si="996"/>
        <v>950</v>
      </c>
      <c r="R412" s="611">
        <f>F412+35</f>
        <v>943</v>
      </c>
      <c r="S412" s="349">
        <f t="shared" si="997"/>
        <v>943</v>
      </c>
      <c r="T412" s="108">
        <f t="shared" si="998"/>
        <v>937</v>
      </c>
      <c r="U412" s="374">
        <f t="shared" si="999"/>
        <v>937</v>
      </c>
      <c r="V412" s="108">
        <f>F412+24</f>
        <v>932</v>
      </c>
      <c r="W412" s="374">
        <f t="shared" si="1000"/>
        <v>932</v>
      </c>
      <c r="X412" s="708"/>
      <c r="Y412" s="711"/>
      <c r="Z412" s="711"/>
      <c r="AA412" s="710"/>
      <c r="AB412" s="540">
        <v>2504</v>
      </c>
    </row>
    <row r="413" spans="1:29" ht="12.6" customHeight="1" x14ac:dyDescent="0.2">
      <c r="A413" s="20"/>
      <c r="B413" s="703" t="s">
        <v>816</v>
      </c>
      <c r="C413" s="704"/>
      <c r="D413" s="704"/>
      <c r="E413" s="705"/>
      <c r="F413" s="487">
        <f>3.13*X2</f>
        <v>2842.04</v>
      </c>
      <c r="G413" s="348">
        <f t="shared" ref="G413" si="1004">+F413*$X$1</f>
        <v>2842.04</v>
      </c>
      <c r="H413" s="386">
        <f>F413+290</f>
        <v>3132.04</v>
      </c>
      <c r="I413" s="348">
        <f>+H413*$X$1</f>
        <v>3132.04</v>
      </c>
      <c r="J413" s="386">
        <f>F413+120</f>
        <v>2962.04</v>
      </c>
      <c r="K413" s="348">
        <f t="shared" ref="K413" si="1005">+J413*$X$1</f>
        <v>2962.04</v>
      </c>
      <c r="L413" s="386">
        <f>F413+74</f>
        <v>2916.04</v>
      </c>
      <c r="M413" s="348">
        <f t="shared" ref="M413" si="1006">+L413*$X$1</f>
        <v>2916.04</v>
      </c>
      <c r="N413" s="386">
        <f>F413+46</f>
        <v>2888.04</v>
      </c>
      <c r="O413" s="348">
        <f t="shared" ref="O413" si="1007">+N413*$X$1</f>
        <v>2888.04</v>
      </c>
      <c r="P413" s="386">
        <f>F413+42</f>
        <v>2884.04</v>
      </c>
      <c r="Q413" s="348">
        <f t="shared" ref="Q413" si="1008">+P413*$X$1</f>
        <v>2884.04</v>
      </c>
      <c r="R413" s="386">
        <f>F413+35</f>
        <v>2877.04</v>
      </c>
      <c r="S413" s="348">
        <f t="shared" ref="S413" si="1009">+R413*$X$1</f>
        <v>2877.04</v>
      </c>
      <c r="T413" s="109">
        <f t="shared" si="998"/>
        <v>2871.04</v>
      </c>
      <c r="U413" s="306">
        <f t="shared" ref="U413" si="1010">+T413*$X$1</f>
        <v>2871.04</v>
      </c>
      <c r="V413" s="109">
        <f>F413+24</f>
        <v>2866.04</v>
      </c>
      <c r="W413" s="306">
        <f t="shared" ref="W413" si="1011">+V413*$X$1</f>
        <v>2866.04</v>
      </c>
      <c r="X413" s="708"/>
      <c r="Y413" s="711"/>
      <c r="Z413" s="711"/>
      <c r="AA413" s="710"/>
      <c r="AB413" s="540">
        <v>2505</v>
      </c>
    </row>
    <row r="414" spans="1:29" ht="12.6" customHeight="1" x14ac:dyDescent="0.2">
      <c r="A414" s="20"/>
      <c r="B414" s="700" t="s">
        <v>587</v>
      </c>
      <c r="C414" s="730"/>
      <c r="D414" s="730"/>
      <c r="E414" s="731"/>
      <c r="F414" s="488">
        <f>3.88*X2</f>
        <v>3523.04</v>
      </c>
      <c r="G414" s="349">
        <f t="shared" ref="G414" si="1012">+F414*$X$1</f>
        <v>3523.04</v>
      </c>
      <c r="H414" s="337"/>
      <c r="I414" s="425"/>
      <c r="J414" s="611">
        <f>F414+120</f>
        <v>3643.04</v>
      </c>
      <c r="K414" s="349">
        <f t="shared" ref="K414" si="1013">+J414*$X$1</f>
        <v>3643.04</v>
      </c>
      <c r="L414" s="611">
        <f>F414+74</f>
        <v>3597.04</v>
      </c>
      <c r="M414" s="349">
        <f t="shared" ref="M414" si="1014">+L414*$X$1</f>
        <v>3597.04</v>
      </c>
      <c r="N414" s="611">
        <f>F414+46</f>
        <v>3569.04</v>
      </c>
      <c r="O414" s="349">
        <f t="shared" ref="O414" si="1015">+N414*$X$1</f>
        <v>3569.04</v>
      </c>
      <c r="P414" s="611">
        <f>F414+42</f>
        <v>3565.04</v>
      </c>
      <c r="Q414" s="349">
        <f t="shared" ref="Q414" si="1016">+P414*$X$1</f>
        <v>3565.04</v>
      </c>
      <c r="R414" s="611">
        <f>F414+35</f>
        <v>3558.04</v>
      </c>
      <c r="S414" s="349">
        <f t="shared" ref="S414" si="1017">+R414*$X$1</f>
        <v>3558.04</v>
      </c>
      <c r="T414" s="108">
        <f t="shared" si="998"/>
        <v>3552.04</v>
      </c>
      <c r="U414" s="374">
        <f t="shared" ref="U414" si="1018">+T414*$X$1</f>
        <v>3552.04</v>
      </c>
      <c r="V414" s="108">
        <f>F414+24</f>
        <v>3547.04</v>
      </c>
      <c r="W414" s="374">
        <f t="shared" ref="W414" si="1019">+V414*$X$1</f>
        <v>3547.04</v>
      </c>
      <c r="X414" s="177"/>
      <c r="Y414" s="146"/>
      <c r="Z414" s="146"/>
      <c r="AA414" s="149"/>
      <c r="AB414" s="552">
        <v>3001</v>
      </c>
    </row>
    <row r="415" spans="1:29" ht="12.6" customHeight="1" x14ac:dyDescent="0.2">
      <c r="A415" s="112"/>
      <c r="B415" s="712" t="s">
        <v>643</v>
      </c>
      <c r="C415" s="713"/>
      <c r="D415" s="713"/>
      <c r="E415" s="713"/>
      <c r="F415" s="348">
        <v>3705</v>
      </c>
      <c r="G415" s="348">
        <f t="shared" ref="G415" si="1020">+F415*$X$1</f>
        <v>3705</v>
      </c>
      <c r="H415" s="338"/>
      <c r="I415" s="424"/>
      <c r="J415" s="386"/>
      <c r="K415" s="348"/>
      <c r="L415" s="386">
        <f>F415+805</f>
        <v>4510</v>
      </c>
      <c r="M415" s="348">
        <f>+L415*$X$1</f>
        <v>4510</v>
      </c>
      <c r="N415" s="386">
        <f>F415+720</f>
        <v>4425</v>
      </c>
      <c r="O415" s="348">
        <f t="shared" ref="O415:O416" si="1021">+N415*$X$1</f>
        <v>4425</v>
      </c>
      <c r="P415" s="386">
        <f>F415+695</f>
        <v>4400</v>
      </c>
      <c r="Q415" s="348">
        <f t="shared" ref="Q415:Q416" si="1022">+P415*$X$1</f>
        <v>4400</v>
      </c>
      <c r="R415" s="386">
        <f>F415+655</f>
        <v>4360</v>
      </c>
      <c r="S415" s="348">
        <f>+R415*$X$1</f>
        <v>4360</v>
      </c>
      <c r="T415" s="386">
        <f>F415+665</f>
        <v>4370</v>
      </c>
      <c r="U415" s="348">
        <f>+T415*$X$1</f>
        <v>4370</v>
      </c>
      <c r="V415" s="386"/>
      <c r="W415" s="348"/>
      <c r="X415" s="233"/>
      <c r="Y415" s="235"/>
      <c r="Z415" s="235"/>
      <c r="AA415" s="234"/>
      <c r="AB415" s="540">
        <v>5003</v>
      </c>
      <c r="AC415" s="69"/>
    </row>
    <row r="416" spans="1:29" ht="12.6" customHeight="1" x14ac:dyDescent="0.2">
      <c r="A416" s="112"/>
      <c r="B416" s="714" t="s">
        <v>820</v>
      </c>
      <c r="C416" s="715"/>
      <c r="D416" s="715"/>
      <c r="E416" s="715"/>
      <c r="F416" s="349">
        <v>3705</v>
      </c>
      <c r="G416" s="349">
        <f t="shared" ref="G416" si="1023">+F416*$X$1</f>
        <v>3705</v>
      </c>
      <c r="H416" s="621">
        <f>F416+500</f>
        <v>4205</v>
      </c>
      <c r="I416" s="349">
        <f>+H416*$X$1</f>
        <v>4205</v>
      </c>
      <c r="J416" s="94">
        <f>F416+180</f>
        <v>3885</v>
      </c>
      <c r="K416" s="349">
        <f t="shared" ref="K416" si="1024">+J416*$X$1</f>
        <v>3885</v>
      </c>
      <c r="L416" s="611">
        <f>F416+120</f>
        <v>3825</v>
      </c>
      <c r="M416" s="349">
        <f t="shared" ref="M416" si="1025">+L416*$X$1</f>
        <v>3825</v>
      </c>
      <c r="N416" s="611">
        <f>F416+80</f>
        <v>3785</v>
      </c>
      <c r="O416" s="349">
        <f t="shared" si="1021"/>
        <v>3785</v>
      </c>
      <c r="P416" s="611">
        <f>F416+70</f>
        <v>3775</v>
      </c>
      <c r="Q416" s="349">
        <f t="shared" si="1022"/>
        <v>3775</v>
      </c>
      <c r="R416" s="611">
        <f>F416+55</f>
        <v>3760</v>
      </c>
      <c r="S416" s="349">
        <f t="shared" ref="S416" si="1026">+R416*$X$1</f>
        <v>3760</v>
      </c>
      <c r="T416" s="611">
        <f>F416+49</f>
        <v>3754</v>
      </c>
      <c r="U416" s="349">
        <f t="shared" ref="U416" si="1027">+T416*$X$1</f>
        <v>3754</v>
      </c>
      <c r="V416" s="611"/>
      <c r="W416" s="349"/>
      <c r="X416" s="597"/>
      <c r="Y416" s="595"/>
      <c r="Z416" s="595"/>
      <c r="AA416" s="596"/>
      <c r="AB416" s="540" t="s">
        <v>845</v>
      </c>
      <c r="AC416" s="69"/>
    </row>
    <row r="417" spans="1:35" ht="12.6" customHeight="1" x14ac:dyDescent="0.2">
      <c r="A417" s="20"/>
      <c r="B417" s="706" t="s">
        <v>639</v>
      </c>
      <c r="C417" s="729"/>
      <c r="D417" s="729"/>
      <c r="E417" s="729"/>
      <c r="F417" s="348">
        <v>4992</v>
      </c>
      <c r="G417" s="348">
        <f t="shared" ref="G417:G425" si="1028">+F417*$X$1</f>
        <v>4992</v>
      </c>
      <c r="H417" s="338"/>
      <c r="I417" s="424"/>
      <c r="J417" s="386"/>
      <c r="K417" s="348"/>
      <c r="L417" s="386">
        <f>F417+770</f>
        <v>5762</v>
      </c>
      <c r="M417" s="348">
        <f t="shared" ref="M417" si="1029">+L417*$X$1</f>
        <v>5762</v>
      </c>
      <c r="N417" s="386">
        <f>F417+580</f>
        <v>5572</v>
      </c>
      <c r="O417" s="348">
        <f t="shared" ref="O417" si="1030">+N417*$X$1</f>
        <v>5572</v>
      </c>
      <c r="P417" s="386">
        <f>F417+520</f>
        <v>5512</v>
      </c>
      <c r="Q417" s="348">
        <f t="shared" ref="Q417" si="1031">+P417*$X$1</f>
        <v>5512</v>
      </c>
      <c r="R417" s="386">
        <f>F417+500</f>
        <v>5492</v>
      </c>
      <c r="S417" s="348">
        <f>+R417*$X$1</f>
        <v>5492</v>
      </c>
      <c r="T417" s="386">
        <f>F417+486</f>
        <v>5478</v>
      </c>
      <c r="U417" s="348">
        <f>+T417*$X$1</f>
        <v>5478</v>
      </c>
      <c r="V417" s="386"/>
      <c r="W417" s="348"/>
      <c r="X417" s="797"/>
      <c r="Y417" s="798"/>
      <c r="Z417" s="798"/>
      <c r="AA417" s="799"/>
      <c r="AB417" s="209">
        <v>5008</v>
      </c>
      <c r="AC417" s="42"/>
      <c r="AD417" s="42"/>
      <c r="AE417" s="42"/>
      <c r="AF417" s="42"/>
      <c r="AG417" s="42"/>
      <c r="AH417" s="42"/>
      <c r="AI417" s="42"/>
    </row>
    <row r="418" spans="1:35" ht="12.6" customHeight="1" x14ac:dyDescent="0.2">
      <c r="A418" s="20"/>
      <c r="B418" s="700" t="s">
        <v>640</v>
      </c>
      <c r="C418" s="701"/>
      <c r="D418" s="701"/>
      <c r="E418" s="702"/>
      <c r="F418" s="349">
        <v>6786</v>
      </c>
      <c r="G418" s="349">
        <f t="shared" si="1028"/>
        <v>6786</v>
      </c>
      <c r="H418" s="337"/>
      <c r="I418" s="425"/>
      <c r="J418" s="611"/>
      <c r="K418" s="349"/>
      <c r="L418" s="611">
        <f>F418+770</f>
        <v>7556</v>
      </c>
      <c r="M418" s="349">
        <f t="shared" ref="M418:M421" si="1032">+L418*$X$1</f>
        <v>7556</v>
      </c>
      <c r="N418" s="611">
        <f>F418+580</f>
        <v>7366</v>
      </c>
      <c r="O418" s="349">
        <f t="shared" ref="O418:O420" si="1033">+N418*$X$1</f>
        <v>7366</v>
      </c>
      <c r="P418" s="611">
        <f>F418+520</f>
        <v>7306</v>
      </c>
      <c r="Q418" s="349">
        <f t="shared" ref="Q418:Q420" si="1034">+P418*$X$1</f>
        <v>7306</v>
      </c>
      <c r="R418" s="611">
        <f>F418+500</f>
        <v>7286</v>
      </c>
      <c r="S418" s="349">
        <f>+R418*$X$1</f>
        <v>7286</v>
      </c>
      <c r="T418" s="611">
        <f>F418+486</f>
        <v>7272</v>
      </c>
      <c r="U418" s="349">
        <f>+T418*$X$1</f>
        <v>7272</v>
      </c>
      <c r="V418" s="611"/>
      <c r="W418" s="349"/>
      <c r="X418" s="797"/>
      <c r="Y418" s="798"/>
      <c r="Z418" s="798"/>
      <c r="AA418" s="799"/>
      <c r="AB418" s="552">
        <v>5010</v>
      </c>
      <c r="AC418" s="42"/>
      <c r="AD418" s="42"/>
      <c r="AE418" s="42"/>
      <c r="AF418" s="42"/>
      <c r="AG418" s="42"/>
      <c r="AH418" s="42"/>
      <c r="AI418" s="42"/>
    </row>
    <row r="419" spans="1:35" ht="12.6" customHeight="1" x14ac:dyDescent="0.2">
      <c r="A419" s="20"/>
      <c r="B419" s="716" t="s">
        <v>641</v>
      </c>
      <c r="C419" s="717"/>
      <c r="D419" s="717"/>
      <c r="E419" s="718"/>
      <c r="F419" s="348">
        <v>3783</v>
      </c>
      <c r="G419" s="348">
        <f t="shared" ref="G419" si="1035">+F419*$X$1</f>
        <v>3783</v>
      </c>
      <c r="H419" s="338"/>
      <c r="I419" s="424"/>
      <c r="J419" s="386"/>
      <c r="K419" s="348"/>
      <c r="L419" s="386">
        <f>F419+770</f>
        <v>4553</v>
      </c>
      <c r="M419" s="348">
        <f t="shared" si="1032"/>
        <v>4553</v>
      </c>
      <c r="N419" s="386">
        <f>F419+580</f>
        <v>4363</v>
      </c>
      <c r="O419" s="348">
        <f t="shared" si="1033"/>
        <v>4363</v>
      </c>
      <c r="P419" s="386">
        <f>F419+520</f>
        <v>4303</v>
      </c>
      <c r="Q419" s="348">
        <f t="shared" si="1034"/>
        <v>4303</v>
      </c>
      <c r="R419" s="386">
        <f>F419+500</f>
        <v>4283</v>
      </c>
      <c r="S419" s="348">
        <f>+R419*$X$1</f>
        <v>4283</v>
      </c>
      <c r="T419" s="386">
        <f>F419+486</f>
        <v>4269</v>
      </c>
      <c r="U419" s="348">
        <f>+T419*$X$1</f>
        <v>4269</v>
      </c>
      <c r="V419" s="386"/>
      <c r="W419" s="348"/>
      <c r="X419" s="797"/>
      <c r="Y419" s="798"/>
      <c r="Z419" s="798"/>
      <c r="AA419" s="799"/>
      <c r="AB419" s="552"/>
      <c r="AC419" s="42"/>
      <c r="AD419" s="42"/>
      <c r="AE419" s="42"/>
      <c r="AF419" s="42"/>
      <c r="AG419" s="42"/>
      <c r="AH419" s="42"/>
      <c r="AI419" s="42"/>
    </row>
    <row r="420" spans="1:35" ht="12.6" customHeight="1" x14ac:dyDescent="0.2">
      <c r="A420" s="20"/>
      <c r="B420" s="700" t="s">
        <v>642</v>
      </c>
      <c r="C420" s="701"/>
      <c r="D420" s="701"/>
      <c r="E420" s="702"/>
      <c r="F420" s="349">
        <v>5616</v>
      </c>
      <c r="G420" s="349">
        <f t="shared" ref="G420" si="1036">+F420*$X$1</f>
        <v>5616</v>
      </c>
      <c r="H420" s="337"/>
      <c r="I420" s="425"/>
      <c r="J420" s="611"/>
      <c r="K420" s="349"/>
      <c r="L420" s="611">
        <f>F420+770</f>
        <v>6386</v>
      </c>
      <c r="M420" s="349">
        <f t="shared" si="1032"/>
        <v>6386</v>
      </c>
      <c r="N420" s="611">
        <f>F420+580</f>
        <v>6196</v>
      </c>
      <c r="O420" s="349">
        <f t="shared" si="1033"/>
        <v>6196</v>
      </c>
      <c r="P420" s="611">
        <f>F420+520</f>
        <v>6136</v>
      </c>
      <c r="Q420" s="349">
        <f t="shared" si="1034"/>
        <v>6136</v>
      </c>
      <c r="R420" s="611">
        <f>F420+500</f>
        <v>6116</v>
      </c>
      <c r="S420" s="349">
        <f>+R420*$X$1</f>
        <v>6116</v>
      </c>
      <c r="T420" s="611">
        <f>F420+486</f>
        <v>6102</v>
      </c>
      <c r="U420" s="349">
        <f>+T420*$X$1</f>
        <v>6102</v>
      </c>
      <c r="V420" s="611"/>
      <c r="W420" s="349"/>
      <c r="X420" s="797"/>
      <c r="Y420" s="798"/>
      <c r="Z420" s="798"/>
      <c r="AA420" s="799"/>
      <c r="AB420" s="552"/>
      <c r="AC420" s="42"/>
      <c r="AD420" s="42"/>
      <c r="AE420" s="42"/>
      <c r="AF420" s="42"/>
      <c r="AG420" s="42"/>
      <c r="AH420" s="42"/>
      <c r="AI420" s="42"/>
    </row>
    <row r="421" spans="1:35" ht="12.6" customHeight="1" x14ac:dyDescent="0.2">
      <c r="A421" s="20"/>
      <c r="B421" s="706" t="s">
        <v>637</v>
      </c>
      <c r="C421" s="707"/>
      <c r="D421" s="707"/>
      <c r="E421" s="707"/>
      <c r="F421" s="348">
        <v>1410</v>
      </c>
      <c r="G421" s="348">
        <f t="shared" si="1028"/>
        <v>1410</v>
      </c>
      <c r="H421" s="338"/>
      <c r="I421" s="424"/>
      <c r="J421" s="75">
        <f>F421+130</f>
        <v>1540</v>
      </c>
      <c r="K421" s="348">
        <f t="shared" ref="K421" si="1037">+J421*$X$1</f>
        <v>1540</v>
      </c>
      <c r="L421" s="386">
        <f>F421+85</f>
        <v>1495</v>
      </c>
      <c r="M421" s="348">
        <f t="shared" si="1032"/>
        <v>1495</v>
      </c>
      <c r="N421" s="386"/>
      <c r="O421" s="348"/>
      <c r="P421" s="386"/>
      <c r="Q421" s="348"/>
      <c r="R421" s="386"/>
      <c r="S421" s="348"/>
      <c r="T421" s="386"/>
      <c r="U421" s="348"/>
      <c r="V421" s="386"/>
      <c r="W421" s="348"/>
      <c r="X421" s="784"/>
      <c r="Y421" s="785"/>
      <c r="Z421" s="785"/>
      <c r="AA421" s="786"/>
      <c r="AB421" s="552">
        <v>11604</v>
      </c>
    </row>
    <row r="422" spans="1:35" ht="12.6" customHeight="1" x14ac:dyDescent="0.2">
      <c r="A422" s="20"/>
      <c r="B422" s="720" t="s">
        <v>638</v>
      </c>
      <c r="C422" s="740"/>
      <c r="D422" s="740"/>
      <c r="E422" s="740"/>
      <c r="F422" s="598"/>
      <c r="G422" s="611"/>
      <c r="H422" s="337"/>
      <c r="I422" s="425"/>
      <c r="J422" s="94">
        <f>F421+200</f>
        <v>1610</v>
      </c>
      <c r="K422" s="349">
        <f t="shared" ref="K422" si="1038">+J422*$X$1</f>
        <v>1610</v>
      </c>
      <c r="L422" s="611">
        <f>F421+150</f>
        <v>1560</v>
      </c>
      <c r="M422" s="349">
        <f t="shared" ref="M422" si="1039">+L422*$X$1</f>
        <v>1560</v>
      </c>
      <c r="N422" s="611"/>
      <c r="O422" s="349"/>
      <c r="P422" s="611"/>
      <c r="Q422" s="349"/>
      <c r="R422" s="611"/>
      <c r="S422" s="349"/>
      <c r="T422" s="611"/>
      <c r="U422" s="349"/>
      <c r="V422" s="611"/>
      <c r="W422" s="349"/>
      <c r="X422" s="784"/>
      <c r="Y422" s="785"/>
      <c r="Z422" s="785"/>
      <c r="AA422" s="786"/>
      <c r="AB422" s="552">
        <v>11605</v>
      </c>
    </row>
    <row r="423" spans="1:35" ht="12.6" customHeight="1" x14ac:dyDescent="0.2">
      <c r="A423" s="20"/>
      <c r="B423" s="812" t="s">
        <v>632</v>
      </c>
      <c r="C423" s="924"/>
      <c r="D423" s="924"/>
      <c r="E423" s="924"/>
      <c r="F423" s="348">
        <v>321</v>
      </c>
      <c r="G423" s="348">
        <f t="shared" si="1028"/>
        <v>321</v>
      </c>
      <c r="H423" s="338"/>
      <c r="I423" s="338"/>
      <c r="J423" s="386"/>
      <c r="K423" s="386"/>
      <c r="L423" s="386"/>
      <c r="M423" s="386"/>
      <c r="N423" s="386"/>
      <c r="O423" s="386"/>
      <c r="P423" s="338"/>
      <c r="Q423" s="338"/>
      <c r="R423" s="386"/>
      <c r="S423" s="386"/>
      <c r="T423" s="386"/>
      <c r="U423" s="386"/>
      <c r="V423" s="386"/>
      <c r="W423" s="386"/>
      <c r="X423" s="784"/>
      <c r="Y423" s="785"/>
      <c r="Z423" s="785"/>
      <c r="AA423" s="786"/>
      <c r="AB423" s="560"/>
    </row>
    <row r="424" spans="1:35" ht="12.6" customHeight="1" x14ac:dyDescent="0.2">
      <c r="A424" s="20"/>
      <c r="B424" s="720" t="s">
        <v>273</v>
      </c>
      <c r="C424" s="740"/>
      <c r="D424" s="740"/>
      <c r="E424" s="740"/>
      <c r="F424" s="349">
        <v>1067</v>
      </c>
      <c r="G424" s="349">
        <f t="shared" si="1028"/>
        <v>1067</v>
      </c>
      <c r="H424" s="337"/>
      <c r="I424" s="337"/>
      <c r="J424" s="611">
        <f>F424+120</f>
        <v>1187</v>
      </c>
      <c r="K424" s="349">
        <f t="shared" ref="K424" si="1040">+J424*$X$1</f>
        <v>1187</v>
      </c>
      <c r="L424" s="611">
        <f>F424+74</f>
        <v>1141</v>
      </c>
      <c r="M424" s="349">
        <f t="shared" ref="M424" si="1041">+L424*$X$1</f>
        <v>1141</v>
      </c>
      <c r="N424" s="611">
        <f>F424+46</f>
        <v>1113</v>
      </c>
      <c r="O424" s="349">
        <f t="shared" ref="O424" si="1042">+N424*$X$1</f>
        <v>1113</v>
      </c>
      <c r="P424" s="611">
        <f>F424+42</f>
        <v>1109</v>
      </c>
      <c r="Q424" s="349">
        <f t="shared" ref="Q424" si="1043">+P424*$X$1</f>
        <v>1109</v>
      </c>
      <c r="R424" s="611">
        <f>F424+35</f>
        <v>1102</v>
      </c>
      <c r="S424" s="349">
        <f t="shared" ref="S424" si="1044">+R424*$X$1</f>
        <v>1102</v>
      </c>
      <c r="T424" s="108">
        <f>F424+29</f>
        <v>1096</v>
      </c>
      <c r="U424" s="374">
        <f t="shared" ref="U424" si="1045">+T424*$X$1</f>
        <v>1096</v>
      </c>
      <c r="V424" s="108">
        <f>F424+24</f>
        <v>1091</v>
      </c>
      <c r="W424" s="374">
        <f t="shared" ref="W424" si="1046">+V424*$X$1</f>
        <v>1091</v>
      </c>
      <c r="X424" s="165"/>
      <c r="Y424" s="142"/>
      <c r="Z424" s="142"/>
      <c r="AA424" s="142"/>
      <c r="AB424" s="561"/>
    </row>
    <row r="425" spans="1:35" ht="12.6" customHeight="1" x14ac:dyDescent="0.2">
      <c r="A425" s="112"/>
      <c r="B425" s="738" t="s">
        <v>274</v>
      </c>
      <c r="C425" s="918"/>
      <c r="D425" s="918"/>
      <c r="E425" s="918"/>
      <c r="F425" s="414">
        <v>25</v>
      </c>
      <c r="G425" s="414">
        <f t="shared" si="1028"/>
        <v>25</v>
      </c>
      <c r="H425" s="122"/>
      <c r="I425" s="122"/>
      <c r="J425" s="122"/>
      <c r="K425" s="122"/>
      <c r="L425" s="122"/>
      <c r="M425" s="122"/>
      <c r="N425" s="122"/>
      <c r="O425" s="414"/>
      <c r="P425" s="122"/>
      <c r="Q425" s="414"/>
      <c r="R425" s="122"/>
      <c r="S425" s="414"/>
      <c r="T425" s="122"/>
      <c r="U425" s="414"/>
      <c r="V425" s="122"/>
      <c r="W425" s="414"/>
      <c r="X425" s="165"/>
      <c r="Y425" s="142"/>
      <c r="Z425" s="142"/>
      <c r="AA425" s="142"/>
      <c r="AB425" s="209">
        <v>11612</v>
      </c>
    </row>
    <row r="426" spans="1:35" ht="12.6" customHeight="1" x14ac:dyDescent="0.2">
      <c r="A426" s="20"/>
      <c r="B426" s="700" t="s">
        <v>398</v>
      </c>
      <c r="C426" s="701"/>
      <c r="D426" s="701"/>
      <c r="E426" s="702"/>
      <c r="F426" s="349">
        <v>1267</v>
      </c>
      <c r="G426" s="349">
        <f t="shared" ref="G426:G436" si="1047">+F426*$X$1</f>
        <v>1267</v>
      </c>
      <c r="H426" s="312"/>
      <c r="I426" s="800" t="s">
        <v>604</v>
      </c>
      <c r="J426" s="801"/>
      <c r="K426" s="801"/>
      <c r="L426" s="801"/>
      <c r="M426" s="802"/>
      <c r="N426" s="598">
        <v>1790</v>
      </c>
      <c r="O426" s="349">
        <f>+N426*$X$1</f>
        <v>1790</v>
      </c>
      <c r="P426" s="113">
        <v>1780</v>
      </c>
      <c r="Q426" s="349">
        <f t="shared" ref="Q426" si="1048">+P426*$X$1</f>
        <v>1780</v>
      </c>
      <c r="R426" s="598">
        <v>1615</v>
      </c>
      <c r="S426" s="349">
        <f>+R426*$X$1</f>
        <v>1615</v>
      </c>
      <c r="T426" s="598">
        <v>1507</v>
      </c>
      <c r="U426" s="349">
        <f>+T426*$X$1</f>
        <v>1507</v>
      </c>
      <c r="V426" s="598">
        <v>1455</v>
      </c>
      <c r="W426" s="349">
        <f t="shared" ref="W426" si="1049">+V426*$X$1</f>
        <v>1455</v>
      </c>
      <c r="X426" s="146"/>
      <c r="Y426" s="146"/>
      <c r="Z426" s="146"/>
      <c r="AA426" s="149"/>
      <c r="AB426" s="31"/>
    </row>
    <row r="427" spans="1:35" ht="12.6" customHeight="1" x14ac:dyDescent="0.2">
      <c r="A427" s="20"/>
      <c r="B427" s="716" t="s">
        <v>399</v>
      </c>
      <c r="C427" s="717"/>
      <c r="D427" s="717"/>
      <c r="E427" s="718"/>
      <c r="F427" s="348">
        <v>1267</v>
      </c>
      <c r="G427" s="348">
        <f t="shared" si="1047"/>
        <v>1267</v>
      </c>
      <c r="H427" s="312"/>
      <c r="I427" s="803"/>
      <c r="J427" s="804"/>
      <c r="K427" s="804"/>
      <c r="L427" s="804"/>
      <c r="M427" s="805"/>
      <c r="N427" s="386">
        <v>1790</v>
      </c>
      <c r="O427" s="348">
        <f>+N427*$X$1</f>
        <v>1790</v>
      </c>
      <c r="P427" s="107">
        <v>1780</v>
      </c>
      <c r="Q427" s="348">
        <f t="shared" ref="Q427:Q430" si="1050">+P427*$X$1</f>
        <v>1780</v>
      </c>
      <c r="R427" s="386">
        <v>1615</v>
      </c>
      <c r="S427" s="348">
        <f>+R427*$X$1</f>
        <v>1615</v>
      </c>
      <c r="T427" s="386">
        <v>1507</v>
      </c>
      <c r="U427" s="348">
        <f>+T427*$X$1</f>
        <v>1507</v>
      </c>
      <c r="V427" s="386">
        <v>1455</v>
      </c>
      <c r="W427" s="348">
        <f t="shared" ref="W427:W430" si="1051">+V427*$X$1</f>
        <v>1455</v>
      </c>
      <c r="X427" s="146"/>
      <c r="Y427" s="146"/>
      <c r="Z427" s="146"/>
      <c r="AA427" s="149"/>
      <c r="AB427" s="209"/>
    </row>
    <row r="428" spans="1:35" ht="12.6" customHeight="1" x14ac:dyDescent="0.2">
      <c r="A428" s="20"/>
      <c r="B428" s="700" t="s">
        <v>400</v>
      </c>
      <c r="C428" s="701"/>
      <c r="D428" s="701"/>
      <c r="E428" s="702"/>
      <c r="F428" s="349">
        <v>1267</v>
      </c>
      <c r="G428" s="349">
        <f t="shared" si="1047"/>
        <v>1267</v>
      </c>
      <c r="H428" s="19"/>
      <c r="I428" s="806"/>
      <c r="J428" s="807"/>
      <c r="K428" s="807"/>
      <c r="L428" s="807"/>
      <c r="M428" s="808"/>
      <c r="N428" s="598">
        <v>1790</v>
      </c>
      <c r="O428" s="349">
        <f>+N428*$X$1</f>
        <v>1790</v>
      </c>
      <c r="P428" s="113">
        <v>1780</v>
      </c>
      <c r="Q428" s="349">
        <f t="shared" si="1050"/>
        <v>1780</v>
      </c>
      <c r="R428" s="598">
        <v>1615</v>
      </c>
      <c r="S428" s="349">
        <f>+R428*$X$1</f>
        <v>1615</v>
      </c>
      <c r="T428" s="598">
        <v>1507</v>
      </c>
      <c r="U428" s="349">
        <f>+T428*$X$1</f>
        <v>1507</v>
      </c>
      <c r="V428" s="598">
        <v>1455</v>
      </c>
      <c r="W428" s="349">
        <f t="shared" si="1051"/>
        <v>1455</v>
      </c>
      <c r="X428" s="146"/>
      <c r="Y428" s="146"/>
      <c r="Z428" s="146"/>
      <c r="AA428" s="149"/>
      <c r="AB428" s="209"/>
      <c r="AG428" s="249"/>
    </row>
    <row r="429" spans="1:35" ht="12.6" customHeight="1" x14ac:dyDescent="0.2">
      <c r="A429" s="20"/>
      <c r="B429" s="812" t="s">
        <v>275</v>
      </c>
      <c r="C429" s="813"/>
      <c r="D429" s="813"/>
      <c r="E429" s="813"/>
      <c r="F429" s="487">
        <f>3.11*X2</f>
        <v>2823.88</v>
      </c>
      <c r="G429" s="348">
        <f t="shared" si="1047"/>
        <v>2823.88</v>
      </c>
      <c r="H429" s="338"/>
      <c r="I429" s="338"/>
      <c r="J429" s="386">
        <f>F429+120</f>
        <v>2943.88</v>
      </c>
      <c r="K429" s="348">
        <f t="shared" ref="K429:K430" si="1052">+J429*$X$1</f>
        <v>2943.88</v>
      </c>
      <c r="L429" s="386">
        <f>F429+74</f>
        <v>2897.88</v>
      </c>
      <c r="M429" s="348">
        <f t="shared" ref="M429:M430" si="1053">+L429*$X$1</f>
        <v>2897.88</v>
      </c>
      <c r="N429" s="386">
        <f>F429+46</f>
        <v>2869.88</v>
      </c>
      <c r="O429" s="348">
        <f t="shared" ref="O429:O430" si="1054">+N429*$X$1</f>
        <v>2869.88</v>
      </c>
      <c r="P429" s="386">
        <f>F429+42</f>
        <v>2865.88</v>
      </c>
      <c r="Q429" s="348">
        <f t="shared" si="1050"/>
        <v>2865.88</v>
      </c>
      <c r="R429" s="386">
        <f>F429+35</f>
        <v>2858.88</v>
      </c>
      <c r="S429" s="348">
        <f t="shared" ref="S429:S430" si="1055">+R429*$X$1</f>
        <v>2858.88</v>
      </c>
      <c r="T429" s="109">
        <f t="shared" ref="T429:T430" si="1056">F429+29</f>
        <v>2852.88</v>
      </c>
      <c r="U429" s="306">
        <f t="shared" ref="U429:U430" si="1057">+T429*$X$1</f>
        <v>2852.88</v>
      </c>
      <c r="V429" s="109">
        <f>F429+24</f>
        <v>2847.88</v>
      </c>
      <c r="W429" s="306">
        <f t="shared" si="1051"/>
        <v>2847.88</v>
      </c>
      <c r="X429" s="816"/>
      <c r="Y429" s="816"/>
      <c r="Z429" s="816"/>
      <c r="AA429" s="817"/>
      <c r="AB429" s="209" t="s">
        <v>276</v>
      </c>
    </row>
    <row r="430" spans="1:35" ht="12.6" customHeight="1" x14ac:dyDescent="0.2">
      <c r="A430" s="20"/>
      <c r="B430" s="720" t="s">
        <v>471</v>
      </c>
      <c r="C430" s="721"/>
      <c r="D430" s="721"/>
      <c r="E430" s="721"/>
      <c r="F430" s="488">
        <f>1.6*X2</f>
        <v>1452.8000000000002</v>
      </c>
      <c r="G430" s="349">
        <f t="shared" si="1047"/>
        <v>1452.8000000000002</v>
      </c>
      <c r="H430" s="337"/>
      <c r="I430" s="337"/>
      <c r="J430" s="671">
        <f>F430+120</f>
        <v>1572.8000000000002</v>
      </c>
      <c r="K430" s="349">
        <f t="shared" si="1052"/>
        <v>1572.8000000000002</v>
      </c>
      <c r="L430" s="671">
        <f>F430+74</f>
        <v>1526.8000000000002</v>
      </c>
      <c r="M430" s="349">
        <f t="shared" si="1053"/>
        <v>1526.8000000000002</v>
      </c>
      <c r="N430" s="671">
        <f>F430+46</f>
        <v>1498.8000000000002</v>
      </c>
      <c r="O430" s="349">
        <f t="shared" si="1054"/>
        <v>1498.8000000000002</v>
      </c>
      <c r="P430" s="671">
        <f>F430+42</f>
        <v>1494.8000000000002</v>
      </c>
      <c r="Q430" s="349">
        <f t="shared" si="1050"/>
        <v>1494.8000000000002</v>
      </c>
      <c r="R430" s="671">
        <f>F430+35</f>
        <v>1487.8000000000002</v>
      </c>
      <c r="S430" s="349">
        <f t="shared" si="1055"/>
        <v>1487.8000000000002</v>
      </c>
      <c r="T430" s="108">
        <f t="shared" si="1056"/>
        <v>1481.8000000000002</v>
      </c>
      <c r="U430" s="374">
        <f t="shared" si="1057"/>
        <v>1481.8000000000002</v>
      </c>
      <c r="V430" s="108">
        <f>F430+24</f>
        <v>1476.8000000000002</v>
      </c>
      <c r="W430" s="374">
        <f t="shared" si="1051"/>
        <v>1476.8000000000002</v>
      </c>
      <c r="X430" s="816"/>
      <c r="Y430" s="816"/>
      <c r="Z430" s="816"/>
      <c r="AA430" s="817"/>
      <c r="AB430" s="209" t="s">
        <v>523</v>
      </c>
    </row>
    <row r="431" spans="1:35" s="69" customFormat="1" ht="12.6" customHeight="1" x14ac:dyDescent="0.25">
      <c r="A431" s="102"/>
      <c r="B431" s="814" t="s">
        <v>396</v>
      </c>
      <c r="C431" s="815"/>
      <c r="D431" s="815"/>
      <c r="E431" s="815"/>
      <c r="F431" s="348">
        <v>657</v>
      </c>
      <c r="G431" s="348">
        <f t="shared" si="1047"/>
        <v>657</v>
      </c>
      <c r="H431" s="336"/>
      <c r="I431" s="800" t="s">
        <v>598</v>
      </c>
      <c r="J431" s="952"/>
      <c r="K431" s="952"/>
      <c r="L431" s="953"/>
      <c r="M431" s="954"/>
      <c r="N431" s="386">
        <v>1260</v>
      </c>
      <c r="O431" s="348">
        <f t="shared" ref="O431:O437" si="1058">+N431*$X$1</f>
        <v>1260</v>
      </c>
      <c r="P431" s="363">
        <v>1256</v>
      </c>
      <c r="Q431" s="348">
        <f t="shared" ref="Q431:Q437" si="1059">+P431*$X$1</f>
        <v>1256</v>
      </c>
      <c r="R431" s="386">
        <v>1173</v>
      </c>
      <c r="S431" s="348">
        <f t="shared" ref="S431:S437" si="1060">+R431*$X$1</f>
        <v>1173</v>
      </c>
      <c r="T431" s="386">
        <v>1071</v>
      </c>
      <c r="U431" s="348">
        <f t="shared" ref="U431:U437" si="1061">+T431*$X$1</f>
        <v>1071</v>
      </c>
      <c r="V431" s="386">
        <v>1014</v>
      </c>
      <c r="W431" s="348">
        <f t="shared" ref="W431:W437" si="1062">+V431*$X$1</f>
        <v>1014</v>
      </c>
      <c r="X431" s="163"/>
      <c r="Y431" s="163"/>
      <c r="Z431" s="163"/>
      <c r="AA431" s="164"/>
      <c r="AB431" s="562" t="s">
        <v>277</v>
      </c>
    </row>
    <row r="432" spans="1:35" s="69" customFormat="1" ht="12.6" customHeight="1" x14ac:dyDescent="0.25">
      <c r="A432" s="102"/>
      <c r="B432" s="720" t="s">
        <v>397</v>
      </c>
      <c r="C432" s="721"/>
      <c r="D432" s="721"/>
      <c r="E432" s="721"/>
      <c r="F432" s="349">
        <v>657</v>
      </c>
      <c r="G432" s="349">
        <f t="shared" si="1047"/>
        <v>657</v>
      </c>
      <c r="H432" s="342"/>
      <c r="I432" s="955"/>
      <c r="J432" s="956"/>
      <c r="K432" s="956"/>
      <c r="L432" s="957"/>
      <c r="M432" s="958"/>
      <c r="N432" s="598">
        <v>1592</v>
      </c>
      <c r="O432" s="349">
        <f t="shared" si="1058"/>
        <v>1592</v>
      </c>
      <c r="P432" s="362">
        <v>1585</v>
      </c>
      <c r="Q432" s="349">
        <f t="shared" si="1059"/>
        <v>1585</v>
      </c>
      <c r="R432" s="598">
        <v>1509</v>
      </c>
      <c r="S432" s="349">
        <f t="shared" si="1060"/>
        <v>1509</v>
      </c>
      <c r="T432" s="598">
        <v>1457</v>
      </c>
      <c r="U432" s="349">
        <f t="shared" si="1061"/>
        <v>1457</v>
      </c>
      <c r="V432" s="598">
        <v>1381</v>
      </c>
      <c r="W432" s="349">
        <f t="shared" si="1062"/>
        <v>1381</v>
      </c>
      <c r="X432" s="187"/>
      <c r="Y432" s="146"/>
      <c r="Z432" s="146"/>
      <c r="AA432" s="149"/>
      <c r="AB432" s="563"/>
    </row>
    <row r="433" spans="1:31" s="69" customFormat="1" ht="12.6" customHeight="1" x14ac:dyDescent="0.25">
      <c r="A433" s="102"/>
      <c r="B433" s="706" t="s">
        <v>417</v>
      </c>
      <c r="C433" s="729"/>
      <c r="D433" s="729"/>
      <c r="E433" s="729"/>
      <c r="F433" s="348">
        <v>657</v>
      </c>
      <c r="G433" s="348">
        <f t="shared" si="1047"/>
        <v>657</v>
      </c>
      <c r="H433" s="334"/>
      <c r="I433" s="955"/>
      <c r="J433" s="956"/>
      <c r="K433" s="956"/>
      <c r="L433" s="957"/>
      <c r="M433" s="958"/>
      <c r="N433" s="386">
        <v>1260</v>
      </c>
      <c r="O433" s="348">
        <f t="shared" ref="O433:O434" si="1063">+N433*$X$1</f>
        <v>1260</v>
      </c>
      <c r="P433" s="363">
        <v>1256</v>
      </c>
      <c r="Q433" s="348">
        <f t="shared" ref="Q433:Q434" si="1064">+P433*$X$1</f>
        <v>1256</v>
      </c>
      <c r="R433" s="386">
        <v>1173</v>
      </c>
      <c r="S433" s="348">
        <f t="shared" ref="S433:S434" si="1065">+R433*$X$1</f>
        <v>1173</v>
      </c>
      <c r="T433" s="386">
        <v>1071</v>
      </c>
      <c r="U433" s="348">
        <f t="shared" ref="U433:U434" si="1066">+T433*$X$1</f>
        <v>1071</v>
      </c>
      <c r="V433" s="386">
        <v>1014</v>
      </c>
      <c r="W433" s="348">
        <f t="shared" ref="W433:W434" si="1067">+V433*$X$1</f>
        <v>1014</v>
      </c>
      <c r="X433" s="146"/>
      <c r="Y433" s="146"/>
      <c r="Z433" s="146"/>
      <c r="AA433" s="149"/>
      <c r="AB433" s="562" t="s">
        <v>278</v>
      </c>
    </row>
    <row r="434" spans="1:31" s="69" customFormat="1" ht="12" customHeight="1" x14ac:dyDescent="0.25">
      <c r="A434" s="102"/>
      <c r="B434" s="720" t="s">
        <v>418</v>
      </c>
      <c r="C434" s="721"/>
      <c r="D434" s="721"/>
      <c r="E434" s="721"/>
      <c r="F434" s="349">
        <v>657</v>
      </c>
      <c r="G434" s="349">
        <f t="shared" si="1047"/>
        <v>657</v>
      </c>
      <c r="H434" s="342"/>
      <c r="I434" s="955"/>
      <c r="J434" s="956"/>
      <c r="K434" s="956"/>
      <c r="L434" s="957"/>
      <c r="M434" s="958"/>
      <c r="N434" s="598">
        <v>1592</v>
      </c>
      <c r="O434" s="349">
        <f t="shared" si="1063"/>
        <v>1592</v>
      </c>
      <c r="P434" s="362">
        <v>1585</v>
      </c>
      <c r="Q434" s="349">
        <f t="shared" si="1064"/>
        <v>1585</v>
      </c>
      <c r="R434" s="598">
        <v>1509</v>
      </c>
      <c r="S434" s="349">
        <f t="shared" si="1065"/>
        <v>1509</v>
      </c>
      <c r="T434" s="598">
        <v>1457</v>
      </c>
      <c r="U434" s="349">
        <f t="shared" si="1066"/>
        <v>1457</v>
      </c>
      <c r="V434" s="598">
        <v>1381</v>
      </c>
      <c r="W434" s="349">
        <f t="shared" si="1067"/>
        <v>1381</v>
      </c>
      <c r="X434" s="163"/>
      <c r="Y434" s="163"/>
      <c r="Z434" s="146"/>
      <c r="AA434" s="149"/>
      <c r="AB434" s="563"/>
    </row>
    <row r="435" spans="1:31" s="69" customFormat="1" ht="12.6" customHeight="1" x14ac:dyDescent="0.25">
      <c r="A435" s="102"/>
      <c r="B435" s="706" t="s">
        <v>279</v>
      </c>
      <c r="C435" s="729"/>
      <c r="D435" s="729"/>
      <c r="E435" s="729"/>
      <c r="F435" s="348">
        <v>657</v>
      </c>
      <c r="G435" s="348">
        <f t="shared" si="1047"/>
        <v>657</v>
      </c>
      <c r="H435" s="334"/>
      <c r="I435" s="959"/>
      <c r="J435" s="960"/>
      <c r="K435" s="960"/>
      <c r="L435" s="957"/>
      <c r="M435" s="958"/>
      <c r="N435" s="386">
        <v>1373</v>
      </c>
      <c r="O435" s="348">
        <f t="shared" si="1058"/>
        <v>1373</v>
      </c>
      <c r="P435" s="363">
        <v>1365</v>
      </c>
      <c r="Q435" s="348">
        <f t="shared" si="1059"/>
        <v>1365</v>
      </c>
      <c r="R435" s="386">
        <v>1285</v>
      </c>
      <c r="S435" s="348">
        <f t="shared" si="1060"/>
        <v>1285</v>
      </c>
      <c r="T435" s="386">
        <v>1196</v>
      </c>
      <c r="U435" s="348">
        <f t="shared" si="1061"/>
        <v>1196</v>
      </c>
      <c r="V435" s="386">
        <v>1123</v>
      </c>
      <c r="W435" s="348">
        <f t="shared" si="1062"/>
        <v>1123</v>
      </c>
      <c r="X435" s="146"/>
      <c r="Y435" s="146"/>
      <c r="Z435" s="146"/>
      <c r="AA435" s="149"/>
      <c r="AB435" s="562" t="s">
        <v>280</v>
      </c>
      <c r="AE435" s="278"/>
    </row>
    <row r="436" spans="1:31" s="69" customFormat="1" ht="12.6" customHeight="1" x14ac:dyDescent="0.25">
      <c r="A436" s="102"/>
      <c r="B436" s="720" t="s">
        <v>281</v>
      </c>
      <c r="C436" s="721"/>
      <c r="D436" s="721"/>
      <c r="E436" s="721"/>
      <c r="F436" s="349">
        <v>657</v>
      </c>
      <c r="G436" s="349">
        <f t="shared" si="1047"/>
        <v>657</v>
      </c>
      <c r="H436" s="342"/>
      <c r="I436" s="961"/>
      <c r="J436" s="962"/>
      <c r="K436" s="962"/>
      <c r="L436" s="962"/>
      <c r="M436" s="963"/>
      <c r="N436" s="598">
        <v>1743</v>
      </c>
      <c r="O436" s="349">
        <f t="shared" si="1058"/>
        <v>1743</v>
      </c>
      <c r="P436" s="362">
        <v>1735</v>
      </c>
      <c r="Q436" s="349">
        <f t="shared" si="1059"/>
        <v>1735</v>
      </c>
      <c r="R436" s="598">
        <v>1657</v>
      </c>
      <c r="S436" s="349">
        <f t="shared" si="1060"/>
        <v>1657</v>
      </c>
      <c r="T436" s="598">
        <v>1615</v>
      </c>
      <c r="U436" s="349">
        <f t="shared" si="1061"/>
        <v>1615</v>
      </c>
      <c r="V436" s="598">
        <v>1540</v>
      </c>
      <c r="W436" s="349">
        <f t="shared" si="1062"/>
        <v>1540</v>
      </c>
      <c r="X436" s="146"/>
      <c r="Y436" s="146"/>
      <c r="Z436" s="146"/>
      <c r="AA436" s="149"/>
      <c r="AB436" s="562" t="s">
        <v>282</v>
      </c>
    </row>
    <row r="437" spans="1:31" ht="12.6" customHeight="1" x14ac:dyDescent="0.2">
      <c r="A437" s="20"/>
      <c r="B437" s="716" t="s">
        <v>283</v>
      </c>
      <c r="C437" s="717"/>
      <c r="D437" s="717"/>
      <c r="E437" s="718"/>
      <c r="F437" s="487">
        <f>1.6*X2</f>
        <v>1452.8000000000002</v>
      </c>
      <c r="G437" s="348">
        <f t="shared" ref="G437:G438" si="1068">+F437*$X$1</f>
        <v>1452.8000000000002</v>
      </c>
      <c r="H437" s="386">
        <f t="shared" ref="H437:H446" si="1069">F437+250</f>
        <v>1702.8000000000002</v>
      </c>
      <c r="I437" s="348">
        <f t="shared" ref="I437:I446" si="1070">+H437*$X$1</f>
        <v>1702.8000000000002</v>
      </c>
      <c r="J437" s="386">
        <f t="shared" ref="J437:J446" si="1071">F437+80</f>
        <v>1532.8000000000002</v>
      </c>
      <c r="K437" s="348">
        <f t="shared" ref="K437" si="1072">+J437*$X$1</f>
        <v>1532.8000000000002</v>
      </c>
      <c r="L437" s="386">
        <f>F437+60</f>
        <v>1512.8000000000002</v>
      </c>
      <c r="M437" s="348">
        <f t="shared" ref="M437" si="1073">+L437*$X$1</f>
        <v>1512.8000000000002</v>
      </c>
      <c r="N437" s="386">
        <f>F437+45</f>
        <v>1497.8000000000002</v>
      </c>
      <c r="O437" s="348">
        <f t="shared" si="1058"/>
        <v>1497.8000000000002</v>
      </c>
      <c r="P437" s="386">
        <f>F437+42</f>
        <v>1494.8000000000002</v>
      </c>
      <c r="Q437" s="348">
        <f t="shared" si="1059"/>
        <v>1494.8000000000002</v>
      </c>
      <c r="R437" s="386">
        <f>F437+39</f>
        <v>1491.8000000000002</v>
      </c>
      <c r="S437" s="348">
        <f t="shared" si="1060"/>
        <v>1491.8000000000002</v>
      </c>
      <c r="T437" s="386">
        <f>F437+35</f>
        <v>1487.8000000000002</v>
      </c>
      <c r="U437" s="348">
        <f t="shared" si="1061"/>
        <v>1487.8000000000002</v>
      </c>
      <c r="V437" s="386">
        <f>F437+30</f>
        <v>1482.8000000000002</v>
      </c>
      <c r="W437" s="348">
        <f t="shared" si="1062"/>
        <v>1482.8000000000002</v>
      </c>
      <c r="X437" s="711"/>
      <c r="Y437" s="711"/>
      <c r="Z437" s="711"/>
      <c r="AA437" s="710"/>
      <c r="AB437" s="209" t="s">
        <v>284</v>
      </c>
    </row>
    <row r="438" spans="1:31" ht="12.6" customHeight="1" x14ac:dyDescent="0.2">
      <c r="A438" s="20"/>
      <c r="B438" s="700" t="s">
        <v>285</v>
      </c>
      <c r="C438" s="701"/>
      <c r="D438" s="701"/>
      <c r="E438" s="702"/>
      <c r="F438" s="488">
        <f>1.28*X2</f>
        <v>1162.24</v>
      </c>
      <c r="G438" s="349">
        <f t="shared" si="1068"/>
        <v>1162.24</v>
      </c>
      <c r="H438" s="611">
        <f t="shared" si="1069"/>
        <v>1412.24</v>
      </c>
      <c r="I438" s="349">
        <f t="shared" si="1070"/>
        <v>1412.24</v>
      </c>
      <c r="J438" s="611">
        <f t="shared" si="1071"/>
        <v>1242.24</v>
      </c>
      <c r="K438" s="349">
        <f t="shared" ref="K438:K446" si="1074">+J438*$X$1</f>
        <v>1242.24</v>
      </c>
      <c r="L438" s="611">
        <f>F438+60</f>
        <v>1222.24</v>
      </c>
      <c r="M438" s="349">
        <f t="shared" ref="M438:M446" si="1075">+L438*$X$1</f>
        <v>1222.24</v>
      </c>
      <c r="N438" s="611">
        <f>F438+45</f>
        <v>1207.24</v>
      </c>
      <c r="O438" s="349">
        <f t="shared" ref="O438:O446" si="1076">+N438*$X$1</f>
        <v>1207.24</v>
      </c>
      <c r="P438" s="611">
        <f>F438+42</f>
        <v>1204.24</v>
      </c>
      <c r="Q438" s="349">
        <f t="shared" ref="Q438:Q446" si="1077">+P438*$X$1</f>
        <v>1204.24</v>
      </c>
      <c r="R438" s="611">
        <f>F438+39</f>
        <v>1201.24</v>
      </c>
      <c r="S438" s="349">
        <f t="shared" ref="S438:S446" si="1078">+R438*$X$1</f>
        <v>1201.24</v>
      </c>
      <c r="T438" s="611">
        <f>F438+35</f>
        <v>1197.24</v>
      </c>
      <c r="U438" s="349">
        <f t="shared" ref="U438:U446" si="1079">+T438*$X$1</f>
        <v>1197.24</v>
      </c>
      <c r="V438" s="611">
        <f>F438+30</f>
        <v>1192.24</v>
      </c>
      <c r="W438" s="349">
        <f t="shared" ref="W438:W446" si="1080">+V438*$X$1</f>
        <v>1192.24</v>
      </c>
      <c r="X438" s="711"/>
      <c r="Y438" s="711"/>
      <c r="Z438" s="711"/>
      <c r="AA438" s="710"/>
      <c r="AB438" s="209" t="s">
        <v>514</v>
      </c>
    </row>
    <row r="439" spans="1:31" ht="12.6" customHeight="1" x14ac:dyDescent="0.2">
      <c r="A439" s="20"/>
      <c r="B439" s="716" t="s">
        <v>453</v>
      </c>
      <c r="C439" s="717"/>
      <c r="D439" s="717"/>
      <c r="E439" s="718"/>
      <c r="F439" s="487">
        <f>1.99*X2</f>
        <v>1806.92</v>
      </c>
      <c r="G439" s="348">
        <f t="shared" ref="G439:G440" si="1081">+F439*$X$1</f>
        <v>1806.92</v>
      </c>
      <c r="H439" s="386">
        <f t="shared" si="1069"/>
        <v>2056.92</v>
      </c>
      <c r="I439" s="348">
        <f t="shared" si="1070"/>
        <v>2056.92</v>
      </c>
      <c r="J439" s="386">
        <f t="shared" si="1071"/>
        <v>1886.92</v>
      </c>
      <c r="K439" s="348">
        <f t="shared" si="1074"/>
        <v>1886.92</v>
      </c>
      <c r="L439" s="386">
        <f>F439+60</f>
        <v>1866.92</v>
      </c>
      <c r="M439" s="348">
        <f t="shared" si="1075"/>
        <v>1866.92</v>
      </c>
      <c r="N439" s="386">
        <f>F439+45</f>
        <v>1851.92</v>
      </c>
      <c r="O439" s="348">
        <f t="shared" si="1076"/>
        <v>1851.92</v>
      </c>
      <c r="P439" s="386">
        <f>F439+42</f>
        <v>1848.92</v>
      </c>
      <c r="Q439" s="348">
        <f t="shared" si="1077"/>
        <v>1848.92</v>
      </c>
      <c r="R439" s="386">
        <f>F439+39</f>
        <v>1845.92</v>
      </c>
      <c r="S439" s="348">
        <f t="shared" si="1078"/>
        <v>1845.92</v>
      </c>
      <c r="T439" s="386">
        <f>F439+35</f>
        <v>1841.92</v>
      </c>
      <c r="U439" s="348">
        <f t="shared" si="1079"/>
        <v>1841.92</v>
      </c>
      <c r="V439" s="386">
        <f>F439+30</f>
        <v>1836.92</v>
      </c>
      <c r="W439" s="348">
        <f t="shared" si="1080"/>
        <v>1836.92</v>
      </c>
      <c r="X439" s="711"/>
      <c r="Y439" s="709"/>
      <c r="Z439" s="709"/>
      <c r="AA439" s="710"/>
      <c r="AB439" s="209" t="s">
        <v>515</v>
      </c>
    </row>
    <row r="440" spans="1:31" ht="12.6" customHeight="1" x14ac:dyDescent="0.2">
      <c r="A440" s="112"/>
      <c r="B440" s="922" t="s">
        <v>286</v>
      </c>
      <c r="C440" s="923"/>
      <c r="D440" s="923"/>
      <c r="E440" s="923"/>
      <c r="F440" s="415">
        <v>660</v>
      </c>
      <c r="G440" s="414">
        <f t="shared" si="1081"/>
        <v>660</v>
      </c>
      <c r="H440" s="610">
        <f t="shared" si="1069"/>
        <v>910</v>
      </c>
      <c r="I440" s="414">
        <f t="shared" si="1070"/>
        <v>910</v>
      </c>
      <c r="J440" s="610">
        <f t="shared" si="1071"/>
        <v>740</v>
      </c>
      <c r="K440" s="414">
        <f t="shared" si="1074"/>
        <v>740</v>
      </c>
      <c r="L440" s="610"/>
      <c r="M440" s="414"/>
      <c r="N440" s="610"/>
      <c r="O440" s="414"/>
      <c r="P440" s="610"/>
      <c r="Q440" s="414"/>
      <c r="R440" s="610"/>
      <c r="S440" s="414"/>
      <c r="T440" s="610"/>
      <c r="U440" s="414"/>
      <c r="V440" s="610"/>
      <c r="W440" s="414"/>
      <c r="X440" s="711"/>
      <c r="Y440" s="711"/>
      <c r="Z440" s="711"/>
      <c r="AA440" s="711"/>
      <c r="AB440" s="541" t="s">
        <v>287</v>
      </c>
    </row>
    <row r="441" spans="1:31" ht="12.6" customHeight="1" x14ac:dyDescent="0.2">
      <c r="A441" s="20"/>
      <c r="B441" s="716" t="s">
        <v>588</v>
      </c>
      <c r="C441" s="717"/>
      <c r="D441" s="717"/>
      <c r="E441" s="718"/>
      <c r="F441" s="487">
        <f>1.77*X2</f>
        <v>1607.16</v>
      </c>
      <c r="G441" s="348">
        <f t="shared" ref="G441:G442" si="1082">+F441*$X$1</f>
        <v>1607.16</v>
      </c>
      <c r="H441" s="386">
        <f t="shared" si="1069"/>
        <v>1857.16</v>
      </c>
      <c r="I441" s="348">
        <f t="shared" si="1070"/>
        <v>1857.16</v>
      </c>
      <c r="J441" s="386">
        <f t="shared" si="1071"/>
        <v>1687.16</v>
      </c>
      <c r="K441" s="348">
        <f t="shared" si="1074"/>
        <v>1687.16</v>
      </c>
      <c r="L441" s="386">
        <f t="shared" ref="L441:L446" si="1083">F441+60</f>
        <v>1667.16</v>
      </c>
      <c r="M441" s="348">
        <f t="shared" si="1075"/>
        <v>1667.16</v>
      </c>
      <c r="N441" s="386">
        <f t="shared" ref="N441:N446" si="1084">F441+45</f>
        <v>1652.16</v>
      </c>
      <c r="O441" s="348">
        <f t="shared" si="1076"/>
        <v>1652.16</v>
      </c>
      <c r="P441" s="386">
        <f t="shared" ref="P441:P446" si="1085">F441+42</f>
        <v>1649.16</v>
      </c>
      <c r="Q441" s="348">
        <f t="shared" si="1077"/>
        <v>1649.16</v>
      </c>
      <c r="R441" s="386">
        <f t="shared" ref="R441:R446" si="1086">F441+39</f>
        <v>1646.16</v>
      </c>
      <c r="S441" s="348">
        <f t="shared" si="1078"/>
        <v>1646.16</v>
      </c>
      <c r="T441" s="386">
        <f t="shared" ref="T441:T446" si="1087">F441+35</f>
        <v>1642.16</v>
      </c>
      <c r="U441" s="348">
        <f t="shared" si="1079"/>
        <v>1642.16</v>
      </c>
      <c r="V441" s="386">
        <f t="shared" ref="V441:V446" si="1088">F441+30</f>
        <v>1637.16</v>
      </c>
      <c r="W441" s="348">
        <f t="shared" si="1080"/>
        <v>1637.16</v>
      </c>
      <c r="X441" s="711"/>
      <c r="Y441" s="709"/>
      <c r="Z441" s="709"/>
      <c r="AA441" s="710"/>
      <c r="AB441" s="209" t="s">
        <v>621</v>
      </c>
    </row>
    <row r="442" spans="1:31" ht="12.6" customHeight="1" x14ac:dyDescent="0.2">
      <c r="A442" s="112"/>
      <c r="B442" s="714" t="s">
        <v>797</v>
      </c>
      <c r="C442" s="715"/>
      <c r="D442" s="715"/>
      <c r="E442" s="715"/>
      <c r="F442" s="488">
        <f>1.882*X2</f>
        <v>1708.856</v>
      </c>
      <c r="G442" s="349">
        <f t="shared" si="1082"/>
        <v>1708.856</v>
      </c>
      <c r="H442" s="611">
        <f t="shared" si="1069"/>
        <v>1958.856</v>
      </c>
      <c r="I442" s="349">
        <f t="shared" si="1070"/>
        <v>1958.856</v>
      </c>
      <c r="J442" s="611">
        <f t="shared" si="1071"/>
        <v>1788.856</v>
      </c>
      <c r="K442" s="349">
        <f t="shared" si="1074"/>
        <v>1788.856</v>
      </c>
      <c r="L442" s="611">
        <f t="shared" si="1083"/>
        <v>1768.856</v>
      </c>
      <c r="M442" s="349">
        <f t="shared" si="1075"/>
        <v>1768.856</v>
      </c>
      <c r="N442" s="611">
        <f t="shared" si="1084"/>
        <v>1753.856</v>
      </c>
      <c r="O442" s="349">
        <f t="shared" si="1076"/>
        <v>1753.856</v>
      </c>
      <c r="P442" s="611">
        <f t="shared" si="1085"/>
        <v>1750.856</v>
      </c>
      <c r="Q442" s="349">
        <f t="shared" si="1077"/>
        <v>1750.856</v>
      </c>
      <c r="R442" s="611">
        <f t="shared" si="1086"/>
        <v>1747.856</v>
      </c>
      <c r="S442" s="349">
        <f t="shared" si="1078"/>
        <v>1747.856</v>
      </c>
      <c r="T442" s="611">
        <f t="shared" si="1087"/>
        <v>1743.856</v>
      </c>
      <c r="U442" s="349">
        <f t="shared" si="1079"/>
        <v>1743.856</v>
      </c>
      <c r="V442" s="611">
        <f t="shared" si="1088"/>
        <v>1738.856</v>
      </c>
      <c r="W442" s="349">
        <f t="shared" si="1080"/>
        <v>1738.856</v>
      </c>
      <c r="X442" s="711"/>
      <c r="Y442" s="711"/>
      <c r="Z442" s="711"/>
      <c r="AA442" s="711"/>
      <c r="AB442" s="540" t="s">
        <v>798</v>
      </c>
      <c r="AC442" s="69"/>
    </row>
    <row r="443" spans="1:31" ht="12.6" customHeight="1" x14ac:dyDescent="0.2">
      <c r="A443" s="112"/>
      <c r="B443" s="714" t="s">
        <v>793</v>
      </c>
      <c r="C443" s="715"/>
      <c r="D443" s="715"/>
      <c r="E443" s="715"/>
      <c r="F443" s="487">
        <f>4.75*X2</f>
        <v>4313</v>
      </c>
      <c r="G443" s="348">
        <f t="shared" ref="G443" si="1089">+F443*$X$1</f>
        <v>4313</v>
      </c>
      <c r="H443" s="386">
        <f t="shared" si="1069"/>
        <v>4563</v>
      </c>
      <c r="I443" s="348">
        <f t="shared" si="1070"/>
        <v>4563</v>
      </c>
      <c r="J443" s="386">
        <f t="shared" si="1071"/>
        <v>4393</v>
      </c>
      <c r="K443" s="348">
        <f t="shared" si="1074"/>
        <v>4393</v>
      </c>
      <c r="L443" s="386">
        <f t="shared" si="1083"/>
        <v>4373</v>
      </c>
      <c r="M443" s="348">
        <f t="shared" si="1075"/>
        <v>4373</v>
      </c>
      <c r="N443" s="386">
        <f t="shared" si="1084"/>
        <v>4358</v>
      </c>
      <c r="O443" s="348">
        <f t="shared" si="1076"/>
        <v>4358</v>
      </c>
      <c r="P443" s="386">
        <f t="shared" si="1085"/>
        <v>4355</v>
      </c>
      <c r="Q443" s="348">
        <f t="shared" si="1077"/>
        <v>4355</v>
      </c>
      <c r="R443" s="386">
        <f t="shared" si="1086"/>
        <v>4352</v>
      </c>
      <c r="S443" s="348">
        <f t="shared" si="1078"/>
        <v>4352</v>
      </c>
      <c r="T443" s="386">
        <f t="shared" si="1087"/>
        <v>4348</v>
      </c>
      <c r="U443" s="348">
        <f t="shared" si="1079"/>
        <v>4348</v>
      </c>
      <c r="V443" s="386">
        <f t="shared" si="1088"/>
        <v>4343</v>
      </c>
      <c r="W443" s="348">
        <f t="shared" si="1080"/>
        <v>4343</v>
      </c>
      <c r="X443" s="711"/>
      <c r="Y443" s="711"/>
      <c r="Z443" s="711"/>
      <c r="AA443" s="711"/>
      <c r="AB443" s="540" t="s">
        <v>794</v>
      </c>
      <c r="AC443" s="69"/>
    </row>
    <row r="444" spans="1:31" ht="12.6" customHeight="1" x14ac:dyDescent="0.2">
      <c r="A444" s="112"/>
      <c r="B444" s="714" t="s">
        <v>796</v>
      </c>
      <c r="C444" s="715"/>
      <c r="D444" s="715"/>
      <c r="E444" s="715"/>
      <c r="F444" s="488">
        <f>3.978*X2</f>
        <v>3612.0240000000003</v>
      </c>
      <c r="G444" s="349">
        <f>+F444*$X$1</f>
        <v>3612.0240000000003</v>
      </c>
      <c r="H444" s="611">
        <f t="shared" si="1069"/>
        <v>3862.0240000000003</v>
      </c>
      <c r="I444" s="349">
        <f t="shared" si="1070"/>
        <v>3862.0240000000003</v>
      </c>
      <c r="J444" s="611">
        <f t="shared" si="1071"/>
        <v>3692.0240000000003</v>
      </c>
      <c r="K444" s="349">
        <f t="shared" si="1074"/>
        <v>3692.0240000000003</v>
      </c>
      <c r="L444" s="611">
        <f t="shared" si="1083"/>
        <v>3672.0240000000003</v>
      </c>
      <c r="M444" s="349">
        <f t="shared" si="1075"/>
        <v>3672.0240000000003</v>
      </c>
      <c r="N444" s="611">
        <f t="shared" si="1084"/>
        <v>3657.0240000000003</v>
      </c>
      <c r="O444" s="349">
        <f t="shared" si="1076"/>
        <v>3657.0240000000003</v>
      </c>
      <c r="P444" s="611">
        <f t="shared" si="1085"/>
        <v>3654.0240000000003</v>
      </c>
      <c r="Q444" s="349">
        <f t="shared" si="1077"/>
        <v>3654.0240000000003</v>
      </c>
      <c r="R444" s="611">
        <f t="shared" si="1086"/>
        <v>3651.0240000000003</v>
      </c>
      <c r="S444" s="349">
        <f t="shared" si="1078"/>
        <v>3651.0240000000003</v>
      </c>
      <c r="T444" s="611">
        <f t="shared" si="1087"/>
        <v>3647.0240000000003</v>
      </c>
      <c r="U444" s="349">
        <f t="shared" si="1079"/>
        <v>3647.0240000000003</v>
      </c>
      <c r="V444" s="611">
        <f t="shared" si="1088"/>
        <v>3642.0240000000003</v>
      </c>
      <c r="W444" s="349">
        <f t="shared" si="1080"/>
        <v>3642.0240000000003</v>
      </c>
      <c r="X444" s="711"/>
      <c r="Y444" s="711"/>
      <c r="Z444" s="711"/>
      <c r="AA444" s="711"/>
      <c r="AB444" s="540" t="s">
        <v>795</v>
      </c>
      <c r="AC444" s="69"/>
    </row>
    <row r="445" spans="1:31" ht="12.6" customHeight="1" x14ac:dyDescent="0.2">
      <c r="A445" s="112"/>
      <c r="B445" s="714" t="s">
        <v>781</v>
      </c>
      <c r="C445" s="715"/>
      <c r="D445" s="715"/>
      <c r="E445" s="715"/>
      <c r="F445" s="487">
        <f>4.836*X2</f>
        <v>4391.0880000000006</v>
      </c>
      <c r="G445" s="348">
        <f t="shared" ref="G445:G449" si="1090">+F445*$X$1</f>
        <v>4391.0880000000006</v>
      </c>
      <c r="H445" s="386">
        <f t="shared" si="1069"/>
        <v>4641.0880000000006</v>
      </c>
      <c r="I445" s="348">
        <f t="shared" si="1070"/>
        <v>4641.0880000000006</v>
      </c>
      <c r="J445" s="386">
        <f t="shared" si="1071"/>
        <v>4471.0880000000006</v>
      </c>
      <c r="K445" s="348">
        <f t="shared" si="1074"/>
        <v>4471.0880000000006</v>
      </c>
      <c r="L445" s="386">
        <f t="shared" si="1083"/>
        <v>4451.0880000000006</v>
      </c>
      <c r="M445" s="348">
        <f t="shared" si="1075"/>
        <v>4451.0880000000006</v>
      </c>
      <c r="N445" s="386">
        <f t="shared" si="1084"/>
        <v>4436.0880000000006</v>
      </c>
      <c r="O445" s="348">
        <f t="shared" si="1076"/>
        <v>4436.0880000000006</v>
      </c>
      <c r="P445" s="386">
        <f t="shared" si="1085"/>
        <v>4433.0880000000006</v>
      </c>
      <c r="Q445" s="348">
        <f t="shared" si="1077"/>
        <v>4433.0880000000006</v>
      </c>
      <c r="R445" s="386">
        <f t="shared" si="1086"/>
        <v>4430.0880000000006</v>
      </c>
      <c r="S445" s="348">
        <f t="shared" si="1078"/>
        <v>4430.0880000000006</v>
      </c>
      <c r="T445" s="386">
        <f t="shared" si="1087"/>
        <v>4426.0880000000006</v>
      </c>
      <c r="U445" s="348">
        <f t="shared" si="1079"/>
        <v>4426.0880000000006</v>
      </c>
      <c r="V445" s="386">
        <f t="shared" si="1088"/>
        <v>4421.0880000000006</v>
      </c>
      <c r="W445" s="348">
        <f t="shared" si="1080"/>
        <v>4421.0880000000006</v>
      </c>
      <c r="X445" s="711"/>
      <c r="Y445" s="711"/>
      <c r="Z445" s="711"/>
      <c r="AA445" s="711"/>
      <c r="AB445" s="540" t="s">
        <v>780</v>
      </c>
      <c r="AC445" s="69"/>
    </row>
    <row r="446" spans="1:31" ht="12.6" customHeight="1" x14ac:dyDescent="0.2">
      <c r="A446" s="112"/>
      <c r="B446" s="714" t="s">
        <v>782</v>
      </c>
      <c r="C446" s="715"/>
      <c r="D446" s="715"/>
      <c r="E446" s="715"/>
      <c r="F446" s="488">
        <f>4.836*X2</f>
        <v>4391.0880000000006</v>
      </c>
      <c r="G446" s="349">
        <f t="shared" si="1090"/>
        <v>4391.0880000000006</v>
      </c>
      <c r="H446" s="611">
        <f t="shared" si="1069"/>
        <v>4641.0880000000006</v>
      </c>
      <c r="I446" s="349">
        <f t="shared" si="1070"/>
        <v>4641.0880000000006</v>
      </c>
      <c r="J446" s="611">
        <f t="shared" si="1071"/>
        <v>4471.0880000000006</v>
      </c>
      <c r="K446" s="349">
        <f t="shared" si="1074"/>
        <v>4471.0880000000006</v>
      </c>
      <c r="L446" s="611">
        <f t="shared" si="1083"/>
        <v>4451.0880000000006</v>
      </c>
      <c r="M446" s="349">
        <f t="shared" si="1075"/>
        <v>4451.0880000000006</v>
      </c>
      <c r="N446" s="611">
        <f t="shared" si="1084"/>
        <v>4436.0880000000006</v>
      </c>
      <c r="O446" s="349">
        <f t="shared" si="1076"/>
        <v>4436.0880000000006</v>
      </c>
      <c r="P446" s="611">
        <f t="shared" si="1085"/>
        <v>4433.0880000000006</v>
      </c>
      <c r="Q446" s="349">
        <f t="shared" si="1077"/>
        <v>4433.0880000000006</v>
      </c>
      <c r="R446" s="611">
        <f t="shared" si="1086"/>
        <v>4430.0880000000006</v>
      </c>
      <c r="S446" s="349">
        <f t="shared" si="1078"/>
        <v>4430.0880000000006</v>
      </c>
      <c r="T446" s="611">
        <f t="shared" si="1087"/>
        <v>4426.0880000000006</v>
      </c>
      <c r="U446" s="349">
        <f t="shared" si="1079"/>
        <v>4426.0880000000006</v>
      </c>
      <c r="V446" s="611">
        <f t="shared" si="1088"/>
        <v>4421.0880000000006</v>
      </c>
      <c r="W446" s="349">
        <f t="shared" si="1080"/>
        <v>4421.0880000000006</v>
      </c>
      <c r="X446" s="711"/>
      <c r="Y446" s="711"/>
      <c r="Z446" s="711"/>
      <c r="AA446" s="711"/>
      <c r="AB446" s="540" t="s">
        <v>779</v>
      </c>
      <c r="AC446" s="69"/>
    </row>
    <row r="447" spans="1:31" ht="12.6" customHeight="1" x14ac:dyDescent="0.2">
      <c r="A447" s="112"/>
      <c r="B447" s="712" t="s">
        <v>786</v>
      </c>
      <c r="C447" s="713"/>
      <c r="D447" s="713"/>
      <c r="E447" s="713"/>
      <c r="F447" s="487"/>
      <c r="G447" s="348"/>
      <c r="H447" s="386"/>
      <c r="I447" s="348"/>
      <c r="J447" s="386"/>
      <c r="K447" s="348"/>
      <c r="L447" s="386"/>
      <c r="M447" s="348"/>
      <c r="N447" s="386"/>
      <c r="O447" s="348"/>
      <c r="P447" s="386"/>
      <c r="Q447" s="348"/>
      <c r="R447" s="386"/>
      <c r="S447" s="348"/>
      <c r="T447" s="386"/>
      <c r="U447" s="348"/>
      <c r="V447" s="386"/>
      <c r="W447" s="348"/>
      <c r="X447" s="711"/>
      <c r="Y447" s="711"/>
      <c r="Z447" s="711"/>
      <c r="AA447" s="711"/>
      <c r="AB447" s="540" t="s">
        <v>783</v>
      </c>
      <c r="AC447" s="69"/>
    </row>
    <row r="448" spans="1:31" ht="12.6" customHeight="1" x14ac:dyDescent="0.2">
      <c r="A448" s="112"/>
      <c r="B448" s="714" t="s">
        <v>787</v>
      </c>
      <c r="C448" s="715"/>
      <c r="D448" s="715"/>
      <c r="E448" s="715"/>
      <c r="F448" s="488">
        <f>4.056*X2</f>
        <v>3682.848</v>
      </c>
      <c r="G448" s="349">
        <f t="shared" si="1090"/>
        <v>3682.848</v>
      </c>
      <c r="H448" s="611">
        <f>F448+250</f>
        <v>3932.848</v>
      </c>
      <c r="I448" s="349">
        <f>+H448*$X$1</f>
        <v>3932.848</v>
      </c>
      <c r="J448" s="611">
        <f>F448+80</f>
        <v>3762.848</v>
      </c>
      <c r="K448" s="349">
        <f t="shared" ref="K448:K449" si="1091">+J448*$X$1</f>
        <v>3762.848</v>
      </c>
      <c r="L448" s="611">
        <f>F448+60</f>
        <v>3742.848</v>
      </c>
      <c r="M448" s="349">
        <f t="shared" ref="M448:M449" si="1092">+L448*$X$1</f>
        <v>3742.848</v>
      </c>
      <c r="N448" s="611">
        <f>F448+45</f>
        <v>3727.848</v>
      </c>
      <c r="O448" s="349">
        <f t="shared" ref="O448:O449" si="1093">+N448*$X$1</f>
        <v>3727.848</v>
      </c>
      <c r="P448" s="611">
        <f>F448+42</f>
        <v>3724.848</v>
      </c>
      <c r="Q448" s="349">
        <f t="shared" ref="Q448:Q449" si="1094">+P448*$X$1</f>
        <v>3724.848</v>
      </c>
      <c r="R448" s="611">
        <f>F448+39</f>
        <v>3721.848</v>
      </c>
      <c r="S448" s="349">
        <f t="shared" ref="S448:S449" si="1095">+R448*$X$1</f>
        <v>3721.848</v>
      </c>
      <c r="T448" s="611">
        <f>F448+35</f>
        <v>3717.848</v>
      </c>
      <c r="U448" s="349">
        <f t="shared" ref="U448:U449" si="1096">+T448*$X$1</f>
        <v>3717.848</v>
      </c>
      <c r="V448" s="611">
        <f>F448+30</f>
        <v>3712.848</v>
      </c>
      <c r="W448" s="349">
        <f t="shared" ref="W448:W449" si="1097">+V448*$X$1</f>
        <v>3712.848</v>
      </c>
      <c r="X448" s="711"/>
      <c r="Y448" s="711"/>
      <c r="Z448" s="711"/>
      <c r="AA448" s="711"/>
      <c r="AB448" s="540" t="s">
        <v>784</v>
      </c>
      <c r="AC448" s="69"/>
    </row>
    <row r="449" spans="1:29" ht="12.6" customHeight="1" x14ac:dyDescent="0.2">
      <c r="A449" s="112"/>
      <c r="B449" s="714" t="s">
        <v>788</v>
      </c>
      <c r="C449" s="715"/>
      <c r="D449" s="715"/>
      <c r="E449" s="715"/>
      <c r="F449" s="487">
        <f>4.056*X2</f>
        <v>3682.848</v>
      </c>
      <c r="G449" s="348">
        <f t="shared" si="1090"/>
        <v>3682.848</v>
      </c>
      <c r="H449" s="386">
        <f>F449+250</f>
        <v>3932.848</v>
      </c>
      <c r="I449" s="348">
        <f>+H449*$X$1</f>
        <v>3932.848</v>
      </c>
      <c r="J449" s="386">
        <f>F449+80</f>
        <v>3762.848</v>
      </c>
      <c r="K449" s="348">
        <f t="shared" si="1091"/>
        <v>3762.848</v>
      </c>
      <c r="L449" s="386">
        <f>F449+60</f>
        <v>3742.848</v>
      </c>
      <c r="M449" s="348">
        <f t="shared" si="1092"/>
        <v>3742.848</v>
      </c>
      <c r="N449" s="386">
        <f>F449+45</f>
        <v>3727.848</v>
      </c>
      <c r="O449" s="348">
        <f t="shared" si="1093"/>
        <v>3727.848</v>
      </c>
      <c r="P449" s="386">
        <f>F449+42</f>
        <v>3724.848</v>
      </c>
      <c r="Q449" s="348">
        <f t="shared" si="1094"/>
        <v>3724.848</v>
      </c>
      <c r="R449" s="386">
        <f>F449+39</f>
        <v>3721.848</v>
      </c>
      <c r="S449" s="348">
        <f t="shared" si="1095"/>
        <v>3721.848</v>
      </c>
      <c r="T449" s="386">
        <f>F449+35</f>
        <v>3717.848</v>
      </c>
      <c r="U449" s="348">
        <f t="shared" si="1096"/>
        <v>3717.848</v>
      </c>
      <c r="V449" s="386">
        <f>F449+30</f>
        <v>3712.848</v>
      </c>
      <c r="W449" s="348">
        <f t="shared" si="1097"/>
        <v>3712.848</v>
      </c>
      <c r="X449" s="711"/>
      <c r="Y449" s="711"/>
      <c r="Z449" s="711"/>
      <c r="AA449" s="711"/>
      <c r="AB449" s="540" t="s">
        <v>785</v>
      </c>
      <c r="AC449" s="69"/>
    </row>
    <row r="450" spans="1:29" ht="12.6" customHeight="1" x14ac:dyDescent="0.2">
      <c r="A450" s="112"/>
      <c r="B450" s="722" t="s">
        <v>789</v>
      </c>
      <c r="C450" s="723"/>
      <c r="D450" s="723"/>
      <c r="E450" s="723"/>
      <c r="F450" s="488"/>
      <c r="G450" s="349"/>
      <c r="H450" s="611"/>
      <c r="I450" s="349"/>
      <c r="J450" s="611"/>
      <c r="K450" s="349"/>
      <c r="L450" s="611"/>
      <c r="M450" s="349"/>
      <c r="N450" s="611"/>
      <c r="O450" s="349"/>
      <c r="P450" s="611"/>
      <c r="Q450" s="349"/>
      <c r="R450" s="611"/>
      <c r="S450" s="349"/>
      <c r="T450" s="611"/>
      <c r="U450" s="349"/>
      <c r="V450" s="611"/>
      <c r="W450" s="349"/>
      <c r="X450" s="711"/>
      <c r="Y450" s="711"/>
      <c r="Z450" s="711"/>
      <c r="AA450" s="711"/>
      <c r="AB450" s="540" t="s">
        <v>790</v>
      </c>
      <c r="AC450" s="69"/>
    </row>
    <row r="451" spans="1:29" ht="12.6" customHeight="1" x14ac:dyDescent="0.2">
      <c r="A451" s="20"/>
      <c r="B451" s="809" t="s">
        <v>288</v>
      </c>
      <c r="C451" s="810"/>
      <c r="D451" s="810"/>
      <c r="E451" s="810"/>
      <c r="F451" s="810"/>
      <c r="G451" s="810"/>
      <c r="H451" s="810"/>
      <c r="I451" s="810"/>
      <c r="J451" s="810"/>
      <c r="K451" s="810"/>
      <c r="L451" s="810"/>
      <c r="M451" s="810"/>
      <c r="N451" s="810"/>
      <c r="O451" s="810"/>
      <c r="P451" s="810"/>
      <c r="Q451" s="810"/>
      <c r="R451" s="810"/>
      <c r="S451" s="810"/>
      <c r="T451" s="810"/>
      <c r="U451" s="810"/>
      <c r="V451" s="810"/>
      <c r="W451" s="811"/>
      <c r="X451" s="821"/>
      <c r="Y451" s="822"/>
      <c r="Z451" s="822"/>
      <c r="AA451" s="822"/>
      <c r="AB451" s="561"/>
    </row>
    <row r="452" spans="1:29" ht="12.6" customHeight="1" x14ac:dyDescent="0.2">
      <c r="A452" s="20"/>
      <c r="B452" s="747" t="s">
        <v>289</v>
      </c>
      <c r="C452" s="748"/>
      <c r="D452" s="748"/>
      <c r="E452" s="748"/>
      <c r="F452" s="512">
        <v>3645</v>
      </c>
      <c r="G452" s="349">
        <f t="shared" ref="G452:G458" si="1098">+F452*$X$1</f>
        <v>3645</v>
      </c>
      <c r="H452" s="337"/>
      <c r="I452" s="425"/>
      <c r="J452" s="484">
        <f>F452+66</f>
        <v>3711</v>
      </c>
      <c r="K452" s="349"/>
      <c r="L452" s="589">
        <f t="shared" ref="L452:L465" si="1099">F452+280</f>
        <v>3925</v>
      </c>
      <c r="M452" s="349">
        <f t="shared" ref="M452:M465" si="1100">+L452*$X$1</f>
        <v>3925</v>
      </c>
      <c r="N452" s="589">
        <f t="shared" ref="N452:N465" si="1101">F452+250</f>
        <v>3895</v>
      </c>
      <c r="O452" s="349">
        <f t="shared" ref="O452:O457" si="1102">+N452*$X$1</f>
        <v>3895</v>
      </c>
      <c r="P452" s="589">
        <f t="shared" ref="P452:P465" si="1103">F452+230</f>
        <v>3875</v>
      </c>
      <c r="Q452" s="349">
        <f t="shared" ref="Q452:Q457" si="1104">+P452*$X$1</f>
        <v>3875</v>
      </c>
      <c r="R452" s="589">
        <f t="shared" ref="R452:R465" si="1105">F452+210</f>
        <v>3855</v>
      </c>
      <c r="S452" s="349">
        <f t="shared" ref="S452:S457" si="1106">+R452*$X$1</f>
        <v>3855</v>
      </c>
      <c r="T452" s="589">
        <f t="shared" ref="T452:T465" si="1107">F452+190</f>
        <v>3835</v>
      </c>
      <c r="U452" s="349">
        <f t="shared" ref="U452:U457" si="1108">+T452*$X$1</f>
        <v>3835</v>
      </c>
      <c r="V452" s="94"/>
      <c r="W452" s="426"/>
      <c r="X452" s="160"/>
      <c r="Y452" s="142"/>
      <c r="Z452" s="142"/>
      <c r="AA452" s="142"/>
      <c r="AB452" s="209" t="s">
        <v>290</v>
      </c>
    </row>
    <row r="453" spans="1:29" ht="12.6" customHeight="1" x14ac:dyDescent="0.2">
      <c r="A453" s="20"/>
      <c r="B453" s="782" t="s">
        <v>291</v>
      </c>
      <c r="C453" s="783"/>
      <c r="D453" s="783"/>
      <c r="E453" s="783"/>
      <c r="F453" s="586">
        <v>5234</v>
      </c>
      <c r="G453" s="348">
        <f t="shared" si="1098"/>
        <v>5234</v>
      </c>
      <c r="H453" s="344"/>
      <c r="I453" s="429"/>
      <c r="J453" s="386">
        <f>F453+66</f>
        <v>5300</v>
      </c>
      <c r="K453" s="348"/>
      <c r="L453" s="386">
        <f t="shared" si="1099"/>
        <v>5514</v>
      </c>
      <c r="M453" s="348">
        <f t="shared" si="1100"/>
        <v>5514</v>
      </c>
      <c r="N453" s="386">
        <f t="shared" si="1101"/>
        <v>5484</v>
      </c>
      <c r="O453" s="348">
        <f t="shared" si="1102"/>
        <v>5484</v>
      </c>
      <c r="P453" s="386">
        <f t="shared" si="1103"/>
        <v>5464</v>
      </c>
      <c r="Q453" s="348">
        <f t="shared" si="1104"/>
        <v>5464</v>
      </c>
      <c r="R453" s="386">
        <f t="shared" si="1105"/>
        <v>5444</v>
      </c>
      <c r="S453" s="348">
        <f t="shared" si="1106"/>
        <v>5444</v>
      </c>
      <c r="T453" s="386">
        <f t="shared" si="1107"/>
        <v>5424</v>
      </c>
      <c r="U453" s="348">
        <f t="shared" si="1108"/>
        <v>5424</v>
      </c>
      <c r="V453" s="75"/>
      <c r="W453" s="427"/>
      <c r="X453" s="160"/>
      <c r="Y453" s="142"/>
      <c r="Z453" s="142"/>
      <c r="AA453" s="142"/>
      <c r="AB453" s="561"/>
    </row>
    <row r="454" spans="1:29" ht="12.6" customHeight="1" x14ac:dyDescent="0.2">
      <c r="A454" s="20"/>
      <c r="B454" s="720" t="s">
        <v>292</v>
      </c>
      <c r="C454" s="721"/>
      <c r="D454" s="721"/>
      <c r="E454" s="721"/>
      <c r="F454" s="403">
        <v>3992</v>
      </c>
      <c r="G454" s="349">
        <f t="shared" si="1098"/>
        <v>3992</v>
      </c>
      <c r="H454" s="337"/>
      <c r="I454" s="425"/>
      <c r="J454" s="484">
        <f>F454+80</f>
        <v>4072</v>
      </c>
      <c r="K454" s="349"/>
      <c r="L454" s="589">
        <f t="shared" si="1099"/>
        <v>4272</v>
      </c>
      <c r="M454" s="349">
        <f t="shared" si="1100"/>
        <v>4272</v>
      </c>
      <c r="N454" s="589">
        <f t="shared" si="1101"/>
        <v>4242</v>
      </c>
      <c r="O454" s="349">
        <f t="shared" si="1102"/>
        <v>4242</v>
      </c>
      <c r="P454" s="589">
        <f t="shared" si="1103"/>
        <v>4222</v>
      </c>
      <c r="Q454" s="349">
        <f t="shared" si="1104"/>
        <v>4222</v>
      </c>
      <c r="R454" s="589">
        <f t="shared" si="1105"/>
        <v>4202</v>
      </c>
      <c r="S454" s="349">
        <f t="shared" si="1106"/>
        <v>4202</v>
      </c>
      <c r="T454" s="589">
        <f t="shared" si="1107"/>
        <v>4182</v>
      </c>
      <c r="U454" s="349">
        <f t="shared" si="1108"/>
        <v>4182</v>
      </c>
      <c r="V454" s="94"/>
      <c r="W454" s="426"/>
      <c r="X454" s="160"/>
      <c r="Y454" s="142"/>
      <c r="Z454" s="142"/>
      <c r="AA454" s="142"/>
      <c r="AB454" s="209" t="s">
        <v>293</v>
      </c>
    </row>
    <row r="455" spans="1:29" ht="12.6" customHeight="1" x14ac:dyDescent="0.2">
      <c r="A455" s="20"/>
      <c r="B455" s="782" t="s">
        <v>294</v>
      </c>
      <c r="C455" s="783"/>
      <c r="D455" s="783"/>
      <c r="E455" s="783"/>
      <c r="F455" s="586">
        <v>5793</v>
      </c>
      <c r="G455" s="348">
        <f t="shared" si="1098"/>
        <v>5793</v>
      </c>
      <c r="H455" s="344"/>
      <c r="I455" s="429"/>
      <c r="J455" s="386">
        <f>F455+80</f>
        <v>5873</v>
      </c>
      <c r="K455" s="348"/>
      <c r="L455" s="386">
        <f t="shared" si="1099"/>
        <v>6073</v>
      </c>
      <c r="M455" s="348">
        <f t="shared" si="1100"/>
        <v>6073</v>
      </c>
      <c r="N455" s="386">
        <f t="shared" si="1101"/>
        <v>6043</v>
      </c>
      <c r="O455" s="348">
        <f t="shared" si="1102"/>
        <v>6043</v>
      </c>
      <c r="P455" s="386">
        <f t="shared" si="1103"/>
        <v>6023</v>
      </c>
      <c r="Q455" s="348">
        <f t="shared" si="1104"/>
        <v>6023</v>
      </c>
      <c r="R455" s="386">
        <f t="shared" si="1105"/>
        <v>6003</v>
      </c>
      <c r="S455" s="348">
        <f t="shared" si="1106"/>
        <v>6003</v>
      </c>
      <c r="T455" s="386">
        <f t="shared" si="1107"/>
        <v>5983</v>
      </c>
      <c r="U455" s="348">
        <f t="shared" si="1108"/>
        <v>5983</v>
      </c>
      <c r="V455" s="41"/>
      <c r="W455" s="428"/>
      <c r="X455" s="160"/>
      <c r="Y455" s="142"/>
      <c r="Z455" s="142"/>
      <c r="AA455" s="142"/>
      <c r="AB455" s="561"/>
    </row>
    <row r="456" spans="1:29" ht="12.6" customHeight="1" x14ac:dyDescent="0.2">
      <c r="A456" s="20"/>
      <c r="B456" s="720" t="s">
        <v>764</v>
      </c>
      <c r="C456" s="721"/>
      <c r="D456" s="721"/>
      <c r="E456" s="721"/>
      <c r="F456" s="403">
        <v>5024</v>
      </c>
      <c r="G456" s="349">
        <f t="shared" si="1098"/>
        <v>5024</v>
      </c>
      <c r="H456" s="337"/>
      <c r="I456" s="425"/>
      <c r="J456" s="484">
        <f>F456+66</f>
        <v>5090</v>
      </c>
      <c r="K456" s="349"/>
      <c r="L456" s="589">
        <f t="shared" si="1099"/>
        <v>5304</v>
      </c>
      <c r="M456" s="349">
        <f t="shared" si="1100"/>
        <v>5304</v>
      </c>
      <c r="N456" s="589">
        <f t="shared" si="1101"/>
        <v>5274</v>
      </c>
      <c r="O456" s="349">
        <f t="shared" si="1102"/>
        <v>5274</v>
      </c>
      <c r="P456" s="589">
        <f t="shared" si="1103"/>
        <v>5254</v>
      </c>
      <c r="Q456" s="349">
        <f t="shared" si="1104"/>
        <v>5254</v>
      </c>
      <c r="R456" s="589">
        <f t="shared" si="1105"/>
        <v>5234</v>
      </c>
      <c r="S456" s="349">
        <f t="shared" si="1106"/>
        <v>5234</v>
      </c>
      <c r="T456" s="589">
        <f t="shared" si="1107"/>
        <v>5214</v>
      </c>
      <c r="U456" s="349">
        <f t="shared" si="1108"/>
        <v>5214</v>
      </c>
      <c r="V456" s="94"/>
      <c r="W456" s="426"/>
      <c r="X456" s="160"/>
      <c r="Y456" s="142"/>
      <c r="Z456" s="142"/>
      <c r="AA456" s="142"/>
      <c r="AB456" s="209" t="s">
        <v>295</v>
      </c>
    </row>
    <row r="457" spans="1:29" ht="12.6" customHeight="1" x14ac:dyDescent="0.2">
      <c r="A457" s="20"/>
      <c r="B457" s="831" t="s">
        <v>765</v>
      </c>
      <c r="C457" s="832"/>
      <c r="D457" s="832"/>
      <c r="E457" s="832"/>
      <c r="F457" s="404">
        <v>5618</v>
      </c>
      <c r="G457" s="348">
        <f t="shared" si="1098"/>
        <v>5618</v>
      </c>
      <c r="H457" s="344"/>
      <c r="I457" s="429"/>
      <c r="J457" s="386">
        <f>F457+80</f>
        <v>5698</v>
      </c>
      <c r="K457" s="348"/>
      <c r="L457" s="386">
        <f t="shared" si="1099"/>
        <v>5898</v>
      </c>
      <c r="M457" s="348">
        <f t="shared" si="1100"/>
        <v>5898</v>
      </c>
      <c r="N457" s="386">
        <f t="shared" si="1101"/>
        <v>5868</v>
      </c>
      <c r="O457" s="348">
        <f t="shared" si="1102"/>
        <v>5868</v>
      </c>
      <c r="P457" s="386">
        <f t="shared" si="1103"/>
        <v>5848</v>
      </c>
      <c r="Q457" s="348">
        <f t="shared" si="1104"/>
        <v>5848</v>
      </c>
      <c r="R457" s="386">
        <f t="shared" si="1105"/>
        <v>5828</v>
      </c>
      <c r="S457" s="348">
        <f t="shared" si="1106"/>
        <v>5828</v>
      </c>
      <c r="T457" s="386">
        <f t="shared" si="1107"/>
        <v>5808</v>
      </c>
      <c r="U457" s="348">
        <f t="shared" si="1108"/>
        <v>5808</v>
      </c>
      <c r="V457" s="41"/>
      <c r="W457" s="428"/>
      <c r="X457" s="160"/>
      <c r="Y457" s="142"/>
      <c r="Z457" s="142"/>
      <c r="AA457" s="142"/>
      <c r="AB457" s="209" t="s">
        <v>296</v>
      </c>
    </row>
    <row r="458" spans="1:29" ht="12.6" customHeight="1" x14ac:dyDescent="0.25">
      <c r="A458" s="20"/>
      <c r="B458" s="720" t="s">
        <v>382</v>
      </c>
      <c r="C458" s="721"/>
      <c r="D458" s="721"/>
      <c r="E458" s="721"/>
      <c r="F458" s="488">
        <f>6.83*X2</f>
        <v>6201.64</v>
      </c>
      <c r="G458" s="349">
        <f t="shared" si="1098"/>
        <v>6201.64</v>
      </c>
      <c r="H458" s="589">
        <f t="shared" ref="H458:H465" si="1109">F458+400</f>
        <v>6601.64</v>
      </c>
      <c r="I458" s="349">
        <f t="shared" ref="I458:I465" si="1110">+H458*$X$1</f>
        <v>6601.64</v>
      </c>
      <c r="J458" s="589">
        <f t="shared" ref="J458:J465" si="1111">F458+320</f>
        <v>6521.64</v>
      </c>
      <c r="K458" s="349">
        <f t="shared" ref="K458:K465" si="1112">+J458*$X$1</f>
        <v>6521.64</v>
      </c>
      <c r="L458" s="589">
        <f t="shared" si="1099"/>
        <v>6481.64</v>
      </c>
      <c r="M458" s="349">
        <f t="shared" si="1100"/>
        <v>6481.64</v>
      </c>
      <c r="N458" s="589">
        <f t="shared" si="1101"/>
        <v>6451.64</v>
      </c>
      <c r="O458" s="349">
        <f t="shared" ref="O458:O465" si="1113">+N458*$X$1</f>
        <v>6451.64</v>
      </c>
      <c r="P458" s="589">
        <f t="shared" si="1103"/>
        <v>6431.64</v>
      </c>
      <c r="Q458" s="349">
        <f t="shared" ref="Q458:Q465" si="1114">+P458*$X$1</f>
        <v>6431.64</v>
      </c>
      <c r="R458" s="589">
        <f t="shared" si="1105"/>
        <v>6411.64</v>
      </c>
      <c r="S458" s="349">
        <f t="shared" ref="S458:S465" si="1115">+R458*$X$1</f>
        <v>6411.64</v>
      </c>
      <c r="T458" s="589">
        <f t="shared" si="1107"/>
        <v>6391.64</v>
      </c>
      <c r="U458" s="349">
        <f t="shared" ref="U458:U465" si="1116">+T458*$X$1</f>
        <v>6391.64</v>
      </c>
      <c r="V458" s="589">
        <f t="shared" ref="V458:V465" si="1117">F458+175</f>
        <v>6376.64</v>
      </c>
      <c r="W458" s="349">
        <f t="shared" ref="W458:W465" si="1118">+V458*$X$1</f>
        <v>6376.64</v>
      </c>
      <c r="X458" s="789"/>
      <c r="Y458" s="790"/>
      <c r="Z458" s="790"/>
      <c r="AA458" s="790"/>
      <c r="AB458" s="209" t="s">
        <v>297</v>
      </c>
    </row>
    <row r="459" spans="1:29" ht="12.6" customHeight="1" x14ac:dyDescent="0.25">
      <c r="A459" s="20"/>
      <c r="B459" s="760" t="s">
        <v>608</v>
      </c>
      <c r="C459" s="717"/>
      <c r="D459" s="717"/>
      <c r="E459" s="718"/>
      <c r="F459" s="404">
        <v>2925</v>
      </c>
      <c r="G459" s="348">
        <f t="shared" ref="G459" si="1119">+F459*$X$1</f>
        <v>2925</v>
      </c>
      <c r="H459" s="386">
        <f t="shared" si="1109"/>
        <v>3325</v>
      </c>
      <c r="I459" s="348">
        <f t="shared" si="1110"/>
        <v>3325</v>
      </c>
      <c r="J459" s="386">
        <f t="shared" si="1111"/>
        <v>3245</v>
      </c>
      <c r="K459" s="348">
        <f t="shared" si="1112"/>
        <v>3245</v>
      </c>
      <c r="L459" s="386">
        <f t="shared" si="1099"/>
        <v>3205</v>
      </c>
      <c r="M459" s="348">
        <f t="shared" si="1100"/>
        <v>3205</v>
      </c>
      <c r="N459" s="386">
        <f t="shared" si="1101"/>
        <v>3175</v>
      </c>
      <c r="O459" s="348">
        <f t="shared" si="1113"/>
        <v>3175</v>
      </c>
      <c r="P459" s="386">
        <f t="shared" si="1103"/>
        <v>3155</v>
      </c>
      <c r="Q459" s="348">
        <f t="shared" si="1114"/>
        <v>3155</v>
      </c>
      <c r="R459" s="386">
        <f t="shared" si="1105"/>
        <v>3135</v>
      </c>
      <c r="S459" s="348">
        <f t="shared" si="1115"/>
        <v>3135</v>
      </c>
      <c r="T459" s="386">
        <f t="shared" si="1107"/>
        <v>3115</v>
      </c>
      <c r="U459" s="348">
        <f t="shared" si="1116"/>
        <v>3115</v>
      </c>
      <c r="V459" s="386">
        <f t="shared" si="1117"/>
        <v>3100</v>
      </c>
      <c r="W459" s="348">
        <f t="shared" si="1118"/>
        <v>3100</v>
      </c>
      <c r="X459" s="789"/>
      <c r="Y459" s="790"/>
      <c r="Z459" s="790"/>
      <c r="AA459" s="790"/>
      <c r="AB459" s="209" t="s">
        <v>532</v>
      </c>
    </row>
    <row r="460" spans="1:29" ht="12.6" customHeight="1" x14ac:dyDescent="0.2">
      <c r="A460" s="20"/>
      <c r="B460" s="720" t="s">
        <v>450</v>
      </c>
      <c r="C460" s="721"/>
      <c r="D460" s="721"/>
      <c r="E460" s="721"/>
      <c r="F460" s="349">
        <v>4700</v>
      </c>
      <c r="G460" s="349">
        <f>+F460*$X$1</f>
        <v>4700</v>
      </c>
      <c r="H460" s="589">
        <f t="shared" si="1109"/>
        <v>5100</v>
      </c>
      <c r="I460" s="349">
        <f t="shared" si="1110"/>
        <v>5100</v>
      </c>
      <c r="J460" s="589">
        <f t="shared" si="1111"/>
        <v>5020</v>
      </c>
      <c r="K460" s="349">
        <f t="shared" si="1112"/>
        <v>5020</v>
      </c>
      <c r="L460" s="589">
        <f t="shared" si="1099"/>
        <v>4980</v>
      </c>
      <c r="M460" s="349">
        <f t="shared" si="1100"/>
        <v>4980</v>
      </c>
      <c r="N460" s="589">
        <f t="shared" si="1101"/>
        <v>4950</v>
      </c>
      <c r="O460" s="349">
        <f t="shared" si="1113"/>
        <v>4950</v>
      </c>
      <c r="P460" s="589">
        <f t="shared" si="1103"/>
        <v>4930</v>
      </c>
      <c r="Q460" s="349">
        <f t="shared" si="1114"/>
        <v>4930</v>
      </c>
      <c r="R460" s="589">
        <f t="shared" si="1105"/>
        <v>4910</v>
      </c>
      <c r="S460" s="349">
        <f t="shared" si="1115"/>
        <v>4910</v>
      </c>
      <c r="T460" s="589">
        <f t="shared" si="1107"/>
        <v>4890</v>
      </c>
      <c r="U460" s="349">
        <f t="shared" si="1116"/>
        <v>4890</v>
      </c>
      <c r="V460" s="589">
        <f t="shared" si="1117"/>
        <v>4875</v>
      </c>
      <c r="W460" s="349">
        <f t="shared" si="1118"/>
        <v>4875</v>
      </c>
      <c r="X460" s="794"/>
      <c r="Y460" s="795"/>
      <c r="Z460" s="795"/>
      <c r="AA460" s="796"/>
      <c r="AB460" s="209" t="s">
        <v>298</v>
      </c>
    </row>
    <row r="461" spans="1:29" ht="12.6" customHeight="1" x14ac:dyDescent="0.25">
      <c r="A461" s="20"/>
      <c r="B461" s="1068" t="s">
        <v>449</v>
      </c>
      <c r="C461" s="1171"/>
      <c r="D461" s="1171"/>
      <c r="E461" s="1171"/>
      <c r="F461" s="348">
        <v>4700</v>
      </c>
      <c r="G461" s="348">
        <f t="shared" ref="G461" si="1120">+F461*$X$1</f>
        <v>4700</v>
      </c>
      <c r="H461" s="386">
        <f t="shared" si="1109"/>
        <v>5100</v>
      </c>
      <c r="I461" s="348">
        <f t="shared" si="1110"/>
        <v>5100</v>
      </c>
      <c r="J461" s="386">
        <f t="shared" si="1111"/>
        <v>5020</v>
      </c>
      <c r="K461" s="348">
        <f t="shared" si="1112"/>
        <v>5020</v>
      </c>
      <c r="L461" s="386">
        <f t="shared" si="1099"/>
        <v>4980</v>
      </c>
      <c r="M461" s="348">
        <f t="shared" si="1100"/>
        <v>4980</v>
      </c>
      <c r="N461" s="386">
        <f t="shared" si="1101"/>
        <v>4950</v>
      </c>
      <c r="O461" s="348">
        <f t="shared" si="1113"/>
        <v>4950</v>
      </c>
      <c r="P461" s="386">
        <f t="shared" si="1103"/>
        <v>4930</v>
      </c>
      <c r="Q461" s="348">
        <f t="shared" si="1114"/>
        <v>4930</v>
      </c>
      <c r="R461" s="386">
        <f t="shared" si="1105"/>
        <v>4910</v>
      </c>
      <c r="S461" s="348">
        <f t="shared" si="1115"/>
        <v>4910</v>
      </c>
      <c r="T461" s="386">
        <f t="shared" si="1107"/>
        <v>4890</v>
      </c>
      <c r="U461" s="348">
        <f t="shared" si="1116"/>
        <v>4890</v>
      </c>
      <c r="V461" s="386">
        <f t="shared" si="1117"/>
        <v>4875</v>
      </c>
      <c r="W461" s="348">
        <f t="shared" si="1118"/>
        <v>4875</v>
      </c>
      <c r="X461" s="789"/>
      <c r="Y461" s="790"/>
      <c r="Z461" s="790"/>
      <c r="AA461" s="790"/>
      <c r="AB461" s="209" t="s">
        <v>299</v>
      </c>
    </row>
    <row r="462" spans="1:29" ht="12.6" customHeight="1" x14ac:dyDescent="0.25">
      <c r="A462" s="20"/>
      <c r="B462" s="1203" t="s">
        <v>648</v>
      </c>
      <c r="C462" s="701"/>
      <c r="D462" s="701"/>
      <c r="E462" s="702"/>
      <c r="F462" s="584">
        <v>2925</v>
      </c>
      <c r="G462" s="349">
        <f>+F462*$X$1</f>
        <v>2925</v>
      </c>
      <c r="H462" s="589">
        <f t="shared" si="1109"/>
        <v>3325</v>
      </c>
      <c r="I462" s="349">
        <f t="shared" si="1110"/>
        <v>3325</v>
      </c>
      <c r="J462" s="589">
        <f t="shared" si="1111"/>
        <v>3245</v>
      </c>
      <c r="K462" s="349">
        <f t="shared" si="1112"/>
        <v>3245</v>
      </c>
      <c r="L462" s="589">
        <f t="shared" si="1099"/>
        <v>3205</v>
      </c>
      <c r="M462" s="349">
        <f t="shared" si="1100"/>
        <v>3205</v>
      </c>
      <c r="N462" s="589">
        <f t="shared" si="1101"/>
        <v>3175</v>
      </c>
      <c r="O462" s="349">
        <f t="shared" si="1113"/>
        <v>3175</v>
      </c>
      <c r="P462" s="589">
        <f t="shared" si="1103"/>
        <v>3155</v>
      </c>
      <c r="Q462" s="349">
        <f t="shared" si="1114"/>
        <v>3155</v>
      </c>
      <c r="R462" s="589">
        <f t="shared" si="1105"/>
        <v>3135</v>
      </c>
      <c r="S462" s="349">
        <f t="shared" si="1115"/>
        <v>3135</v>
      </c>
      <c r="T462" s="589">
        <f t="shared" si="1107"/>
        <v>3115</v>
      </c>
      <c r="U462" s="349">
        <f t="shared" si="1116"/>
        <v>3115</v>
      </c>
      <c r="V462" s="589">
        <f t="shared" si="1117"/>
        <v>3100</v>
      </c>
      <c r="W462" s="349">
        <f t="shared" si="1118"/>
        <v>3100</v>
      </c>
      <c r="X462" s="789"/>
      <c r="Y462" s="790"/>
      <c r="Z462" s="790"/>
      <c r="AA462" s="790"/>
      <c r="AB462" s="31"/>
    </row>
    <row r="463" spans="1:29" ht="12.6" customHeight="1" x14ac:dyDescent="0.25">
      <c r="A463" s="20"/>
      <c r="B463" s="706" t="s">
        <v>381</v>
      </c>
      <c r="C463" s="729"/>
      <c r="D463" s="729"/>
      <c r="E463" s="729"/>
      <c r="F463" s="348"/>
      <c r="G463" s="348"/>
      <c r="H463" s="386"/>
      <c r="I463" s="348"/>
      <c r="J463" s="386"/>
      <c r="K463" s="348"/>
      <c r="L463" s="386"/>
      <c r="M463" s="348"/>
      <c r="N463" s="386"/>
      <c r="O463" s="348"/>
      <c r="P463" s="386"/>
      <c r="Q463" s="348"/>
      <c r="R463" s="386"/>
      <c r="S463" s="348"/>
      <c r="T463" s="386"/>
      <c r="U463" s="348"/>
      <c r="V463" s="386"/>
      <c r="W463" s="348"/>
      <c r="X463" s="789"/>
      <c r="Y463" s="790"/>
      <c r="Z463" s="790"/>
      <c r="AA463" s="790"/>
      <c r="AB463" s="209" t="s">
        <v>300</v>
      </c>
    </row>
    <row r="464" spans="1:29" ht="12.6" customHeight="1" x14ac:dyDescent="0.2">
      <c r="A464" s="20"/>
      <c r="B464" s="720" t="s">
        <v>766</v>
      </c>
      <c r="C464" s="834"/>
      <c r="D464" s="834"/>
      <c r="E464" s="834"/>
      <c r="F464" s="403">
        <v>11980</v>
      </c>
      <c r="G464" s="349">
        <f>+F464*$X$1</f>
        <v>11980</v>
      </c>
      <c r="H464" s="589">
        <f t="shared" si="1109"/>
        <v>12380</v>
      </c>
      <c r="I464" s="349">
        <f t="shared" si="1110"/>
        <v>12380</v>
      </c>
      <c r="J464" s="589">
        <f t="shared" si="1111"/>
        <v>12300</v>
      </c>
      <c r="K464" s="349">
        <f t="shared" si="1112"/>
        <v>12300</v>
      </c>
      <c r="L464" s="589">
        <f t="shared" si="1099"/>
        <v>12260</v>
      </c>
      <c r="M464" s="349">
        <f t="shared" si="1100"/>
        <v>12260</v>
      </c>
      <c r="N464" s="589">
        <f t="shared" si="1101"/>
        <v>12230</v>
      </c>
      <c r="O464" s="349">
        <f t="shared" si="1113"/>
        <v>12230</v>
      </c>
      <c r="P464" s="589">
        <f t="shared" si="1103"/>
        <v>12210</v>
      </c>
      <c r="Q464" s="349">
        <f t="shared" si="1114"/>
        <v>12210</v>
      </c>
      <c r="R464" s="589">
        <f t="shared" si="1105"/>
        <v>12190</v>
      </c>
      <c r="S464" s="349">
        <f t="shared" si="1115"/>
        <v>12190</v>
      </c>
      <c r="T464" s="589">
        <f t="shared" si="1107"/>
        <v>12170</v>
      </c>
      <c r="U464" s="349">
        <f t="shared" si="1116"/>
        <v>12170</v>
      </c>
      <c r="V464" s="589">
        <f t="shared" si="1117"/>
        <v>12155</v>
      </c>
      <c r="W464" s="349">
        <f t="shared" si="1118"/>
        <v>12155</v>
      </c>
      <c r="X464" s="161"/>
      <c r="Y464" s="146"/>
      <c r="Z464" s="146"/>
      <c r="AA464" s="149"/>
      <c r="AB464" s="209" t="s">
        <v>301</v>
      </c>
    </row>
    <row r="465" spans="1:34" ht="12.6" customHeight="1" x14ac:dyDescent="0.2">
      <c r="A465" s="20"/>
      <c r="B465" s="706" t="s">
        <v>767</v>
      </c>
      <c r="C465" s="835"/>
      <c r="D465" s="835"/>
      <c r="E465" s="835"/>
      <c r="F465" s="404">
        <v>12943</v>
      </c>
      <c r="G465" s="348">
        <f t="shared" ref="G465" si="1121">+F465*$X$1</f>
        <v>12943</v>
      </c>
      <c r="H465" s="386">
        <f t="shared" si="1109"/>
        <v>13343</v>
      </c>
      <c r="I465" s="348">
        <f t="shared" si="1110"/>
        <v>13343</v>
      </c>
      <c r="J465" s="386">
        <f t="shared" si="1111"/>
        <v>13263</v>
      </c>
      <c r="K465" s="348">
        <f t="shared" si="1112"/>
        <v>13263</v>
      </c>
      <c r="L465" s="386">
        <f t="shared" si="1099"/>
        <v>13223</v>
      </c>
      <c r="M465" s="348">
        <f t="shared" si="1100"/>
        <v>13223</v>
      </c>
      <c r="N465" s="386">
        <f t="shared" si="1101"/>
        <v>13193</v>
      </c>
      <c r="O465" s="348">
        <f t="shared" si="1113"/>
        <v>13193</v>
      </c>
      <c r="P465" s="386">
        <f t="shared" si="1103"/>
        <v>13173</v>
      </c>
      <c r="Q465" s="348">
        <f t="shared" si="1114"/>
        <v>13173</v>
      </c>
      <c r="R465" s="386">
        <f t="shared" si="1105"/>
        <v>13153</v>
      </c>
      <c r="S465" s="348">
        <f t="shared" si="1115"/>
        <v>13153</v>
      </c>
      <c r="T465" s="386">
        <f t="shared" si="1107"/>
        <v>13133</v>
      </c>
      <c r="U465" s="348">
        <f t="shared" si="1116"/>
        <v>13133</v>
      </c>
      <c r="V465" s="386">
        <f t="shared" si="1117"/>
        <v>13118</v>
      </c>
      <c r="W465" s="348">
        <f t="shared" si="1118"/>
        <v>13118</v>
      </c>
      <c r="X465" s="161"/>
      <c r="Y465" s="146"/>
      <c r="Z465" s="146"/>
      <c r="AA465" s="149"/>
      <c r="AB465" s="209" t="s">
        <v>302</v>
      </c>
    </row>
    <row r="466" spans="1:34" ht="12.6" customHeight="1" x14ac:dyDescent="0.2">
      <c r="A466" s="20"/>
      <c r="B466" s="747" t="s">
        <v>428</v>
      </c>
      <c r="C466" s="748"/>
      <c r="D466" s="748"/>
      <c r="E466" s="748"/>
      <c r="F466" s="391"/>
      <c r="G466" s="391"/>
      <c r="H466" s="366"/>
      <c r="I466" s="471"/>
      <c r="J466" s="484"/>
      <c r="K466" s="349"/>
      <c r="L466" s="484"/>
      <c r="M466" s="349"/>
      <c r="N466" s="484"/>
      <c r="O466" s="349"/>
      <c r="P466" s="484"/>
      <c r="Q466" s="349"/>
      <c r="R466" s="484"/>
      <c r="S466" s="349"/>
      <c r="T466" s="484"/>
      <c r="U466" s="349"/>
      <c r="V466" s="108"/>
      <c r="W466" s="391"/>
      <c r="X466" s="161"/>
      <c r="Y466" s="146"/>
      <c r="Z466" s="146"/>
      <c r="AA466" s="149"/>
      <c r="AB466" s="209" t="s">
        <v>303</v>
      </c>
    </row>
    <row r="467" spans="1:34" ht="12.6" customHeight="1" x14ac:dyDescent="0.2">
      <c r="A467" s="20"/>
      <c r="B467" s="706" t="s">
        <v>304</v>
      </c>
      <c r="C467" s="729"/>
      <c r="D467" s="729"/>
      <c r="E467" s="729"/>
      <c r="F467" s="404">
        <v>8368</v>
      </c>
      <c r="G467" s="348">
        <f>+F467*$X$1</f>
        <v>8368</v>
      </c>
      <c r="H467" s="386">
        <f>F467+400</f>
        <v>8768</v>
      </c>
      <c r="I467" s="348">
        <f t="shared" ref="I467:I468" si="1122">+H467*$X$1</f>
        <v>8768</v>
      </c>
      <c r="J467" s="386">
        <f>F467+320</f>
        <v>8688</v>
      </c>
      <c r="K467" s="348">
        <f>+J467*$X$1</f>
        <v>8688</v>
      </c>
      <c r="L467" s="386">
        <f>F467+280</f>
        <v>8648</v>
      </c>
      <c r="M467" s="348">
        <f>+L467*$X$1</f>
        <v>8648</v>
      </c>
      <c r="N467" s="386">
        <f>F467+250</f>
        <v>8618</v>
      </c>
      <c r="O467" s="348">
        <f t="shared" ref="O467:O468" si="1123">+N467*$X$1</f>
        <v>8618</v>
      </c>
      <c r="P467" s="386">
        <f>F467+230</f>
        <v>8598</v>
      </c>
      <c r="Q467" s="348">
        <f t="shared" ref="Q467:Q468" si="1124">+P467*$X$1</f>
        <v>8598</v>
      </c>
      <c r="R467" s="386">
        <f>F467+210</f>
        <v>8578</v>
      </c>
      <c r="S467" s="348">
        <f t="shared" ref="S467:S468" si="1125">+R467*$X$1</f>
        <v>8578</v>
      </c>
      <c r="T467" s="386">
        <f>F467+190</f>
        <v>8558</v>
      </c>
      <c r="U467" s="348">
        <f t="shared" ref="U467:U468" si="1126">+T467*$X$1</f>
        <v>8558</v>
      </c>
      <c r="V467" s="386">
        <f>F467+175</f>
        <v>8543</v>
      </c>
      <c r="W467" s="348">
        <f t="shared" ref="W467:W468" si="1127">+V467*$X$1</f>
        <v>8543</v>
      </c>
      <c r="X467" s="161"/>
      <c r="Y467" s="146"/>
      <c r="Z467" s="146"/>
      <c r="AA467" s="149"/>
      <c r="AB467" s="209" t="s">
        <v>305</v>
      </c>
    </row>
    <row r="468" spans="1:34" ht="12.6" customHeight="1" x14ac:dyDescent="0.2">
      <c r="A468" s="20"/>
      <c r="B468" s="720" t="s">
        <v>306</v>
      </c>
      <c r="C468" s="721"/>
      <c r="D468" s="721"/>
      <c r="E468" s="721"/>
      <c r="F468" s="403">
        <v>9332</v>
      </c>
      <c r="G468" s="349">
        <f>+F468*$X$1</f>
        <v>9332</v>
      </c>
      <c r="H468" s="589">
        <f>F468+400</f>
        <v>9732</v>
      </c>
      <c r="I468" s="349">
        <f t="shared" si="1122"/>
        <v>9732</v>
      </c>
      <c r="J468" s="589">
        <f>F468+320</f>
        <v>9652</v>
      </c>
      <c r="K468" s="349">
        <f>+J468*$X$1</f>
        <v>9652</v>
      </c>
      <c r="L468" s="589">
        <f>F468+280</f>
        <v>9612</v>
      </c>
      <c r="M468" s="349">
        <f>+L468*$X$1</f>
        <v>9612</v>
      </c>
      <c r="N468" s="589">
        <f>F468+250</f>
        <v>9582</v>
      </c>
      <c r="O468" s="349">
        <f t="shared" si="1123"/>
        <v>9582</v>
      </c>
      <c r="P468" s="589">
        <f>F468+230</f>
        <v>9562</v>
      </c>
      <c r="Q468" s="349">
        <f t="shared" si="1124"/>
        <v>9562</v>
      </c>
      <c r="R468" s="589">
        <f>F468+210</f>
        <v>9542</v>
      </c>
      <c r="S468" s="349">
        <f t="shared" si="1125"/>
        <v>9542</v>
      </c>
      <c r="T468" s="589">
        <f>F468+190</f>
        <v>9522</v>
      </c>
      <c r="U468" s="349">
        <f t="shared" si="1126"/>
        <v>9522</v>
      </c>
      <c r="V468" s="589">
        <f>F468+175</f>
        <v>9507</v>
      </c>
      <c r="W468" s="349">
        <f t="shared" si="1127"/>
        <v>9507</v>
      </c>
      <c r="X468" s="161"/>
      <c r="Y468" s="146"/>
      <c r="Z468" s="146"/>
      <c r="AA468" s="149"/>
      <c r="AB468" s="209" t="s">
        <v>307</v>
      </c>
    </row>
    <row r="469" spans="1:34" ht="12.6" customHeight="1" x14ac:dyDescent="0.2">
      <c r="A469" s="20"/>
      <c r="B469" s="706" t="s">
        <v>683</v>
      </c>
      <c r="C469" s="729"/>
      <c r="D469" s="729"/>
      <c r="E469" s="729"/>
      <c r="F469" s="487"/>
      <c r="G469" s="348"/>
      <c r="H469" s="386"/>
      <c r="I469" s="348"/>
      <c r="J469" s="386"/>
      <c r="K469" s="348"/>
      <c r="L469" s="386"/>
      <c r="M469" s="348"/>
      <c r="N469" s="386"/>
      <c r="O469" s="348"/>
      <c r="P469" s="386"/>
      <c r="Q469" s="348"/>
      <c r="R469" s="386"/>
      <c r="S469" s="348"/>
      <c r="T469" s="386"/>
      <c r="U469" s="348"/>
      <c r="V469" s="386"/>
      <c r="W469" s="348"/>
      <c r="X469" s="794"/>
      <c r="Y469" s="795"/>
      <c r="Z469" s="795"/>
      <c r="AA469" s="796"/>
      <c r="AB469" s="209" t="s">
        <v>562</v>
      </c>
    </row>
    <row r="470" spans="1:34" ht="12.6" customHeight="1" x14ac:dyDescent="0.2">
      <c r="A470" s="20"/>
      <c r="B470" s="720" t="s">
        <v>679</v>
      </c>
      <c r="C470" s="721"/>
      <c r="D470" s="721"/>
      <c r="E470" s="721"/>
      <c r="F470" s="488">
        <v>3120</v>
      </c>
      <c r="G470" s="349">
        <f t="shared" ref="G470" si="1128">+F470*$X$1</f>
        <v>3120</v>
      </c>
      <c r="H470" s="602">
        <f>F470+150</f>
        <v>3270</v>
      </c>
      <c r="I470" s="349">
        <f t="shared" ref="I470:I471" si="1129">+H470*$X$1</f>
        <v>3270</v>
      </c>
      <c r="J470" s="602">
        <f>F470+100</f>
        <v>3220</v>
      </c>
      <c r="K470" s="349">
        <f t="shared" ref="K470" si="1130">+J470*$X$1</f>
        <v>3220</v>
      </c>
      <c r="L470" s="602">
        <f>F470+85</f>
        <v>3205</v>
      </c>
      <c r="M470" s="349">
        <f t="shared" ref="M470" si="1131">+L470*$X$1</f>
        <v>3205</v>
      </c>
      <c r="N470" s="602">
        <f>F470+75</f>
        <v>3195</v>
      </c>
      <c r="O470" s="349">
        <f>+N470*$X$1</f>
        <v>3195</v>
      </c>
      <c r="P470" s="602">
        <f>F470+70</f>
        <v>3190</v>
      </c>
      <c r="Q470" s="349">
        <f t="shared" ref="Q470:Q472" si="1132">+P470*$X$1</f>
        <v>3190</v>
      </c>
      <c r="R470" s="602">
        <f>F470+66</f>
        <v>3186</v>
      </c>
      <c r="S470" s="349">
        <f t="shared" ref="S470:S472" si="1133">+R470*$X$1</f>
        <v>3186</v>
      </c>
      <c r="T470" s="602">
        <f>F470+61</f>
        <v>3181</v>
      </c>
      <c r="U470" s="349">
        <f t="shared" ref="U470:U472" si="1134">+T470*$X$1</f>
        <v>3181</v>
      </c>
      <c r="V470" s="602">
        <f>F470+55</f>
        <v>3175</v>
      </c>
      <c r="W470" s="349">
        <f t="shared" ref="W470:W472" si="1135">+V470*$X$1</f>
        <v>3175</v>
      </c>
      <c r="X470" s="794"/>
      <c r="Y470" s="795"/>
      <c r="Z470" s="795"/>
      <c r="AA470" s="796"/>
      <c r="AB470" s="209" t="s">
        <v>308</v>
      </c>
    </row>
    <row r="471" spans="1:34" ht="12.6" customHeight="1" x14ac:dyDescent="0.2">
      <c r="A471" s="20"/>
      <c r="B471" s="706" t="s">
        <v>773</v>
      </c>
      <c r="C471" s="729"/>
      <c r="D471" s="729"/>
      <c r="E471" s="729"/>
      <c r="F471" s="487">
        <v>3120</v>
      </c>
      <c r="G471" s="348">
        <f t="shared" ref="G471" si="1136">+F471*$X$1</f>
        <v>3120</v>
      </c>
      <c r="H471" s="386">
        <f>F471+400</f>
        <v>3520</v>
      </c>
      <c r="I471" s="348">
        <f t="shared" si="1129"/>
        <v>3520</v>
      </c>
      <c r="J471" s="386">
        <f>F471+320</f>
        <v>3440</v>
      </c>
      <c r="K471" s="348">
        <f>+J471*$X$1</f>
        <v>3440</v>
      </c>
      <c r="L471" s="386">
        <f>F471+280</f>
        <v>3400</v>
      </c>
      <c r="M471" s="348">
        <f>+L471*$X$1</f>
        <v>3400</v>
      </c>
      <c r="N471" s="386">
        <f>F471+250</f>
        <v>3370</v>
      </c>
      <c r="O471" s="348">
        <f t="shared" ref="O471" si="1137">+N471*$X$1</f>
        <v>3370</v>
      </c>
      <c r="P471" s="386">
        <f>F471+230</f>
        <v>3350</v>
      </c>
      <c r="Q471" s="348">
        <f t="shared" ref="Q471" si="1138">+P471*$X$1</f>
        <v>3350</v>
      </c>
      <c r="R471" s="386">
        <f>F471+210</f>
        <v>3330</v>
      </c>
      <c r="S471" s="348">
        <f t="shared" ref="S471" si="1139">+R471*$X$1</f>
        <v>3330</v>
      </c>
      <c r="T471" s="386">
        <f>F471+190</f>
        <v>3310</v>
      </c>
      <c r="U471" s="348">
        <f t="shared" ref="U471" si="1140">+T471*$X$1</f>
        <v>3310</v>
      </c>
      <c r="V471" s="386">
        <f>F471+175</f>
        <v>3295</v>
      </c>
      <c r="W471" s="348">
        <f t="shared" ref="W471" si="1141">+V471*$X$1</f>
        <v>3295</v>
      </c>
      <c r="X471" s="794"/>
      <c r="Y471" s="795"/>
      <c r="Z471" s="795"/>
      <c r="AA471" s="796"/>
      <c r="AB471" s="209" t="s">
        <v>774</v>
      </c>
    </row>
    <row r="472" spans="1:34" ht="12.6" customHeight="1" x14ac:dyDescent="0.2">
      <c r="A472" s="20"/>
      <c r="B472" s="720" t="s">
        <v>464</v>
      </c>
      <c r="C472" s="788"/>
      <c r="D472" s="788"/>
      <c r="E472" s="788"/>
      <c r="F472" s="488">
        <f>3.116*X2</f>
        <v>2829.328</v>
      </c>
      <c r="G472" s="349">
        <f t="shared" ref="G472" si="1142">+F472*$X$1</f>
        <v>2829.328</v>
      </c>
      <c r="H472" s="602">
        <f>F472+400</f>
        <v>3229.328</v>
      </c>
      <c r="I472" s="349">
        <f t="shared" ref="I472" si="1143">+H472*$X$1</f>
        <v>3229.328</v>
      </c>
      <c r="J472" s="602">
        <f>F472+320</f>
        <v>3149.328</v>
      </c>
      <c r="K472" s="349">
        <f>+J472*$X$1</f>
        <v>3149.328</v>
      </c>
      <c r="L472" s="602">
        <f>F472+280</f>
        <v>3109.328</v>
      </c>
      <c r="M472" s="349">
        <f>+L472*$X$1</f>
        <v>3109.328</v>
      </c>
      <c r="N472" s="602">
        <f>F472+250</f>
        <v>3079.328</v>
      </c>
      <c r="O472" s="349">
        <f t="shared" ref="O472" si="1144">+N472*$X$1</f>
        <v>3079.328</v>
      </c>
      <c r="P472" s="602">
        <f>F472+230</f>
        <v>3059.328</v>
      </c>
      <c r="Q472" s="349">
        <f t="shared" si="1132"/>
        <v>3059.328</v>
      </c>
      <c r="R472" s="602">
        <f>F472+210</f>
        <v>3039.328</v>
      </c>
      <c r="S472" s="349">
        <f t="shared" si="1133"/>
        <v>3039.328</v>
      </c>
      <c r="T472" s="602">
        <f>F472+190</f>
        <v>3019.328</v>
      </c>
      <c r="U472" s="349">
        <f t="shared" si="1134"/>
        <v>3019.328</v>
      </c>
      <c r="V472" s="602">
        <f>F472+175</f>
        <v>3004.328</v>
      </c>
      <c r="W472" s="349">
        <f t="shared" si="1135"/>
        <v>3004.328</v>
      </c>
      <c r="X472" s="794"/>
      <c r="Y472" s="795"/>
      <c r="Z472" s="795"/>
      <c r="AA472" s="796"/>
      <c r="AB472" s="209" t="s">
        <v>557</v>
      </c>
    </row>
    <row r="473" spans="1:34" ht="12.6" customHeight="1" x14ac:dyDescent="0.2">
      <c r="A473" s="20"/>
      <c r="B473" s="937" t="s">
        <v>838</v>
      </c>
      <c r="C473" s="1302"/>
      <c r="D473" s="1302"/>
      <c r="E473" s="1302"/>
      <c r="F473" s="487">
        <f>7.761*X2</f>
        <v>7046.9880000000003</v>
      </c>
      <c r="G473" s="348">
        <f t="shared" ref="G473" si="1145">+F473*$X$1</f>
        <v>7046.9880000000003</v>
      </c>
      <c r="H473" s="386">
        <f>F473+400</f>
        <v>7446.9880000000003</v>
      </c>
      <c r="I473" s="348">
        <f t="shared" ref="I473" si="1146">+H473*$X$1</f>
        <v>7446.9880000000003</v>
      </c>
      <c r="J473" s="386">
        <f>F473+320</f>
        <v>7366.9880000000003</v>
      </c>
      <c r="K473" s="348">
        <f>+J473*$X$1</f>
        <v>7366.9880000000003</v>
      </c>
      <c r="L473" s="386">
        <f>F473+280</f>
        <v>7326.9880000000003</v>
      </c>
      <c r="M473" s="348">
        <f>+L473*$X$1</f>
        <v>7326.9880000000003</v>
      </c>
      <c r="N473" s="386">
        <f>F473+250</f>
        <v>7296.9880000000003</v>
      </c>
      <c r="O473" s="348">
        <f t="shared" ref="O473" si="1147">+N473*$X$1</f>
        <v>7296.9880000000003</v>
      </c>
      <c r="P473" s="386">
        <f>F473+230</f>
        <v>7276.9880000000003</v>
      </c>
      <c r="Q473" s="348">
        <f t="shared" ref="Q473" si="1148">+P473*$X$1</f>
        <v>7276.9880000000003</v>
      </c>
      <c r="R473" s="386">
        <f>F473+210</f>
        <v>7256.9880000000003</v>
      </c>
      <c r="S473" s="348">
        <f t="shared" ref="S473" si="1149">+R473*$X$1</f>
        <v>7256.9880000000003</v>
      </c>
      <c r="T473" s="386">
        <f>F473+190</f>
        <v>7236.9880000000003</v>
      </c>
      <c r="U473" s="348">
        <f t="shared" ref="U473" si="1150">+T473*$X$1</f>
        <v>7236.9880000000003</v>
      </c>
      <c r="V473" s="386">
        <f>F473+175</f>
        <v>7221.9880000000003</v>
      </c>
      <c r="W473" s="348">
        <f t="shared" ref="W473" si="1151">+V473*$X$1</f>
        <v>7221.9880000000003</v>
      </c>
      <c r="X473" s="794"/>
      <c r="Y473" s="795"/>
      <c r="Z473" s="795"/>
      <c r="AA473" s="796"/>
      <c r="AB473" s="209" t="s">
        <v>839</v>
      </c>
    </row>
    <row r="474" spans="1:34" ht="12.6" customHeight="1" x14ac:dyDescent="0.2">
      <c r="A474" s="112"/>
      <c r="B474" s="250"/>
      <c r="C474" s="66"/>
      <c r="D474" s="66"/>
      <c r="E474" s="66"/>
      <c r="F474" s="140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252"/>
      <c r="Y474" s="253"/>
      <c r="Z474" s="253"/>
      <c r="AA474" s="252"/>
      <c r="AB474" s="43"/>
      <c r="AC474" s="69"/>
    </row>
    <row r="475" spans="1:34" ht="12.6" customHeight="1" x14ac:dyDescent="0.2">
      <c r="A475" s="112"/>
      <c r="B475" s="250"/>
      <c r="C475" s="66"/>
      <c r="D475" s="66"/>
      <c r="E475" s="66"/>
      <c r="F475" s="140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252"/>
      <c r="Y475" s="253"/>
      <c r="Z475" s="253"/>
      <c r="AA475" s="252"/>
      <c r="AB475" s="43"/>
      <c r="AC475" s="69"/>
    </row>
    <row r="476" spans="1:34" ht="12.6" customHeight="1" x14ac:dyDescent="0.2">
      <c r="A476" s="112"/>
      <c r="B476" s="250"/>
      <c r="C476" s="66"/>
      <c r="D476" s="66"/>
      <c r="E476" s="66"/>
      <c r="F476" s="140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252"/>
      <c r="Y476" s="253"/>
      <c r="Z476" s="253"/>
      <c r="AA476" s="252"/>
      <c r="AB476" s="43"/>
      <c r="AC476" s="69"/>
    </row>
    <row r="477" spans="1:34" ht="12.6" customHeight="1" x14ac:dyDescent="0.2">
      <c r="A477" s="112"/>
      <c r="B477" s="250"/>
      <c r="C477" s="66"/>
      <c r="D477" s="66"/>
      <c r="E477" s="66"/>
      <c r="F477" s="140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252"/>
      <c r="Y477" s="253"/>
      <c r="Z477" s="253"/>
      <c r="AA477" s="252"/>
      <c r="AB477" s="43"/>
      <c r="AC477" s="69"/>
    </row>
    <row r="478" spans="1:34" ht="12.6" customHeight="1" thickBot="1" x14ac:dyDescent="0.25">
      <c r="A478" s="112"/>
      <c r="B478" s="250"/>
      <c r="C478" s="66"/>
      <c r="D478" s="66"/>
      <c r="E478" s="66"/>
      <c r="F478" s="140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252"/>
      <c r="Y478" s="253"/>
      <c r="Z478" s="253"/>
      <c r="AA478" s="252"/>
      <c r="AB478" s="43"/>
      <c r="AC478" s="69"/>
    </row>
    <row r="479" spans="1:34" ht="14.25" customHeight="1" thickBot="1" x14ac:dyDescent="0.25">
      <c r="B479" s="818" t="s">
        <v>596</v>
      </c>
      <c r="C479" s="819"/>
      <c r="D479" s="819"/>
      <c r="E479" s="819"/>
      <c r="F479" s="819"/>
      <c r="G479" s="819"/>
      <c r="H479" s="819"/>
      <c r="I479" s="819"/>
      <c r="J479" s="819"/>
      <c r="K479" s="819"/>
      <c r="L479" s="819"/>
      <c r="M479" s="819"/>
      <c r="N479" s="819"/>
      <c r="O479" s="819"/>
      <c r="P479" s="819"/>
      <c r="Q479" s="819"/>
      <c r="R479" s="819"/>
      <c r="S479" s="819"/>
      <c r="T479" s="819"/>
      <c r="U479" s="819"/>
      <c r="V479" s="819"/>
      <c r="W479" s="820"/>
      <c r="AB479" s="4"/>
      <c r="AF479" s="828"/>
      <c r="AG479" s="829"/>
      <c r="AH479" s="829"/>
    </row>
    <row r="480" spans="1:34" ht="13.5" customHeight="1" x14ac:dyDescent="0.2">
      <c r="B480" s="823" t="s">
        <v>11</v>
      </c>
      <c r="C480" s="825" t="s">
        <v>12</v>
      </c>
      <c r="D480" s="826"/>
      <c r="E480" s="826"/>
      <c r="F480" s="780" t="s">
        <v>309</v>
      </c>
      <c r="G480" s="780" t="s">
        <v>13</v>
      </c>
      <c r="H480" s="836" t="s">
        <v>513</v>
      </c>
      <c r="I480" s="836"/>
      <c r="J480" s="837"/>
      <c r="K480" s="837"/>
      <c r="L480" s="837"/>
      <c r="M480" s="837"/>
      <c r="N480" s="837"/>
      <c r="O480" s="837"/>
      <c r="P480" s="837"/>
      <c r="Q480" s="837"/>
      <c r="R480" s="837"/>
      <c r="S480" s="837"/>
      <c r="T480" s="837"/>
      <c r="U480" s="837"/>
      <c r="V480" s="837"/>
      <c r="W480" s="838"/>
      <c r="X480" s="770" t="s">
        <v>15</v>
      </c>
      <c r="Y480" s="771"/>
      <c r="Z480" s="771"/>
      <c r="AA480" s="771"/>
      <c r="AB480" s="839" t="s">
        <v>16</v>
      </c>
      <c r="AF480" s="828" t="s">
        <v>3</v>
      </c>
      <c r="AG480" s="829"/>
      <c r="AH480" s="829"/>
    </row>
    <row r="481" spans="1:28" ht="11.25" customHeight="1" thickBot="1" x14ac:dyDescent="0.25">
      <c r="B481" s="824"/>
      <c r="C481" s="827"/>
      <c r="D481" s="827"/>
      <c r="E481" s="827"/>
      <c r="F481" s="781"/>
      <c r="G481" s="781"/>
      <c r="H481" s="297"/>
      <c r="I481" s="295" t="s">
        <v>674</v>
      </c>
      <c r="J481" s="297"/>
      <c r="K481" s="295" t="s">
        <v>311</v>
      </c>
      <c r="L481" s="297"/>
      <c r="M481" s="295" t="s">
        <v>312</v>
      </c>
      <c r="N481" s="297"/>
      <c r="O481" s="295" t="s">
        <v>676</v>
      </c>
      <c r="P481" s="297"/>
      <c r="Q481" s="295" t="s">
        <v>18</v>
      </c>
      <c r="R481" s="297"/>
      <c r="S481" s="295" t="s">
        <v>19</v>
      </c>
      <c r="T481" s="297"/>
      <c r="U481" s="295" t="s">
        <v>20</v>
      </c>
      <c r="V481" s="297"/>
      <c r="W481" s="295" t="s">
        <v>677</v>
      </c>
      <c r="X481" s="772"/>
      <c r="Y481" s="773"/>
      <c r="Z481" s="773"/>
      <c r="AA481" s="773"/>
      <c r="AB481" s="840"/>
    </row>
    <row r="482" spans="1:28" ht="12" customHeight="1" x14ac:dyDescent="0.2">
      <c r="A482" s="4"/>
      <c r="B482" s="691" t="s">
        <v>914</v>
      </c>
      <c r="C482" s="692"/>
      <c r="D482" s="692"/>
      <c r="E482" s="692"/>
      <c r="F482" s="492">
        <f>9.55*X2</f>
        <v>8671.4000000000015</v>
      </c>
      <c r="G482" s="391">
        <f t="shared" ref="G482" si="1152">+F482*$X$1</f>
        <v>8671.4000000000015</v>
      </c>
      <c r="H482" s="674">
        <f>F482+3000</f>
        <v>11671.400000000001</v>
      </c>
      <c r="I482" s="349">
        <f t="shared" ref="I482" si="1153">+H482*$X$1</f>
        <v>11671.400000000001</v>
      </c>
      <c r="J482" s="674">
        <f>F482+900</f>
        <v>9571.4000000000015</v>
      </c>
      <c r="K482" s="349">
        <f t="shared" ref="K482" si="1154">+J482*$X$1</f>
        <v>9571.4000000000015</v>
      </c>
      <c r="L482" s="674">
        <f>F482+840</f>
        <v>9511.4000000000015</v>
      </c>
      <c r="M482" s="349">
        <f t="shared" ref="M482" si="1155">+L482*$X$1</f>
        <v>9511.4000000000015</v>
      </c>
      <c r="N482" s="674">
        <f>F482+800</f>
        <v>9471.4000000000015</v>
      </c>
      <c r="O482" s="349">
        <f t="shared" ref="O482" si="1156">+N482*$X$1</f>
        <v>9471.4000000000015</v>
      </c>
      <c r="P482" s="674">
        <f>F482+760</f>
        <v>9431.4000000000015</v>
      </c>
      <c r="Q482" s="349">
        <f t="shared" ref="Q482" si="1157">+P482*$X$1</f>
        <v>9431.4000000000015</v>
      </c>
      <c r="R482" s="674">
        <f>F482+730</f>
        <v>9401.4000000000015</v>
      </c>
      <c r="S482" s="349">
        <f t="shared" ref="S482" si="1158">+R482*$X$1</f>
        <v>9401.4000000000015</v>
      </c>
      <c r="T482" s="674">
        <f>F482+690</f>
        <v>9361.4000000000015</v>
      </c>
      <c r="U482" s="349">
        <f t="shared" ref="U482" si="1159">+T482*$X$1</f>
        <v>9361.4000000000015</v>
      </c>
      <c r="V482" s="674">
        <f>F482+650</f>
        <v>9321.4000000000015</v>
      </c>
      <c r="W482" s="349">
        <f t="shared" ref="W482" si="1160">+V482*$X$1</f>
        <v>9321.4000000000015</v>
      </c>
      <c r="X482" s="151"/>
      <c r="Y482" s="146"/>
      <c r="Z482" s="152"/>
      <c r="AA482" s="153"/>
      <c r="AB482" s="540" t="s">
        <v>919</v>
      </c>
    </row>
    <row r="483" spans="1:28" ht="12" customHeight="1" x14ac:dyDescent="0.2">
      <c r="A483" s="4"/>
      <c r="B483" s="693" t="s">
        <v>913</v>
      </c>
      <c r="C483" s="694"/>
      <c r="D483" s="694"/>
      <c r="E483" s="694"/>
      <c r="F483" s="493">
        <f>9.55*X2</f>
        <v>8671.4000000000015</v>
      </c>
      <c r="G483" s="375">
        <f t="shared" ref="G483" si="1161">+F483*$X$1</f>
        <v>8671.4000000000015</v>
      </c>
      <c r="H483" s="109">
        <f>F483+2200</f>
        <v>10871.400000000001</v>
      </c>
      <c r="I483" s="375">
        <f t="shared" ref="I483" si="1162">+H483*$X$1</f>
        <v>10871.400000000001</v>
      </c>
      <c r="J483" s="109">
        <f>F483+550</f>
        <v>9221.4000000000015</v>
      </c>
      <c r="K483" s="375">
        <f t="shared" ref="K483" si="1163">+J483*$X$1</f>
        <v>9221.4000000000015</v>
      </c>
      <c r="L483" s="109">
        <f>F483+480</f>
        <v>9151.4000000000015</v>
      </c>
      <c r="M483" s="375">
        <f t="shared" ref="M483" si="1164">+L483*$X$1</f>
        <v>9151.4000000000015</v>
      </c>
      <c r="N483" s="109">
        <f>F483+440</f>
        <v>9111.4000000000015</v>
      </c>
      <c r="O483" s="375">
        <f t="shared" ref="O483" si="1165">+N483*$X$1</f>
        <v>9111.4000000000015</v>
      </c>
      <c r="P483" s="109">
        <f>F483+410</f>
        <v>9081.4000000000015</v>
      </c>
      <c r="Q483" s="375">
        <f t="shared" ref="Q483" si="1166">+P483*$X$1</f>
        <v>9081.4000000000015</v>
      </c>
      <c r="R483" s="109">
        <f>F483+390</f>
        <v>9061.4000000000015</v>
      </c>
      <c r="S483" s="375">
        <f t="shared" ref="S483" si="1167">+R483*$X$1</f>
        <v>9061.4000000000015</v>
      </c>
      <c r="T483" s="109">
        <f>F483+350</f>
        <v>9021.4000000000015</v>
      </c>
      <c r="U483" s="375">
        <f t="shared" ref="U483" si="1168">+T483*$X$1</f>
        <v>9021.4000000000015</v>
      </c>
      <c r="V483" s="109">
        <f>F483+320</f>
        <v>8991.4000000000015</v>
      </c>
      <c r="W483" s="375">
        <f t="shared" ref="W483" si="1169">+V483*$X$1</f>
        <v>8991.4000000000015</v>
      </c>
      <c r="X483" s="151"/>
      <c r="Y483" s="146"/>
      <c r="Z483" s="152"/>
      <c r="AA483" s="153"/>
      <c r="AB483" s="540">
        <v>873</v>
      </c>
    </row>
    <row r="484" spans="1:28" ht="12" customHeight="1" x14ac:dyDescent="0.2">
      <c r="A484" s="4"/>
      <c r="B484" s="693" t="s">
        <v>858</v>
      </c>
      <c r="C484" s="694"/>
      <c r="D484" s="694"/>
      <c r="E484" s="694"/>
      <c r="F484" s="492">
        <f>18.82*X2</f>
        <v>17088.560000000001</v>
      </c>
      <c r="G484" s="391">
        <f t="shared" ref="G484" si="1170">+F484*$X$1</f>
        <v>17088.560000000001</v>
      </c>
      <c r="H484" s="108">
        <f>F484+2200</f>
        <v>19288.560000000001</v>
      </c>
      <c r="I484" s="391">
        <f t="shared" ref="I484" si="1171">+H484*$X$1</f>
        <v>19288.560000000001</v>
      </c>
      <c r="J484" s="108">
        <f>F484+550</f>
        <v>17638.560000000001</v>
      </c>
      <c r="K484" s="391">
        <f t="shared" ref="K484" si="1172">+J484*$X$1</f>
        <v>17638.560000000001</v>
      </c>
      <c r="L484" s="108">
        <f>F484+480</f>
        <v>17568.560000000001</v>
      </c>
      <c r="M484" s="391">
        <f t="shared" ref="M484" si="1173">+L484*$X$1</f>
        <v>17568.560000000001</v>
      </c>
      <c r="N484" s="108">
        <f>F484+440</f>
        <v>17528.560000000001</v>
      </c>
      <c r="O484" s="391">
        <f t="shared" ref="O484" si="1174">+N484*$X$1</f>
        <v>17528.560000000001</v>
      </c>
      <c r="P484" s="108">
        <f>F484+410</f>
        <v>17498.560000000001</v>
      </c>
      <c r="Q484" s="391">
        <f t="shared" ref="Q484" si="1175">+P484*$X$1</f>
        <v>17498.560000000001</v>
      </c>
      <c r="R484" s="108">
        <f>F484+390</f>
        <v>17478.560000000001</v>
      </c>
      <c r="S484" s="391">
        <f t="shared" ref="S484" si="1176">+R484*$X$1</f>
        <v>17478.560000000001</v>
      </c>
      <c r="T484" s="108">
        <f>F484+350</f>
        <v>17438.560000000001</v>
      </c>
      <c r="U484" s="391">
        <f t="shared" ref="U484" si="1177">+T484*$X$1</f>
        <v>17438.560000000001</v>
      </c>
      <c r="V484" s="108">
        <f>F484+320</f>
        <v>17408.560000000001</v>
      </c>
      <c r="W484" s="391">
        <f t="shared" ref="W484" si="1178">+V484*$X$1</f>
        <v>17408.560000000001</v>
      </c>
      <c r="X484" s="151"/>
      <c r="Y484" s="146"/>
      <c r="Z484" s="152"/>
      <c r="AA484" s="153"/>
      <c r="AB484" s="540">
        <v>874</v>
      </c>
    </row>
    <row r="485" spans="1:28" ht="12.6" customHeight="1" x14ac:dyDescent="0.2">
      <c r="A485" s="4"/>
      <c r="B485" s="791" t="s">
        <v>821</v>
      </c>
      <c r="C485" s="792"/>
      <c r="D485" s="792"/>
      <c r="E485" s="792"/>
      <c r="F485" s="493">
        <f>12*X2</f>
        <v>10896</v>
      </c>
      <c r="G485" s="375">
        <f t="shared" ref="G485:G486" si="1179">+F485*$X$1</f>
        <v>10896</v>
      </c>
      <c r="H485" s="386">
        <f>F485+3000</f>
        <v>13896</v>
      </c>
      <c r="I485" s="348">
        <f t="shared" ref="I485" si="1180">+H485*$X$1</f>
        <v>13896</v>
      </c>
      <c r="J485" s="386">
        <f>F485+900</f>
        <v>11796</v>
      </c>
      <c r="K485" s="348">
        <f t="shared" ref="K485" si="1181">+J485*$X$1</f>
        <v>11796</v>
      </c>
      <c r="L485" s="386">
        <f>F485+840</f>
        <v>11736</v>
      </c>
      <c r="M485" s="348">
        <f t="shared" ref="M485" si="1182">+L485*$X$1</f>
        <v>11736</v>
      </c>
      <c r="N485" s="386">
        <f>F485+800</f>
        <v>11696</v>
      </c>
      <c r="O485" s="348">
        <f t="shared" ref="O485" si="1183">+N485*$X$1</f>
        <v>11696</v>
      </c>
      <c r="P485" s="386">
        <f>F485+760</f>
        <v>11656</v>
      </c>
      <c r="Q485" s="348">
        <f t="shared" ref="Q485" si="1184">+P485*$X$1</f>
        <v>11656</v>
      </c>
      <c r="R485" s="386">
        <f>F485+730</f>
        <v>11626</v>
      </c>
      <c r="S485" s="348">
        <f t="shared" ref="S485" si="1185">+R485*$X$1</f>
        <v>11626</v>
      </c>
      <c r="T485" s="386">
        <f>F485+690</f>
        <v>11586</v>
      </c>
      <c r="U485" s="348">
        <f t="shared" ref="U485" si="1186">+T485*$X$1</f>
        <v>11586</v>
      </c>
      <c r="V485" s="386">
        <f>F485+650</f>
        <v>11546</v>
      </c>
      <c r="W485" s="348">
        <f t="shared" ref="W485" si="1187">+V485*$X$1</f>
        <v>11546</v>
      </c>
      <c r="X485" s="151"/>
      <c r="Y485" s="146"/>
      <c r="Z485" s="152"/>
      <c r="AA485" s="153"/>
      <c r="AB485" s="540" t="s">
        <v>831</v>
      </c>
    </row>
    <row r="486" spans="1:28" ht="12" customHeight="1" x14ac:dyDescent="0.2">
      <c r="A486" s="4"/>
      <c r="B486" s="774" t="s">
        <v>822</v>
      </c>
      <c r="C486" s="721"/>
      <c r="D486" s="721"/>
      <c r="E486" s="721"/>
      <c r="F486" s="492">
        <f>12*X2</f>
        <v>10896</v>
      </c>
      <c r="G486" s="391">
        <f t="shared" si="1179"/>
        <v>10896</v>
      </c>
      <c r="H486" s="108">
        <f>F486+2200</f>
        <v>13096</v>
      </c>
      <c r="I486" s="391">
        <f t="shared" ref="I486" si="1188">+H486*$X$1</f>
        <v>13096</v>
      </c>
      <c r="J486" s="108">
        <f>F486+550</f>
        <v>11446</v>
      </c>
      <c r="K486" s="391">
        <f t="shared" ref="K486" si="1189">+J486*$X$1</f>
        <v>11446</v>
      </c>
      <c r="L486" s="108">
        <f>F486+480</f>
        <v>11376</v>
      </c>
      <c r="M486" s="391">
        <f t="shared" ref="M486" si="1190">+L486*$X$1</f>
        <v>11376</v>
      </c>
      <c r="N486" s="108">
        <f>F486+440</f>
        <v>11336</v>
      </c>
      <c r="O486" s="391">
        <f t="shared" ref="O486" si="1191">+N486*$X$1</f>
        <v>11336</v>
      </c>
      <c r="P486" s="108">
        <f>F486+410</f>
        <v>11306</v>
      </c>
      <c r="Q486" s="391">
        <f t="shared" ref="Q486" si="1192">+P486*$X$1</f>
        <v>11306</v>
      </c>
      <c r="R486" s="108">
        <f>F486+390</f>
        <v>11286</v>
      </c>
      <c r="S486" s="391">
        <f t="shared" ref="S486" si="1193">+R486*$X$1</f>
        <v>11286</v>
      </c>
      <c r="T486" s="108">
        <f>F486+350</f>
        <v>11246</v>
      </c>
      <c r="U486" s="391">
        <f t="shared" ref="U486" si="1194">+T486*$X$1</f>
        <v>11246</v>
      </c>
      <c r="V486" s="108">
        <f>F486+320</f>
        <v>11216</v>
      </c>
      <c r="W486" s="391">
        <f t="shared" ref="W486" si="1195">+V486*$X$1</f>
        <v>11216</v>
      </c>
      <c r="X486" s="151"/>
      <c r="Y486" s="146"/>
      <c r="Z486" s="152"/>
      <c r="AA486" s="153"/>
      <c r="AB486" s="540">
        <v>875</v>
      </c>
    </row>
    <row r="487" spans="1:28" ht="12.6" customHeight="1" x14ac:dyDescent="0.2">
      <c r="A487" s="4"/>
      <c r="B487" s="693" t="s">
        <v>915</v>
      </c>
      <c r="C487" s="694"/>
      <c r="D487" s="694"/>
      <c r="E487" s="694"/>
      <c r="F487" s="493">
        <f>17.96*X2</f>
        <v>16307.68</v>
      </c>
      <c r="G487" s="375">
        <f t="shared" ref="G487" si="1196">+F487*$X$1</f>
        <v>16307.68</v>
      </c>
      <c r="H487" s="109">
        <f>F487+2200</f>
        <v>18507.68</v>
      </c>
      <c r="I487" s="375">
        <f t="shared" ref="I487" si="1197">+H487*$X$1</f>
        <v>18507.68</v>
      </c>
      <c r="J487" s="109">
        <f>F487+550</f>
        <v>16857.68</v>
      </c>
      <c r="K487" s="375">
        <f t="shared" ref="K487" si="1198">+J487*$X$1</f>
        <v>16857.68</v>
      </c>
      <c r="L487" s="109">
        <f>F487+480</f>
        <v>16787.68</v>
      </c>
      <c r="M487" s="375">
        <f t="shared" ref="M487" si="1199">+L487*$X$1</f>
        <v>16787.68</v>
      </c>
      <c r="N487" s="109">
        <f>F487+440</f>
        <v>16747.68</v>
      </c>
      <c r="O487" s="375">
        <f t="shared" ref="O487" si="1200">+N487*$X$1</f>
        <v>16747.68</v>
      </c>
      <c r="P487" s="109">
        <f>F487+410</f>
        <v>16717.68</v>
      </c>
      <c r="Q487" s="375">
        <f t="shared" ref="Q487" si="1201">+P487*$X$1</f>
        <v>16717.68</v>
      </c>
      <c r="R487" s="109">
        <f>F487+390</f>
        <v>16697.68</v>
      </c>
      <c r="S487" s="375">
        <f t="shared" ref="S487" si="1202">+R487*$X$1</f>
        <v>16697.68</v>
      </c>
      <c r="T487" s="109">
        <f>F487+350</f>
        <v>16657.68</v>
      </c>
      <c r="U487" s="375">
        <f t="shared" ref="U487" si="1203">+T487*$X$1</f>
        <v>16657.68</v>
      </c>
      <c r="V487" s="109">
        <f>F487+320</f>
        <v>16627.68</v>
      </c>
      <c r="W487" s="375">
        <f t="shared" ref="W487" si="1204">+V487*$X$1</f>
        <v>16627.68</v>
      </c>
      <c r="X487" s="151"/>
      <c r="Y487" s="146"/>
      <c r="Z487" s="152"/>
      <c r="AA487" s="153"/>
      <c r="AB487" s="540">
        <v>876</v>
      </c>
    </row>
    <row r="488" spans="1:28" ht="12.6" customHeight="1" x14ac:dyDescent="0.2">
      <c r="A488" s="4"/>
      <c r="B488" s="693" t="s">
        <v>859</v>
      </c>
      <c r="C488" s="694"/>
      <c r="D488" s="694"/>
      <c r="E488" s="694"/>
      <c r="F488" s="492">
        <f>15.37*X2</f>
        <v>13955.96</v>
      </c>
      <c r="G488" s="391">
        <f t="shared" ref="G488" si="1205">+F488*$X$1</f>
        <v>13955.96</v>
      </c>
      <c r="H488" s="611">
        <f>F488+3000</f>
        <v>16955.96</v>
      </c>
      <c r="I488" s="349">
        <f t="shared" ref="I488:I489" si="1206">+H488*$X$1</f>
        <v>16955.96</v>
      </c>
      <c r="J488" s="611">
        <f>F488+900</f>
        <v>14855.96</v>
      </c>
      <c r="K488" s="349">
        <f t="shared" ref="K488:K489" si="1207">+J488*$X$1</f>
        <v>14855.96</v>
      </c>
      <c r="L488" s="611">
        <f>F488+840</f>
        <v>14795.96</v>
      </c>
      <c r="M488" s="349">
        <f t="shared" ref="M488:M489" si="1208">+L488*$X$1</f>
        <v>14795.96</v>
      </c>
      <c r="N488" s="611">
        <f>F488+800</f>
        <v>14755.96</v>
      </c>
      <c r="O488" s="349">
        <f t="shared" ref="O488:O489" si="1209">+N488*$X$1</f>
        <v>14755.96</v>
      </c>
      <c r="P488" s="611">
        <f>F488+760</f>
        <v>14715.96</v>
      </c>
      <c r="Q488" s="349">
        <f t="shared" ref="Q488:Q489" si="1210">+P488*$X$1</f>
        <v>14715.96</v>
      </c>
      <c r="R488" s="611">
        <f>F488+730</f>
        <v>14685.96</v>
      </c>
      <c r="S488" s="349">
        <f t="shared" ref="S488:S489" si="1211">+R488*$X$1</f>
        <v>14685.96</v>
      </c>
      <c r="T488" s="611">
        <f>F488+690</f>
        <v>14645.96</v>
      </c>
      <c r="U488" s="349">
        <f t="shared" ref="U488:U489" si="1212">+T488*$X$1</f>
        <v>14645.96</v>
      </c>
      <c r="V488" s="611">
        <f>F488+650</f>
        <v>14605.96</v>
      </c>
      <c r="W488" s="349">
        <f t="shared" ref="W488:W489" si="1213">+V488*$X$1</f>
        <v>14605.96</v>
      </c>
      <c r="X488" s="151"/>
      <c r="Y488" s="146"/>
      <c r="Z488" s="152"/>
      <c r="AA488" s="153"/>
      <c r="AB488" s="540" t="s">
        <v>757</v>
      </c>
    </row>
    <row r="489" spans="1:28" ht="12.6" customHeight="1" x14ac:dyDescent="0.2">
      <c r="A489" s="4"/>
      <c r="B489" s="693" t="s">
        <v>860</v>
      </c>
      <c r="C489" s="694"/>
      <c r="D489" s="694"/>
      <c r="E489" s="694"/>
      <c r="F489" s="493">
        <f>15.37*X2</f>
        <v>13955.96</v>
      </c>
      <c r="G489" s="375">
        <f t="shared" ref="G489" si="1214">+F489*$X$1</f>
        <v>13955.96</v>
      </c>
      <c r="H489" s="109">
        <f>F489+2200</f>
        <v>16155.96</v>
      </c>
      <c r="I489" s="375">
        <f t="shared" si="1206"/>
        <v>16155.96</v>
      </c>
      <c r="J489" s="109">
        <f>F489+550</f>
        <v>14505.96</v>
      </c>
      <c r="K489" s="375">
        <f t="shared" si="1207"/>
        <v>14505.96</v>
      </c>
      <c r="L489" s="109">
        <f>F489+480</f>
        <v>14435.96</v>
      </c>
      <c r="M489" s="375">
        <f t="shared" si="1208"/>
        <v>14435.96</v>
      </c>
      <c r="N489" s="109">
        <f>F489+440</f>
        <v>14395.96</v>
      </c>
      <c r="O489" s="375">
        <f t="shared" si="1209"/>
        <v>14395.96</v>
      </c>
      <c r="P489" s="109">
        <f>F489+410</f>
        <v>14365.96</v>
      </c>
      <c r="Q489" s="375">
        <f t="shared" si="1210"/>
        <v>14365.96</v>
      </c>
      <c r="R489" s="109">
        <f>F489+390</f>
        <v>14345.96</v>
      </c>
      <c r="S489" s="375">
        <f t="shared" si="1211"/>
        <v>14345.96</v>
      </c>
      <c r="T489" s="109">
        <f>F489+350</f>
        <v>14305.96</v>
      </c>
      <c r="U489" s="375">
        <f t="shared" si="1212"/>
        <v>14305.96</v>
      </c>
      <c r="V489" s="109">
        <f>F489+320</f>
        <v>14275.96</v>
      </c>
      <c r="W489" s="375">
        <f t="shared" si="1213"/>
        <v>14275.96</v>
      </c>
      <c r="X489" s="151"/>
      <c r="Y489" s="146"/>
      <c r="Z489" s="152"/>
      <c r="AA489" s="153"/>
      <c r="AB489" s="540">
        <v>878</v>
      </c>
    </row>
    <row r="490" spans="1:28" ht="12.6" customHeight="1" x14ac:dyDescent="0.2">
      <c r="A490" s="4"/>
      <c r="B490" s="775" t="s">
        <v>823</v>
      </c>
      <c r="C490" s="748"/>
      <c r="D490" s="748"/>
      <c r="E490" s="748"/>
      <c r="F490" s="492">
        <f>24*X2</f>
        <v>21792</v>
      </c>
      <c r="G490" s="391">
        <f t="shared" ref="G490" si="1215">+F490*$X$1</f>
        <v>21792</v>
      </c>
      <c r="H490" s="611">
        <f>F490+3000</f>
        <v>24792</v>
      </c>
      <c r="I490" s="349">
        <f t="shared" ref="I490:I491" si="1216">+H490*$X$1</f>
        <v>24792</v>
      </c>
      <c r="J490" s="611">
        <f>F490+900</f>
        <v>22692</v>
      </c>
      <c r="K490" s="349">
        <f t="shared" ref="K490:K491" si="1217">+J490*$X$1</f>
        <v>22692</v>
      </c>
      <c r="L490" s="611">
        <f>F490+840</f>
        <v>22632</v>
      </c>
      <c r="M490" s="349">
        <f t="shared" ref="M490:M491" si="1218">+L490*$X$1</f>
        <v>22632</v>
      </c>
      <c r="N490" s="611">
        <f>F490+800</f>
        <v>22592</v>
      </c>
      <c r="O490" s="349">
        <f t="shared" ref="O490:O491" si="1219">+N490*$X$1</f>
        <v>22592</v>
      </c>
      <c r="P490" s="611">
        <f>F490+760</f>
        <v>22552</v>
      </c>
      <c r="Q490" s="349">
        <f t="shared" ref="Q490:Q491" si="1220">+P490*$X$1</f>
        <v>22552</v>
      </c>
      <c r="R490" s="611">
        <f>F490+730</f>
        <v>22522</v>
      </c>
      <c r="S490" s="349">
        <f t="shared" ref="S490:S491" si="1221">+R490*$X$1</f>
        <v>22522</v>
      </c>
      <c r="T490" s="611">
        <f>F490+690</f>
        <v>22482</v>
      </c>
      <c r="U490" s="349">
        <f t="shared" ref="U490:U491" si="1222">+T490*$X$1</f>
        <v>22482</v>
      </c>
      <c r="V490" s="611">
        <f>F490+650</f>
        <v>22442</v>
      </c>
      <c r="W490" s="349">
        <f t="shared" ref="W490:W491" si="1223">+V490*$X$1</f>
        <v>22442</v>
      </c>
      <c r="X490" s="151"/>
      <c r="Y490" s="146"/>
      <c r="Z490" s="152"/>
      <c r="AA490" s="153"/>
      <c r="AB490" s="540" t="s">
        <v>712</v>
      </c>
    </row>
    <row r="491" spans="1:28" ht="12.6" customHeight="1" x14ac:dyDescent="0.2">
      <c r="A491" s="4"/>
      <c r="B491" s="793" t="s">
        <v>824</v>
      </c>
      <c r="C491" s="729"/>
      <c r="D491" s="729"/>
      <c r="E491" s="729"/>
      <c r="F491" s="493">
        <f>24*X2</f>
        <v>21792</v>
      </c>
      <c r="G491" s="375">
        <f t="shared" ref="G491:G492" si="1224">+F491*$X$1</f>
        <v>21792</v>
      </c>
      <c r="H491" s="109">
        <f>F491+2200</f>
        <v>23992</v>
      </c>
      <c r="I491" s="375">
        <f t="shared" si="1216"/>
        <v>23992</v>
      </c>
      <c r="J491" s="109">
        <f>F491+550</f>
        <v>22342</v>
      </c>
      <c r="K491" s="375">
        <f t="shared" si="1217"/>
        <v>22342</v>
      </c>
      <c r="L491" s="109">
        <f>F491+480</f>
        <v>22272</v>
      </c>
      <c r="M491" s="375">
        <f t="shared" si="1218"/>
        <v>22272</v>
      </c>
      <c r="N491" s="109">
        <f>F491+440</f>
        <v>22232</v>
      </c>
      <c r="O491" s="375">
        <f t="shared" si="1219"/>
        <v>22232</v>
      </c>
      <c r="P491" s="109">
        <f>F491+410</f>
        <v>22202</v>
      </c>
      <c r="Q491" s="375">
        <f t="shared" si="1220"/>
        <v>22202</v>
      </c>
      <c r="R491" s="109">
        <f>F491+390</f>
        <v>22182</v>
      </c>
      <c r="S491" s="375">
        <f t="shared" si="1221"/>
        <v>22182</v>
      </c>
      <c r="T491" s="109">
        <f>F491+350</f>
        <v>22142</v>
      </c>
      <c r="U491" s="375">
        <f t="shared" si="1222"/>
        <v>22142</v>
      </c>
      <c r="V491" s="109">
        <f>F491+320</f>
        <v>22112</v>
      </c>
      <c r="W491" s="375">
        <f t="shared" si="1223"/>
        <v>22112</v>
      </c>
      <c r="X491" s="151"/>
      <c r="Y491" s="146"/>
      <c r="Z491" s="152"/>
      <c r="AA491" s="153"/>
      <c r="AB491" s="540">
        <v>880</v>
      </c>
    </row>
    <row r="492" spans="1:28" ht="12.6" customHeight="1" x14ac:dyDescent="0.2">
      <c r="A492" s="4"/>
      <c r="B492" s="775" t="s">
        <v>825</v>
      </c>
      <c r="C492" s="748"/>
      <c r="D492" s="748"/>
      <c r="E492" s="748"/>
      <c r="F492" s="492">
        <f>31.4*X2</f>
        <v>28511.199999999997</v>
      </c>
      <c r="G492" s="391">
        <f t="shared" si="1224"/>
        <v>28511.199999999997</v>
      </c>
      <c r="H492" s="611">
        <f>F492+3000</f>
        <v>31511.199999999997</v>
      </c>
      <c r="I492" s="349">
        <f t="shared" ref="I492:I493" si="1225">+H492*$X$1</f>
        <v>31511.199999999997</v>
      </c>
      <c r="J492" s="611">
        <f>F492+900</f>
        <v>29411.199999999997</v>
      </c>
      <c r="K492" s="349">
        <f t="shared" ref="K492:K493" si="1226">+J492*$X$1</f>
        <v>29411.199999999997</v>
      </c>
      <c r="L492" s="611">
        <f>F492+840</f>
        <v>29351.199999999997</v>
      </c>
      <c r="M492" s="349">
        <f t="shared" ref="M492:M493" si="1227">+L492*$X$1</f>
        <v>29351.199999999997</v>
      </c>
      <c r="N492" s="611">
        <f>F492+800</f>
        <v>29311.199999999997</v>
      </c>
      <c r="O492" s="349">
        <f t="shared" ref="O492:O493" si="1228">+N492*$X$1</f>
        <v>29311.199999999997</v>
      </c>
      <c r="P492" s="611">
        <f>F492+760</f>
        <v>29271.199999999997</v>
      </c>
      <c r="Q492" s="349">
        <f t="shared" ref="Q492:Q493" si="1229">+P492*$X$1</f>
        <v>29271.199999999997</v>
      </c>
      <c r="R492" s="611">
        <f>F492+730</f>
        <v>29241.199999999997</v>
      </c>
      <c r="S492" s="349">
        <f t="shared" ref="S492:S493" si="1230">+R492*$X$1</f>
        <v>29241.199999999997</v>
      </c>
      <c r="T492" s="611">
        <f>F492+690</f>
        <v>29201.199999999997</v>
      </c>
      <c r="U492" s="349">
        <f t="shared" ref="U492:U493" si="1231">+T492*$X$1</f>
        <v>29201.199999999997</v>
      </c>
      <c r="V492" s="611">
        <f>F492+650</f>
        <v>29161.199999999997</v>
      </c>
      <c r="W492" s="349">
        <f t="shared" ref="W492:W493" si="1232">+V492*$X$1</f>
        <v>29161.199999999997</v>
      </c>
      <c r="X492" s="151"/>
      <c r="Y492" s="146"/>
      <c r="Z492" s="152"/>
      <c r="AA492" s="153"/>
      <c r="AB492" s="540" t="s">
        <v>713</v>
      </c>
    </row>
    <row r="493" spans="1:28" ht="12.6" customHeight="1" x14ac:dyDescent="0.2">
      <c r="A493" s="4"/>
      <c r="B493" s="793" t="s">
        <v>826</v>
      </c>
      <c r="C493" s="729"/>
      <c r="D493" s="729"/>
      <c r="E493" s="729"/>
      <c r="F493" s="493">
        <f>31.4*X2</f>
        <v>28511.199999999997</v>
      </c>
      <c r="G493" s="375">
        <f t="shared" ref="G493:G494" si="1233">+F493*$X$1</f>
        <v>28511.199999999997</v>
      </c>
      <c r="H493" s="109">
        <f>F493+2200</f>
        <v>30711.199999999997</v>
      </c>
      <c r="I493" s="375">
        <f t="shared" si="1225"/>
        <v>30711.199999999997</v>
      </c>
      <c r="J493" s="109">
        <f>F493+550</f>
        <v>29061.199999999997</v>
      </c>
      <c r="K493" s="375">
        <f t="shared" si="1226"/>
        <v>29061.199999999997</v>
      </c>
      <c r="L493" s="109">
        <f>F493+480</f>
        <v>28991.199999999997</v>
      </c>
      <c r="M493" s="375">
        <f t="shared" si="1227"/>
        <v>28991.199999999997</v>
      </c>
      <c r="N493" s="109">
        <f>F493+440</f>
        <v>28951.199999999997</v>
      </c>
      <c r="O493" s="375">
        <f t="shared" si="1228"/>
        <v>28951.199999999997</v>
      </c>
      <c r="P493" s="109">
        <f>F493+410</f>
        <v>28921.199999999997</v>
      </c>
      <c r="Q493" s="375">
        <f t="shared" si="1229"/>
        <v>28921.199999999997</v>
      </c>
      <c r="R493" s="109">
        <f>F493+390</f>
        <v>28901.199999999997</v>
      </c>
      <c r="S493" s="375">
        <f t="shared" si="1230"/>
        <v>28901.199999999997</v>
      </c>
      <c r="T493" s="109">
        <f>F493+350</f>
        <v>28861.199999999997</v>
      </c>
      <c r="U493" s="375">
        <f t="shared" si="1231"/>
        <v>28861.199999999997</v>
      </c>
      <c r="V493" s="109">
        <f>F493+320</f>
        <v>28831.199999999997</v>
      </c>
      <c r="W493" s="375">
        <f t="shared" si="1232"/>
        <v>28831.199999999997</v>
      </c>
      <c r="X493" s="151"/>
      <c r="Y493" s="146"/>
      <c r="Z493" s="152"/>
      <c r="AA493" s="153"/>
      <c r="AB493" s="540">
        <v>881</v>
      </c>
    </row>
    <row r="494" spans="1:28" ht="12.6" customHeight="1" x14ac:dyDescent="0.2">
      <c r="A494" s="4"/>
      <c r="B494" s="775" t="s">
        <v>827</v>
      </c>
      <c r="C494" s="748"/>
      <c r="D494" s="748"/>
      <c r="E494" s="748"/>
      <c r="F494" s="492">
        <f>20.241*X2</f>
        <v>18378.828000000001</v>
      </c>
      <c r="G494" s="391">
        <f t="shared" si="1233"/>
        <v>18378.828000000001</v>
      </c>
      <c r="H494" s="108">
        <f>F494+2000</f>
        <v>20378.828000000001</v>
      </c>
      <c r="I494" s="391">
        <f t="shared" ref="I494:I495" si="1234">+H494*$X$1</f>
        <v>20378.828000000001</v>
      </c>
      <c r="J494" s="108">
        <f>F494+500</f>
        <v>18878.828000000001</v>
      </c>
      <c r="K494" s="391">
        <f t="shared" ref="K494:K495" si="1235">+J494*$X$1</f>
        <v>18878.828000000001</v>
      </c>
      <c r="L494" s="108">
        <f>F494+460</f>
        <v>18838.828000000001</v>
      </c>
      <c r="M494" s="391">
        <f t="shared" ref="M494:M495" si="1236">+L494*$X$1</f>
        <v>18838.828000000001</v>
      </c>
      <c r="N494" s="108">
        <f>F494+430</f>
        <v>18808.828000000001</v>
      </c>
      <c r="O494" s="391">
        <f t="shared" ref="O494:O495" si="1237">+N494*$X$1</f>
        <v>18808.828000000001</v>
      </c>
      <c r="P494" s="108">
        <f>F494+400</f>
        <v>18778.828000000001</v>
      </c>
      <c r="Q494" s="391">
        <f t="shared" ref="Q494:Q495" si="1238">+P494*$X$1</f>
        <v>18778.828000000001</v>
      </c>
      <c r="R494" s="108">
        <f>F494+380</f>
        <v>18758.828000000001</v>
      </c>
      <c r="S494" s="391">
        <f t="shared" ref="S494:S495" si="1239">+R494*$X$1</f>
        <v>18758.828000000001</v>
      </c>
      <c r="T494" s="108">
        <f>F494+350</f>
        <v>18728.828000000001</v>
      </c>
      <c r="U494" s="391">
        <f t="shared" ref="U494:U495" si="1240">+T494*$X$1</f>
        <v>18728.828000000001</v>
      </c>
      <c r="V494" s="108">
        <f>F494+320</f>
        <v>18698.828000000001</v>
      </c>
      <c r="W494" s="391">
        <f t="shared" ref="W494:W495" si="1241">+V494*$X$1</f>
        <v>18698.828000000001</v>
      </c>
      <c r="X494" s="151"/>
      <c r="Y494" s="146"/>
      <c r="Z494" s="152"/>
      <c r="AA494" s="153"/>
      <c r="AB494" s="540">
        <v>882</v>
      </c>
    </row>
    <row r="495" spans="1:28" ht="12.6" customHeight="1" x14ac:dyDescent="0.2">
      <c r="A495" s="4"/>
      <c r="B495" s="791" t="s">
        <v>556</v>
      </c>
      <c r="C495" s="792"/>
      <c r="D495" s="792"/>
      <c r="E495" s="792"/>
      <c r="F495" s="493">
        <f>24*X2</f>
        <v>21792</v>
      </c>
      <c r="G495" s="375">
        <f t="shared" ref="G495" si="1242">+F495*$X$1</f>
        <v>21792</v>
      </c>
      <c r="H495" s="109">
        <f>F495+2200</f>
        <v>23992</v>
      </c>
      <c r="I495" s="375">
        <f t="shared" si="1234"/>
        <v>23992</v>
      </c>
      <c r="J495" s="109">
        <f>F495+550</f>
        <v>22342</v>
      </c>
      <c r="K495" s="375">
        <f t="shared" si="1235"/>
        <v>22342</v>
      </c>
      <c r="L495" s="109">
        <f>F495+480</f>
        <v>22272</v>
      </c>
      <c r="M495" s="375">
        <f t="shared" si="1236"/>
        <v>22272</v>
      </c>
      <c r="N495" s="109">
        <f>F495+440</f>
        <v>22232</v>
      </c>
      <c r="O495" s="375">
        <f t="shared" si="1237"/>
        <v>22232</v>
      </c>
      <c r="P495" s="109">
        <f>F495+410</f>
        <v>22202</v>
      </c>
      <c r="Q495" s="375">
        <f t="shared" si="1238"/>
        <v>22202</v>
      </c>
      <c r="R495" s="109">
        <f>F495+390</f>
        <v>22182</v>
      </c>
      <c r="S495" s="375">
        <f t="shared" si="1239"/>
        <v>22182</v>
      </c>
      <c r="T495" s="109">
        <f>F495+350</f>
        <v>22142</v>
      </c>
      <c r="U495" s="375">
        <f t="shared" si="1240"/>
        <v>22142</v>
      </c>
      <c r="V495" s="109">
        <f>F495+320</f>
        <v>22112</v>
      </c>
      <c r="W495" s="375">
        <f t="shared" si="1241"/>
        <v>22112</v>
      </c>
      <c r="X495" s="151"/>
      <c r="Y495" s="146"/>
      <c r="Z495" s="152"/>
      <c r="AA495" s="153"/>
      <c r="AB495" s="540">
        <v>883</v>
      </c>
    </row>
    <row r="496" spans="1:28" ht="12.6" customHeight="1" x14ac:dyDescent="0.2">
      <c r="A496" s="4"/>
      <c r="B496" s="833" t="s">
        <v>509</v>
      </c>
      <c r="C496" s="701"/>
      <c r="D496" s="701"/>
      <c r="E496" s="702"/>
      <c r="F496" s="489"/>
      <c r="G496" s="349"/>
      <c r="H496" s="611"/>
      <c r="I496" s="349"/>
      <c r="J496" s="611"/>
      <c r="K496" s="349"/>
      <c r="L496" s="611"/>
      <c r="M496" s="349"/>
      <c r="N496" s="611"/>
      <c r="O496" s="349"/>
      <c r="P496" s="611"/>
      <c r="Q496" s="349"/>
      <c r="R496" s="611"/>
      <c r="S496" s="349"/>
      <c r="T496" s="611"/>
      <c r="U496" s="349"/>
      <c r="V496" s="611"/>
      <c r="W496" s="349"/>
      <c r="X496" s="151"/>
      <c r="Y496" s="146"/>
      <c r="Z496" s="152"/>
      <c r="AA496" s="153"/>
      <c r="AB496" s="540">
        <v>886</v>
      </c>
    </row>
    <row r="497" spans="1:28" ht="12.6" customHeight="1" x14ac:dyDescent="0.2">
      <c r="A497" s="4"/>
      <c r="B497" s="1089" t="s">
        <v>508</v>
      </c>
      <c r="C497" s="977"/>
      <c r="D497" s="977"/>
      <c r="E497" s="978"/>
      <c r="F497" s="490"/>
      <c r="G497" s="348"/>
      <c r="H497" s="109"/>
      <c r="I497" s="375"/>
      <c r="J497" s="109"/>
      <c r="K497" s="375"/>
      <c r="L497" s="109"/>
      <c r="M497" s="375"/>
      <c r="N497" s="109"/>
      <c r="O497" s="375"/>
      <c r="P497" s="109"/>
      <c r="Q497" s="375"/>
      <c r="R497" s="109"/>
      <c r="S497" s="375"/>
      <c r="T497" s="109"/>
      <c r="U497" s="375"/>
      <c r="V497" s="109"/>
      <c r="W497" s="375"/>
      <c r="X497" s="151"/>
      <c r="Y497" s="146"/>
      <c r="Z497" s="152"/>
      <c r="AA497" s="153"/>
      <c r="AB497" s="540">
        <v>886</v>
      </c>
    </row>
    <row r="498" spans="1:28" ht="12.6" customHeight="1" x14ac:dyDescent="0.2">
      <c r="A498" s="4"/>
      <c r="B498" s="775" t="s">
        <v>862</v>
      </c>
      <c r="C498" s="748"/>
      <c r="D498" s="748"/>
      <c r="E498" s="748"/>
      <c r="F498" s="488">
        <f>23.5*X2</f>
        <v>21338</v>
      </c>
      <c r="G498" s="349">
        <f t="shared" ref="G498" si="1243">+F498*$X$1</f>
        <v>21338</v>
      </c>
      <c r="H498" s="611">
        <f>F498+3000</f>
        <v>24338</v>
      </c>
      <c r="I498" s="349">
        <f t="shared" ref="I498:I501" si="1244">+H498*$X$1</f>
        <v>24338</v>
      </c>
      <c r="J498" s="611">
        <f>F498+900</f>
        <v>22238</v>
      </c>
      <c r="K498" s="349">
        <f t="shared" ref="K498:K503" si="1245">+J498*$X$1</f>
        <v>22238</v>
      </c>
      <c r="L498" s="611">
        <f>F498+840</f>
        <v>22178</v>
      </c>
      <c r="M498" s="349">
        <f t="shared" ref="M498:M503" si="1246">+L498*$X$1</f>
        <v>22178</v>
      </c>
      <c r="N498" s="611">
        <f>F498+800</f>
        <v>22138</v>
      </c>
      <c r="O498" s="349">
        <f t="shared" ref="O498:O503" si="1247">+N498*$X$1</f>
        <v>22138</v>
      </c>
      <c r="P498" s="611">
        <f>F498+760</f>
        <v>22098</v>
      </c>
      <c r="Q498" s="349">
        <f t="shared" ref="Q498:Q503" si="1248">+P498*$X$1</f>
        <v>22098</v>
      </c>
      <c r="R498" s="611">
        <f>F498+730</f>
        <v>22068</v>
      </c>
      <c r="S498" s="349">
        <f t="shared" ref="S498:S503" si="1249">+R498*$X$1</f>
        <v>22068</v>
      </c>
      <c r="T498" s="611">
        <f>F498+690</f>
        <v>22028</v>
      </c>
      <c r="U498" s="349">
        <f t="shared" ref="U498:U503" si="1250">+T498*$X$1</f>
        <v>22028</v>
      </c>
      <c r="V498" s="611">
        <f>F498+650</f>
        <v>21988</v>
      </c>
      <c r="W498" s="349">
        <f t="shared" ref="W498:W503" si="1251">+V498*$X$1</f>
        <v>21988</v>
      </c>
      <c r="X498" s="151"/>
      <c r="Y498" s="146"/>
      <c r="Z498" s="152"/>
      <c r="AA498" s="153"/>
      <c r="AB498" s="540" t="s">
        <v>842</v>
      </c>
    </row>
    <row r="499" spans="1:28" ht="12.6" customHeight="1" x14ac:dyDescent="0.2">
      <c r="A499" s="4"/>
      <c r="B499" s="791" t="s">
        <v>861</v>
      </c>
      <c r="C499" s="792"/>
      <c r="D499" s="792"/>
      <c r="E499" s="792"/>
      <c r="F499" s="487">
        <f>23.45*X2</f>
        <v>21292.6</v>
      </c>
      <c r="G499" s="348">
        <f t="shared" ref="G499" si="1252">+F499*$X$1</f>
        <v>21292.6</v>
      </c>
      <c r="H499" s="109">
        <f>F499+2200</f>
        <v>23492.6</v>
      </c>
      <c r="I499" s="375">
        <f t="shared" si="1244"/>
        <v>23492.6</v>
      </c>
      <c r="J499" s="109">
        <f>F499+550</f>
        <v>21842.6</v>
      </c>
      <c r="K499" s="375">
        <f t="shared" si="1245"/>
        <v>21842.6</v>
      </c>
      <c r="L499" s="109">
        <f>F499+480</f>
        <v>21772.6</v>
      </c>
      <c r="M499" s="375">
        <f t="shared" si="1246"/>
        <v>21772.6</v>
      </c>
      <c r="N499" s="109">
        <f>F499+440</f>
        <v>21732.6</v>
      </c>
      <c r="O499" s="375">
        <f t="shared" si="1247"/>
        <v>21732.6</v>
      </c>
      <c r="P499" s="109">
        <f>F499+410</f>
        <v>21702.6</v>
      </c>
      <c r="Q499" s="375">
        <f t="shared" si="1248"/>
        <v>21702.6</v>
      </c>
      <c r="R499" s="109">
        <f>F499+390</f>
        <v>21682.6</v>
      </c>
      <c r="S499" s="375">
        <f t="shared" si="1249"/>
        <v>21682.6</v>
      </c>
      <c r="T499" s="109">
        <f>F499+350</f>
        <v>21642.6</v>
      </c>
      <c r="U499" s="375">
        <f t="shared" si="1250"/>
        <v>21642.6</v>
      </c>
      <c r="V499" s="109">
        <f>F499+320</f>
        <v>21612.6</v>
      </c>
      <c r="W499" s="375">
        <f t="shared" si="1251"/>
        <v>21612.6</v>
      </c>
      <c r="X499" s="151"/>
      <c r="Y499" s="146"/>
      <c r="Z499" s="152"/>
      <c r="AA499" s="153"/>
      <c r="AB499" s="540">
        <v>887</v>
      </c>
    </row>
    <row r="500" spans="1:28" ht="12.6" customHeight="1" x14ac:dyDescent="0.2">
      <c r="A500" s="4"/>
      <c r="B500" s="774" t="s">
        <v>756</v>
      </c>
      <c r="C500" s="721"/>
      <c r="D500" s="721"/>
      <c r="E500" s="721"/>
      <c r="F500" s="488">
        <f>14.7*X2</f>
        <v>13347.599999999999</v>
      </c>
      <c r="G500" s="349">
        <f t="shared" ref="G500" si="1253">+F500*$X$1</f>
        <v>13347.599999999999</v>
      </c>
      <c r="H500" s="108">
        <f>F500+2200</f>
        <v>15547.599999999999</v>
      </c>
      <c r="I500" s="391">
        <f t="shared" si="1244"/>
        <v>15547.599999999999</v>
      </c>
      <c r="J500" s="108">
        <f>F500+550</f>
        <v>13897.599999999999</v>
      </c>
      <c r="K500" s="391">
        <f t="shared" si="1245"/>
        <v>13897.599999999999</v>
      </c>
      <c r="L500" s="108">
        <f>F500+480</f>
        <v>13827.599999999999</v>
      </c>
      <c r="M500" s="391">
        <f t="shared" si="1246"/>
        <v>13827.599999999999</v>
      </c>
      <c r="N500" s="108">
        <f>F500+440</f>
        <v>13787.599999999999</v>
      </c>
      <c r="O500" s="391">
        <f t="shared" si="1247"/>
        <v>13787.599999999999</v>
      </c>
      <c r="P500" s="108">
        <f>F500+410</f>
        <v>13757.599999999999</v>
      </c>
      <c r="Q500" s="391">
        <f t="shared" si="1248"/>
        <v>13757.599999999999</v>
      </c>
      <c r="R500" s="108">
        <f>F500+390</f>
        <v>13737.599999999999</v>
      </c>
      <c r="S500" s="391">
        <f t="shared" si="1249"/>
        <v>13737.599999999999</v>
      </c>
      <c r="T500" s="108">
        <f>F500+350</f>
        <v>13697.599999999999</v>
      </c>
      <c r="U500" s="391">
        <f t="shared" si="1250"/>
        <v>13697.599999999999</v>
      </c>
      <c r="V500" s="108">
        <f>F500+320</f>
        <v>13667.599999999999</v>
      </c>
      <c r="W500" s="391">
        <f t="shared" si="1251"/>
        <v>13667.599999999999</v>
      </c>
      <c r="X500" s="151"/>
      <c r="Y500" s="146"/>
      <c r="Z500" s="152"/>
      <c r="AA500" s="153"/>
      <c r="AB500" s="540">
        <v>888</v>
      </c>
    </row>
    <row r="501" spans="1:28" ht="12.6" customHeight="1" x14ac:dyDescent="0.2">
      <c r="A501" s="4"/>
      <c r="B501" s="793" t="s">
        <v>512</v>
      </c>
      <c r="C501" s="707"/>
      <c r="D501" s="707"/>
      <c r="E501" s="707"/>
      <c r="F501" s="487">
        <f>16.8*X2</f>
        <v>15254.400000000001</v>
      </c>
      <c r="G501" s="348">
        <f t="shared" ref="G501" si="1254">+F501*$X$1</f>
        <v>15254.400000000001</v>
      </c>
      <c r="H501" s="109">
        <f>F501+2200</f>
        <v>17454.400000000001</v>
      </c>
      <c r="I501" s="375">
        <f t="shared" si="1244"/>
        <v>17454.400000000001</v>
      </c>
      <c r="J501" s="109">
        <f>F501+550</f>
        <v>15804.400000000001</v>
      </c>
      <c r="K501" s="375">
        <f t="shared" si="1245"/>
        <v>15804.400000000001</v>
      </c>
      <c r="L501" s="109">
        <f>F501+480</f>
        <v>15734.400000000001</v>
      </c>
      <c r="M501" s="375">
        <f t="shared" si="1246"/>
        <v>15734.400000000001</v>
      </c>
      <c r="N501" s="109">
        <f>F501+440</f>
        <v>15694.400000000001</v>
      </c>
      <c r="O501" s="375">
        <f t="shared" si="1247"/>
        <v>15694.400000000001</v>
      </c>
      <c r="P501" s="109">
        <f>F501+410</f>
        <v>15664.400000000001</v>
      </c>
      <c r="Q501" s="375">
        <f t="shared" si="1248"/>
        <v>15664.400000000001</v>
      </c>
      <c r="R501" s="109">
        <f>F501+390</f>
        <v>15644.400000000001</v>
      </c>
      <c r="S501" s="375">
        <f t="shared" si="1249"/>
        <v>15644.400000000001</v>
      </c>
      <c r="T501" s="109">
        <f>F501+350</f>
        <v>15604.400000000001</v>
      </c>
      <c r="U501" s="375">
        <f t="shared" si="1250"/>
        <v>15604.400000000001</v>
      </c>
      <c r="V501" s="109">
        <f>F501+320</f>
        <v>15574.400000000001</v>
      </c>
      <c r="W501" s="375">
        <f t="shared" si="1251"/>
        <v>15574.400000000001</v>
      </c>
      <c r="X501" s="151"/>
      <c r="Y501" s="146"/>
      <c r="Z501" s="152"/>
      <c r="AA501" s="153"/>
      <c r="AB501" s="540">
        <v>894</v>
      </c>
    </row>
    <row r="502" spans="1:28" ht="12.6" customHeight="1" x14ac:dyDescent="0.2">
      <c r="A502" s="4"/>
      <c r="B502" s="774" t="s">
        <v>817</v>
      </c>
      <c r="C502" s="721"/>
      <c r="D502" s="721"/>
      <c r="E502" s="721"/>
      <c r="F502" s="488">
        <f>16*X2</f>
        <v>14528</v>
      </c>
      <c r="G502" s="349">
        <f t="shared" ref="G502:G505" si="1255">+F502*$X$1</f>
        <v>14528</v>
      </c>
      <c r="H502" s="686">
        <f>F502+3000</f>
        <v>17528</v>
      </c>
      <c r="I502" s="349">
        <f t="shared" ref="I502:I503" si="1256">+H502*$X$1</f>
        <v>17528</v>
      </c>
      <c r="J502" s="686">
        <f>F502+900</f>
        <v>15428</v>
      </c>
      <c r="K502" s="349">
        <f t="shared" si="1245"/>
        <v>15428</v>
      </c>
      <c r="L502" s="686">
        <f>F502+840</f>
        <v>15368</v>
      </c>
      <c r="M502" s="349">
        <f t="shared" si="1246"/>
        <v>15368</v>
      </c>
      <c r="N502" s="686">
        <f>F502+800</f>
        <v>15328</v>
      </c>
      <c r="O502" s="349">
        <f t="shared" si="1247"/>
        <v>15328</v>
      </c>
      <c r="P502" s="686">
        <f>F502+760</f>
        <v>15288</v>
      </c>
      <c r="Q502" s="349">
        <f t="shared" si="1248"/>
        <v>15288</v>
      </c>
      <c r="R502" s="686">
        <f>F502+730</f>
        <v>15258</v>
      </c>
      <c r="S502" s="349">
        <f t="shared" si="1249"/>
        <v>15258</v>
      </c>
      <c r="T502" s="686">
        <f>F502+690</f>
        <v>15218</v>
      </c>
      <c r="U502" s="349">
        <f t="shared" si="1250"/>
        <v>15218</v>
      </c>
      <c r="V502" s="686">
        <f>F502+650</f>
        <v>15178</v>
      </c>
      <c r="W502" s="349">
        <f t="shared" si="1251"/>
        <v>15178</v>
      </c>
      <c r="X502" s="151"/>
      <c r="Y502" s="146"/>
      <c r="Z502" s="152"/>
      <c r="AA502" s="153"/>
      <c r="AB502" s="540">
        <v>896</v>
      </c>
    </row>
    <row r="503" spans="1:28" ht="12.6" customHeight="1" x14ac:dyDescent="0.2">
      <c r="A503" s="4"/>
      <c r="B503" s="793" t="s">
        <v>755</v>
      </c>
      <c r="C503" s="729"/>
      <c r="D503" s="729"/>
      <c r="E503" s="729"/>
      <c r="F503" s="487">
        <f>16*X2</f>
        <v>14528</v>
      </c>
      <c r="G503" s="348">
        <f t="shared" si="1255"/>
        <v>14528</v>
      </c>
      <c r="H503" s="109">
        <f>F503+2200</f>
        <v>16728</v>
      </c>
      <c r="I503" s="375">
        <f t="shared" si="1256"/>
        <v>16728</v>
      </c>
      <c r="J503" s="109">
        <f>F503+550</f>
        <v>15078</v>
      </c>
      <c r="K503" s="375">
        <f t="shared" si="1245"/>
        <v>15078</v>
      </c>
      <c r="L503" s="109">
        <f>F503+480</f>
        <v>15008</v>
      </c>
      <c r="M503" s="375">
        <f t="shared" si="1246"/>
        <v>15008</v>
      </c>
      <c r="N503" s="109">
        <f>F503+440</f>
        <v>14968</v>
      </c>
      <c r="O503" s="375">
        <f t="shared" si="1247"/>
        <v>14968</v>
      </c>
      <c r="P503" s="109">
        <f>F503+410</f>
        <v>14938</v>
      </c>
      <c r="Q503" s="375">
        <f t="shared" si="1248"/>
        <v>14938</v>
      </c>
      <c r="R503" s="109">
        <f>F503+390</f>
        <v>14918</v>
      </c>
      <c r="S503" s="375">
        <f t="shared" si="1249"/>
        <v>14918</v>
      </c>
      <c r="T503" s="109">
        <f>F503+350</f>
        <v>14878</v>
      </c>
      <c r="U503" s="375">
        <f t="shared" si="1250"/>
        <v>14878</v>
      </c>
      <c r="V503" s="109">
        <f>F503+320</f>
        <v>14848</v>
      </c>
      <c r="W503" s="375">
        <f t="shared" si="1251"/>
        <v>14848</v>
      </c>
      <c r="X503" s="151"/>
      <c r="Y503" s="146"/>
      <c r="Z503" s="152"/>
      <c r="AA503" s="153"/>
      <c r="AB503" s="540">
        <v>896</v>
      </c>
    </row>
    <row r="504" spans="1:28" ht="12.6" customHeight="1" x14ac:dyDescent="0.2">
      <c r="A504" s="4"/>
      <c r="B504" s="774" t="s">
        <v>758</v>
      </c>
      <c r="C504" s="788"/>
      <c r="D504" s="788"/>
      <c r="E504" s="788"/>
      <c r="F504" s="488">
        <f>21*X2</f>
        <v>19068</v>
      </c>
      <c r="G504" s="349">
        <f t="shared" si="1255"/>
        <v>19068</v>
      </c>
      <c r="H504" s="686">
        <f>F504+3000</f>
        <v>22068</v>
      </c>
      <c r="I504" s="349">
        <f t="shared" ref="I504:I508" si="1257">+H504*$X$1</f>
        <v>22068</v>
      </c>
      <c r="J504" s="686">
        <f>F504+900</f>
        <v>19968</v>
      </c>
      <c r="K504" s="349">
        <f t="shared" ref="K504:K505" si="1258">+J504*$X$1</f>
        <v>19968</v>
      </c>
      <c r="L504" s="686">
        <f>F504+840</f>
        <v>19908</v>
      </c>
      <c r="M504" s="349">
        <f t="shared" ref="M504:M505" si="1259">+L504*$X$1</f>
        <v>19908</v>
      </c>
      <c r="N504" s="686">
        <f>F504+800</f>
        <v>19868</v>
      </c>
      <c r="O504" s="349">
        <f t="shared" ref="O504:O505" si="1260">+N504*$X$1</f>
        <v>19868</v>
      </c>
      <c r="P504" s="686">
        <f>F504+760</f>
        <v>19828</v>
      </c>
      <c r="Q504" s="349">
        <f t="shared" ref="Q504:Q505" si="1261">+P504*$X$1</f>
        <v>19828</v>
      </c>
      <c r="R504" s="686">
        <f>F504+730</f>
        <v>19798</v>
      </c>
      <c r="S504" s="349">
        <f t="shared" ref="S504:S505" si="1262">+R504*$X$1</f>
        <v>19798</v>
      </c>
      <c r="T504" s="686">
        <f>F504+690</f>
        <v>19758</v>
      </c>
      <c r="U504" s="349">
        <f t="shared" ref="U504:U505" si="1263">+T504*$X$1</f>
        <v>19758</v>
      </c>
      <c r="V504" s="686">
        <f>F504+650</f>
        <v>19718</v>
      </c>
      <c r="W504" s="349">
        <f t="shared" ref="W504:W505" si="1264">+V504*$X$1</f>
        <v>19718</v>
      </c>
      <c r="X504" s="151"/>
      <c r="Y504" s="146"/>
      <c r="Z504" s="152"/>
      <c r="AA504" s="153"/>
      <c r="AB504" s="540">
        <v>899</v>
      </c>
    </row>
    <row r="505" spans="1:28" ht="12.6" customHeight="1" x14ac:dyDescent="0.2">
      <c r="A505" s="4"/>
      <c r="B505" s="793" t="s">
        <v>769</v>
      </c>
      <c r="C505" s="830"/>
      <c r="D505" s="830"/>
      <c r="E505" s="830"/>
      <c r="F505" s="487">
        <f>20.9*X2</f>
        <v>18977.199999999997</v>
      </c>
      <c r="G505" s="348">
        <f t="shared" si="1255"/>
        <v>18977.199999999997</v>
      </c>
      <c r="H505" s="109">
        <f>F505+2200</f>
        <v>21177.199999999997</v>
      </c>
      <c r="I505" s="375">
        <f t="shared" si="1257"/>
        <v>21177.199999999997</v>
      </c>
      <c r="J505" s="109">
        <f>F505+550</f>
        <v>19527.199999999997</v>
      </c>
      <c r="K505" s="375">
        <f t="shared" si="1258"/>
        <v>19527.199999999997</v>
      </c>
      <c r="L505" s="109">
        <f>F505+480</f>
        <v>19457.199999999997</v>
      </c>
      <c r="M505" s="375">
        <f t="shared" si="1259"/>
        <v>19457.199999999997</v>
      </c>
      <c r="N505" s="109">
        <f>F505+440</f>
        <v>19417.199999999997</v>
      </c>
      <c r="O505" s="375">
        <f t="shared" si="1260"/>
        <v>19417.199999999997</v>
      </c>
      <c r="P505" s="109">
        <f>F505+410</f>
        <v>19387.199999999997</v>
      </c>
      <c r="Q505" s="375">
        <f t="shared" si="1261"/>
        <v>19387.199999999997</v>
      </c>
      <c r="R505" s="109">
        <f>F505+390</f>
        <v>19367.199999999997</v>
      </c>
      <c r="S505" s="375">
        <f t="shared" si="1262"/>
        <v>19367.199999999997</v>
      </c>
      <c r="T505" s="109">
        <f>F505+350</f>
        <v>19327.199999999997</v>
      </c>
      <c r="U505" s="375">
        <f t="shared" si="1263"/>
        <v>19327.199999999997</v>
      </c>
      <c r="V505" s="109">
        <f>F505+320</f>
        <v>19297.199999999997</v>
      </c>
      <c r="W505" s="375">
        <f t="shared" si="1264"/>
        <v>19297.199999999997</v>
      </c>
      <c r="X505" s="151"/>
      <c r="Y505" s="146"/>
      <c r="Z505" s="152"/>
      <c r="AA505" s="153"/>
      <c r="AB505" s="540" t="s">
        <v>770</v>
      </c>
    </row>
    <row r="506" spans="1:28" ht="12.6" customHeight="1" x14ac:dyDescent="0.2">
      <c r="A506" s="4"/>
      <c r="B506" s="774" t="s">
        <v>595</v>
      </c>
      <c r="C506" s="740"/>
      <c r="D506" s="740"/>
      <c r="E506" s="740"/>
      <c r="F506" s="488">
        <f>22.9*X2</f>
        <v>20793.199999999997</v>
      </c>
      <c r="G506" s="349">
        <f t="shared" ref="G506" si="1265">+F506*$X$1</f>
        <v>20793.199999999997</v>
      </c>
      <c r="H506" s="686">
        <f>F506+3000</f>
        <v>23793.199999999997</v>
      </c>
      <c r="I506" s="349">
        <f t="shared" si="1257"/>
        <v>23793.199999999997</v>
      </c>
      <c r="J506" s="686">
        <f>F506+900</f>
        <v>21693.199999999997</v>
      </c>
      <c r="K506" s="349">
        <f t="shared" ref="K506:K510" si="1266">+J506*$X$1</f>
        <v>21693.199999999997</v>
      </c>
      <c r="L506" s="686">
        <f>F506+840</f>
        <v>21633.199999999997</v>
      </c>
      <c r="M506" s="349">
        <f t="shared" ref="M506:M510" si="1267">+L506*$X$1</f>
        <v>21633.199999999997</v>
      </c>
      <c r="N506" s="686">
        <f>F506+800</f>
        <v>21593.199999999997</v>
      </c>
      <c r="O506" s="349">
        <f t="shared" ref="O506:O510" si="1268">+N506*$X$1</f>
        <v>21593.199999999997</v>
      </c>
      <c r="P506" s="686">
        <f>F506+760</f>
        <v>21553.199999999997</v>
      </c>
      <c r="Q506" s="349">
        <f t="shared" ref="Q506:Q510" si="1269">+P506*$X$1</f>
        <v>21553.199999999997</v>
      </c>
      <c r="R506" s="686">
        <f>F506+730</f>
        <v>21523.199999999997</v>
      </c>
      <c r="S506" s="349">
        <f t="shared" ref="S506:S510" si="1270">+R506*$X$1</f>
        <v>21523.199999999997</v>
      </c>
      <c r="T506" s="686">
        <f>F506+690</f>
        <v>21483.199999999997</v>
      </c>
      <c r="U506" s="349">
        <f t="shared" ref="U506:U510" si="1271">+T506*$X$1</f>
        <v>21483.199999999997</v>
      </c>
      <c r="V506" s="686">
        <f>F506+650</f>
        <v>21443.199999999997</v>
      </c>
      <c r="W506" s="349">
        <f t="shared" ref="W506:W510" si="1272">+V506*$X$1</f>
        <v>21443.199999999997</v>
      </c>
      <c r="X506" s="151"/>
      <c r="Y506" s="146"/>
      <c r="Z506" s="152"/>
      <c r="AA506" s="153"/>
      <c r="AB506" s="540">
        <v>900</v>
      </c>
    </row>
    <row r="507" spans="1:28" ht="12.6" customHeight="1" x14ac:dyDescent="0.2">
      <c r="A507" s="4"/>
      <c r="B507" s="687" t="s">
        <v>511</v>
      </c>
      <c r="C507" s="766"/>
      <c r="D507" s="766"/>
      <c r="E507" s="767"/>
      <c r="F507" s="685">
        <v>17700</v>
      </c>
      <c r="G507" s="348">
        <f>+F507*$X$1</f>
        <v>17700</v>
      </c>
      <c r="H507" s="386">
        <f>F507+3000</f>
        <v>20700</v>
      </c>
      <c r="I507" s="348">
        <f t="shared" si="1257"/>
        <v>20700</v>
      </c>
      <c r="J507" s="386">
        <f>F507+900</f>
        <v>18600</v>
      </c>
      <c r="K507" s="348">
        <f t="shared" si="1266"/>
        <v>18600</v>
      </c>
      <c r="L507" s="386">
        <f>F507+840</f>
        <v>18540</v>
      </c>
      <c r="M507" s="348">
        <f t="shared" si="1267"/>
        <v>18540</v>
      </c>
      <c r="N507" s="386">
        <f>F507+800</f>
        <v>18500</v>
      </c>
      <c r="O507" s="348">
        <f t="shared" si="1268"/>
        <v>18500</v>
      </c>
      <c r="P507" s="386">
        <f>F507+760</f>
        <v>18460</v>
      </c>
      <c r="Q507" s="348">
        <f t="shared" si="1269"/>
        <v>18460</v>
      </c>
      <c r="R507" s="386">
        <f>F507+730</f>
        <v>18430</v>
      </c>
      <c r="S507" s="348">
        <f t="shared" si="1270"/>
        <v>18430</v>
      </c>
      <c r="T507" s="386">
        <f>F507+690</f>
        <v>18390</v>
      </c>
      <c r="U507" s="348">
        <f t="shared" si="1271"/>
        <v>18390</v>
      </c>
      <c r="V507" s="386"/>
      <c r="W507" s="348"/>
      <c r="X507" s="151"/>
      <c r="Y507" s="146"/>
      <c r="Z507" s="152"/>
      <c r="AA507" s="153"/>
      <c r="AB507" s="540">
        <v>902</v>
      </c>
    </row>
    <row r="508" spans="1:28" ht="12.6" customHeight="1" x14ac:dyDescent="0.2">
      <c r="A508" s="4"/>
      <c r="B508" s="774" t="s">
        <v>510</v>
      </c>
      <c r="C508" s="740"/>
      <c r="D508" s="740"/>
      <c r="E508" s="740"/>
      <c r="F508" s="403">
        <v>27650</v>
      </c>
      <c r="G508" s="349">
        <f>+F508*$X$1</f>
        <v>27650</v>
      </c>
      <c r="H508" s="108">
        <f>F508+2200</f>
        <v>29850</v>
      </c>
      <c r="I508" s="391">
        <f t="shared" si="1257"/>
        <v>29850</v>
      </c>
      <c r="J508" s="108">
        <f>F508+550</f>
        <v>28200</v>
      </c>
      <c r="K508" s="391">
        <f t="shared" si="1266"/>
        <v>28200</v>
      </c>
      <c r="L508" s="108">
        <f>F508+480</f>
        <v>28130</v>
      </c>
      <c r="M508" s="391">
        <f t="shared" si="1267"/>
        <v>28130</v>
      </c>
      <c r="N508" s="108">
        <f>F508+440</f>
        <v>28090</v>
      </c>
      <c r="O508" s="391">
        <f t="shared" si="1268"/>
        <v>28090</v>
      </c>
      <c r="P508" s="108">
        <f>F508+410</f>
        <v>28060</v>
      </c>
      <c r="Q508" s="391">
        <f t="shared" si="1269"/>
        <v>28060</v>
      </c>
      <c r="R508" s="108">
        <f>F508+390</f>
        <v>28040</v>
      </c>
      <c r="S508" s="391">
        <f t="shared" si="1270"/>
        <v>28040</v>
      </c>
      <c r="T508" s="108">
        <f>F508+350</f>
        <v>28000</v>
      </c>
      <c r="U508" s="391">
        <f t="shared" si="1271"/>
        <v>28000</v>
      </c>
      <c r="V508" s="108">
        <f>F508+320</f>
        <v>27970</v>
      </c>
      <c r="W508" s="391">
        <f t="shared" si="1272"/>
        <v>27970</v>
      </c>
      <c r="X508" s="151"/>
      <c r="Y508" s="146"/>
      <c r="Z508" s="152"/>
      <c r="AA508" s="153"/>
      <c r="AB508" s="540">
        <v>905</v>
      </c>
    </row>
    <row r="509" spans="1:28" ht="12.6" customHeight="1" x14ac:dyDescent="0.2">
      <c r="A509" s="4"/>
      <c r="B509" s="793" t="s">
        <v>829</v>
      </c>
      <c r="C509" s="707"/>
      <c r="D509" s="707"/>
      <c r="E509" s="707"/>
      <c r="F509" s="487">
        <f>21.3*X2</f>
        <v>19340.400000000001</v>
      </c>
      <c r="G509" s="348">
        <f>+F509*$X$1</f>
        <v>19340.400000000001</v>
      </c>
      <c r="H509" s="386">
        <f>F509+3000</f>
        <v>22340.400000000001</v>
      </c>
      <c r="I509" s="348">
        <f t="shared" ref="I509:I512" si="1273">+H509*$X$1</f>
        <v>22340.400000000001</v>
      </c>
      <c r="J509" s="386">
        <f>F509+900</f>
        <v>20240.400000000001</v>
      </c>
      <c r="K509" s="348">
        <f t="shared" si="1266"/>
        <v>20240.400000000001</v>
      </c>
      <c r="L509" s="386">
        <f>F509+840</f>
        <v>20180.400000000001</v>
      </c>
      <c r="M509" s="348">
        <f t="shared" si="1267"/>
        <v>20180.400000000001</v>
      </c>
      <c r="N509" s="386">
        <f>F509+800</f>
        <v>20140.400000000001</v>
      </c>
      <c r="O509" s="348">
        <f t="shared" si="1268"/>
        <v>20140.400000000001</v>
      </c>
      <c r="P509" s="386">
        <f>F509+760</f>
        <v>20100.400000000001</v>
      </c>
      <c r="Q509" s="348">
        <f t="shared" si="1269"/>
        <v>20100.400000000001</v>
      </c>
      <c r="R509" s="386">
        <f>F509+730</f>
        <v>20070.400000000001</v>
      </c>
      <c r="S509" s="348">
        <f t="shared" si="1270"/>
        <v>20070.400000000001</v>
      </c>
      <c r="T509" s="386">
        <f>F509+690</f>
        <v>20030.400000000001</v>
      </c>
      <c r="U509" s="348">
        <f t="shared" si="1271"/>
        <v>20030.400000000001</v>
      </c>
      <c r="V509" s="386">
        <f>F509+650</f>
        <v>19990.400000000001</v>
      </c>
      <c r="W509" s="348">
        <f t="shared" si="1272"/>
        <v>19990.400000000001</v>
      </c>
      <c r="X509" s="151"/>
      <c r="Y509" s="146"/>
      <c r="Z509" s="152"/>
      <c r="AA509" s="153"/>
      <c r="AB509" s="540">
        <v>906</v>
      </c>
    </row>
    <row r="510" spans="1:28" ht="12.6" customHeight="1" x14ac:dyDescent="0.2">
      <c r="A510" s="4"/>
      <c r="B510" s="774" t="s">
        <v>830</v>
      </c>
      <c r="C510" s="740"/>
      <c r="D510" s="740"/>
      <c r="E510" s="740"/>
      <c r="F510" s="488">
        <f>21.3*X2</f>
        <v>19340.400000000001</v>
      </c>
      <c r="G510" s="349">
        <f>+F510*$X$1</f>
        <v>19340.400000000001</v>
      </c>
      <c r="H510" s="108">
        <f>F510+2200</f>
        <v>21540.400000000001</v>
      </c>
      <c r="I510" s="391">
        <f t="shared" si="1273"/>
        <v>21540.400000000001</v>
      </c>
      <c r="J510" s="108">
        <f>F510+550</f>
        <v>19890.400000000001</v>
      </c>
      <c r="K510" s="391">
        <f t="shared" si="1266"/>
        <v>19890.400000000001</v>
      </c>
      <c r="L510" s="108">
        <f>F510+480</f>
        <v>19820.400000000001</v>
      </c>
      <c r="M510" s="391">
        <f t="shared" si="1267"/>
        <v>19820.400000000001</v>
      </c>
      <c r="N510" s="108">
        <f>F510+440</f>
        <v>19780.400000000001</v>
      </c>
      <c r="O510" s="391">
        <f t="shared" si="1268"/>
        <v>19780.400000000001</v>
      </c>
      <c r="P510" s="108">
        <f>F510+410</f>
        <v>19750.400000000001</v>
      </c>
      <c r="Q510" s="391">
        <f t="shared" si="1269"/>
        <v>19750.400000000001</v>
      </c>
      <c r="R510" s="108">
        <f>F510+390</f>
        <v>19730.400000000001</v>
      </c>
      <c r="S510" s="391">
        <f t="shared" si="1270"/>
        <v>19730.400000000001</v>
      </c>
      <c r="T510" s="108">
        <f>F510+350</f>
        <v>19690.400000000001</v>
      </c>
      <c r="U510" s="391">
        <f t="shared" si="1271"/>
        <v>19690.400000000001</v>
      </c>
      <c r="V510" s="108">
        <f>F510+320</f>
        <v>19660.400000000001</v>
      </c>
      <c r="W510" s="391">
        <f t="shared" si="1272"/>
        <v>19660.400000000001</v>
      </c>
      <c r="X510" s="151"/>
      <c r="Y510" s="146"/>
      <c r="Z510" s="152"/>
      <c r="AA510" s="153"/>
      <c r="AB510" s="540">
        <v>906</v>
      </c>
    </row>
    <row r="511" spans="1:28" ht="12.6" customHeight="1" x14ac:dyDescent="0.2">
      <c r="A511" s="4"/>
      <c r="B511" s="793" t="s">
        <v>754</v>
      </c>
      <c r="C511" s="729"/>
      <c r="D511" s="729"/>
      <c r="E511" s="729"/>
      <c r="F511" s="490">
        <f>21.6*X2</f>
        <v>19612.800000000003</v>
      </c>
      <c r="G511" s="348">
        <f t="shared" ref="G511" si="1274">+F511*$X$1</f>
        <v>19612.800000000003</v>
      </c>
      <c r="H511" s="386">
        <f>F511+3000</f>
        <v>22612.800000000003</v>
      </c>
      <c r="I511" s="348">
        <f t="shared" si="1273"/>
        <v>22612.800000000003</v>
      </c>
      <c r="J511" s="386">
        <f>F511+900</f>
        <v>20512.800000000003</v>
      </c>
      <c r="K511" s="348">
        <f t="shared" ref="K511:K512" si="1275">+J511*$X$1</f>
        <v>20512.800000000003</v>
      </c>
      <c r="L511" s="386">
        <f>F511+840</f>
        <v>20452.800000000003</v>
      </c>
      <c r="M511" s="348">
        <f t="shared" ref="M511:M512" si="1276">+L511*$X$1</f>
        <v>20452.800000000003</v>
      </c>
      <c r="N511" s="386">
        <f>F511+800</f>
        <v>20412.800000000003</v>
      </c>
      <c r="O511" s="348">
        <f t="shared" ref="O511:O512" si="1277">+N511*$X$1</f>
        <v>20412.800000000003</v>
      </c>
      <c r="P511" s="386">
        <f>F511+760</f>
        <v>20372.800000000003</v>
      </c>
      <c r="Q511" s="348">
        <f t="shared" ref="Q511" si="1278">+P511*$X$1</f>
        <v>20372.800000000003</v>
      </c>
      <c r="R511" s="386">
        <f>F511+730</f>
        <v>20342.800000000003</v>
      </c>
      <c r="S511" s="348">
        <f t="shared" ref="S511" si="1279">+R511*$X$1</f>
        <v>20342.800000000003</v>
      </c>
      <c r="T511" s="386">
        <f>F511+690</f>
        <v>20302.800000000003</v>
      </c>
      <c r="U511" s="348">
        <f t="shared" ref="U511" si="1280">+T511*$X$1</f>
        <v>20302.800000000003</v>
      </c>
      <c r="V511" s="386">
        <f>F511+650</f>
        <v>20262.800000000003</v>
      </c>
      <c r="W511" s="348">
        <f t="shared" ref="W511" si="1281">+V511*$X$1</f>
        <v>20262.800000000003</v>
      </c>
      <c r="X511" s="151"/>
      <c r="Y511" s="146"/>
      <c r="Z511" s="152"/>
      <c r="AA511" s="153"/>
      <c r="AB511" s="540" t="s">
        <v>771</v>
      </c>
    </row>
    <row r="512" spans="1:28" ht="12.6" customHeight="1" x14ac:dyDescent="0.2">
      <c r="A512" s="4"/>
      <c r="B512" s="774" t="s">
        <v>828</v>
      </c>
      <c r="C512" s="721"/>
      <c r="D512" s="721"/>
      <c r="E512" s="721"/>
      <c r="F512" s="489">
        <f>21.6*X2</f>
        <v>19612.800000000003</v>
      </c>
      <c r="G512" s="349">
        <f t="shared" ref="G512" si="1282">+F512*$X$1</f>
        <v>19612.800000000003</v>
      </c>
      <c r="H512" s="108">
        <f>F512+2200</f>
        <v>21812.800000000003</v>
      </c>
      <c r="I512" s="391">
        <f t="shared" si="1273"/>
        <v>21812.800000000003</v>
      </c>
      <c r="J512" s="108">
        <f>F512+550</f>
        <v>20162.800000000003</v>
      </c>
      <c r="K512" s="391">
        <f t="shared" si="1275"/>
        <v>20162.800000000003</v>
      </c>
      <c r="L512" s="108">
        <f>F512+480</f>
        <v>20092.800000000003</v>
      </c>
      <c r="M512" s="391">
        <f t="shared" si="1276"/>
        <v>20092.800000000003</v>
      </c>
      <c r="N512" s="108">
        <f>F512+440</f>
        <v>20052.800000000003</v>
      </c>
      <c r="O512" s="391">
        <f t="shared" si="1277"/>
        <v>20052.800000000003</v>
      </c>
      <c r="P512" s="108"/>
      <c r="Q512" s="391"/>
      <c r="R512" s="108"/>
      <c r="S512" s="391"/>
      <c r="T512" s="108"/>
      <c r="U512" s="391"/>
      <c r="V512" s="108"/>
      <c r="W512" s="391"/>
      <c r="X512" s="151"/>
      <c r="Y512" s="146"/>
      <c r="Z512" s="152"/>
      <c r="AA512" s="153"/>
      <c r="AB512" s="540">
        <v>907</v>
      </c>
    </row>
    <row r="513" spans="1:34" ht="12.6" customHeight="1" x14ac:dyDescent="0.2">
      <c r="A513" s="4"/>
      <c r="B513" s="853" t="s">
        <v>719</v>
      </c>
      <c r="C513" s="854"/>
      <c r="D513" s="854"/>
      <c r="E513" s="854"/>
      <c r="F513" s="348"/>
      <c r="G513" s="348"/>
      <c r="H513" s="386">
        <v>1900</v>
      </c>
      <c r="I513" s="348">
        <f t="shared" ref="I513" si="1283">+H513*$X$1</f>
        <v>1900</v>
      </c>
      <c r="J513" s="386">
        <v>770</v>
      </c>
      <c r="K513" s="348">
        <f t="shared" ref="K513" si="1284">+J513*$X$1</f>
        <v>770</v>
      </c>
      <c r="L513" s="386">
        <v>660</v>
      </c>
      <c r="M513" s="348">
        <f t="shared" ref="M513" si="1285">+L513*$X$1</f>
        <v>660</v>
      </c>
      <c r="N513" s="386">
        <v>600</v>
      </c>
      <c r="O513" s="348">
        <f t="shared" ref="O513" si="1286">+N513*$X$1</f>
        <v>600</v>
      </c>
      <c r="P513" s="386">
        <v>550</v>
      </c>
      <c r="Q513" s="348">
        <f t="shared" ref="Q513" si="1287">+P513*$X$1</f>
        <v>550</v>
      </c>
      <c r="R513" s="386">
        <v>510</v>
      </c>
      <c r="S513" s="348">
        <f t="shared" ref="S513" si="1288">+R513*$X$1</f>
        <v>510</v>
      </c>
      <c r="T513" s="386">
        <v>470</v>
      </c>
      <c r="U513" s="348">
        <f t="shared" ref="U513" si="1289">+T513*$X$1</f>
        <v>470</v>
      </c>
      <c r="V513" s="386">
        <v>420</v>
      </c>
      <c r="W513" s="348">
        <f t="shared" ref="W513" si="1290">+V513*$X$1</f>
        <v>420</v>
      </c>
      <c r="X513" s="151"/>
      <c r="Y513" s="146"/>
      <c r="Z513" s="152"/>
      <c r="AA513" s="153"/>
      <c r="AB513" s="34"/>
    </row>
    <row r="514" spans="1:34" ht="12.6" customHeight="1" x14ac:dyDescent="0.2">
      <c r="A514" s="4"/>
      <c r="B514" s="849" t="s">
        <v>720</v>
      </c>
      <c r="C514" s="850"/>
      <c r="D514" s="850"/>
      <c r="E514" s="850"/>
      <c r="F514" s="349"/>
      <c r="G514" s="349"/>
      <c r="H514" s="686">
        <v>900</v>
      </c>
      <c r="I514" s="349">
        <f t="shared" ref="I514" si="1291">+H514*$X$1</f>
        <v>900</v>
      </c>
      <c r="J514" s="686">
        <v>350</v>
      </c>
      <c r="K514" s="349">
        <f t="shared" ref="K514" si="1292">+J514*$X$1</f>
        <v>350</v>
      </c>
      <c r="L514" s="686">
        <v>310</v>
      </c>
      <c r="M514" s="349">
        <f t="shared" ref="M514" si="1293">+L514*$X$1</f>
        <v>310</v>
      </c>
      <c r="N514" s="686">
        <v>280</v>
      </c>
      <c r="O514" s="349">
        <f t="shared" ref="O514" si="1294">+N514*$X$1</f>
        <v>280</v>
      </c>
      <c r="P514" s="686">
        <v>250</v>
      </c>
      <c r="Q514" s="349">
        <f t="shared" ref="Q514" si="1295">+P514*$X$1</f>
        <v>250</v>
      </c>
      <c r="R514" s="686">
        <v>230</v>
      </c>
      <c r="S514" s="349">
        <f t="shared" ref="S514" si="1296">+R514*$X$1</f>
        <v>230</v>
      </c>
      <c r="T514" s="686">
        <v>220</v>
      </c>
      <c r="U514" s="349">
        <f t="shared" ref="U514" si="1297">+T514*$X$1</f>
        <v>220</v>
      </c>
      <c r="V514" s="686">
        <v>210</v>
      </c>
      <c r="W514" s="349">
        <f t="shared" ref="W514" si="1298">+V514*$X$1</f>
        <v>210</v>
      </c>
      <c r="X514" s="151"/>
      <c r="Y514" s="146"/>
      <c r="Z514" s="152"/>
      <c r="AA514" s="153"/>
      <c r="AB514" s="34"/>
    </row>
    <row r="515" spans="1:34" ht="9.75" customHeight="1" thickBot="1" x14ac:dyDescent="0.25">
      <c r="A515" s="102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818" t="s">
        <v>691</v>
      </c>
      <c r="C516" s="819"/>
      <c r="D516" s="819"/>
      <c r="E516" s="819"/>
      <c r="F516" s="819"/>
      <c r="G516" s="819"/>
      <c r="H516" s="819"/>
      <c r="I516" s="819"/>
      <c r="J516" s="819"/>
      <c r="K516" s="819"/>
      <c r="L516" s="819"/>
      <c r="M516" s="819"/>
      <c r="N516" s="819"/>
      <c r="O516" s="819"/>
      <c r="P516" s="819"/>
      <c r="Q516" s="819"/>
      <c r="R516" s="819"/>
      <c r="S516" s="819"/>
      <c r="T516" s="819"/>
      <c r="U516" s="819"/>
      <c r="V516" s="819"/>
      <c r="W516" s="820"/>
      <c r="AB516" s="4"/>
      <c r="AF516" s="828"/>
      <c r="AG516" s="829"/>
      <c r="AH516" s="829"/>
    </row>
    <row r="517" spans="1:34" ht="14.25" customHeight="1" x14ac:dyDescent="0.2">
      <c r="B517" s="844" t="s">
        <v>11</v>
      </c>
      <c r="C517" s="856" t="s">
        <v>12</v>
      </c>
      <c r="D517" s="857"/>
      <c r="E517" s="857"/>
      <c r="F517" s="780" t="s">
        <v>309</v>
      </c>
      <c r="G517" s="780" t="s">
        <v>13</v>
      </c>
      <c r="H517" s="836" t="s">
        <v>513</v>
      </c>
      <c r="I517" s="836"/>
      <c r="J517" s="837"/>
      <c r="K517" s="837"/>
      <c r="L517" s="837"/>
      <c r="M517" s="837"/>
      <c r="N517" s="837"/>
      <c r="O517" s="837"/>
      <c r="P517" s="837"/>
      <c r="Q517" s="837"/>
      <c r="R517" s="837"/>
      <c r="S517" s="837"/>
      <c r="T517" s="837"/>
      <c r="U517" s="837"/>
      <c r="V517" s="837"/>
      <c r="W517" s="838"/>
      <c r="X517" s="770" t="s">
        <v>15</v>
      </c>
      <c r="Y517" s="771"/>
      <c r="Z517" s="771"/>
      <c r="AA517" s="771"/>
      <c r="AB517" s="839" t="s">
        <v>16</v>
      </c>
      <c r="AF517" s="828" t="s">
        <v>3</v>
      </c>
      <c r="AG517" s="829"/>
      <c r="AH517" s="829"/>
    </row>
    <row r="518" spans="1:34" ht="12" customHeight="1" thickBot="1" x14ac:dyDescent="0.25">
      <c r="B518" s="845"/>
      <c r="C518" s="858"/>
      <c r="D518" s="858"/>
      <c r="E518" s="858"/>
      <c r="F518" s="781"/>
      <c r="G518" s="781"/>
      <c r="H518" s="297"/>
      <c r="I518" s="295" t="s">
        <v>674</v>
      </c>
      <c r="J518" s="297"/>
      <c r="K518" s="295" t="s">
        <v>311</v>
      </c>
      <c r="L518" s="297"/>
      <c r="M518" s="295" t="s">
        <v>312</v>
      </c>
      <c r="N518" s="297"/>
      <c r="O518" s="295" t="s">
        <v>676</v>
      </c>
      <c r="P518" s="297"/>
      <c r="Q518" s="295" t="s">
        <v>18</v>
      </c>
      <c r="R518" s="297"/>
      <c r="S518" s="295" t="s">
        <v>19</v>
      </c>
      <c r="T518" s="297"/>
      <c r="U518" s="295" t="s">
        <v>20</v>
      </c>
      <c r="V518" s="297"/>
      <c r="W518" s="296" t="s">
        <v>677</v>
      </c>
      <c r="X518" s="772"/>
      <c r="Y518" s="773"/>
      <c r="Z518" s="773"/>
      <c r="AA518" s="773"/>
      <c r="AB518" s="840"/>
    </row>
    <row r="519" spans="1:34" ht="12.6" customHeight="1" x14ac:dyDescent="0.2">
      <c r="A519" s="4"/>
      <c r="B519" s="814" t="s">
        <v>909</v>
      </c>
      <c r="C519" s="848"/>
      <c r="D519" s="848"/>
      <c r="E519" s="848"/>
      <c r="F519" s="493">
        <f>31.2*X2</f>
        <v>28329.599999999999</v>
      </c>
      <c r="G519" s="375">
        <f t="shared" ref="G519:K533" si="1299">+F519*$X$1</f>
        <v>28329.599999999999</v>
      </c>
      <c r="H519" s="109">
        <f>F519+2200</f>
        <v>30529.599999999999</v>
      </c>
      <c r="I519" s="375">
        <f t="shared" si="1299"/>
        <v>30529.599999999999</v>
      </c>
      <c r="J519" s="109">
        <f>F519+500</f>
        <v>28829.599999999999</v>
      </c>
      <c r="K519" s="375">
        <f t="shared" si="1299"/>
        <v>28829.599999999999</v>
      </c>
      <c r="L519" s="109">
        <f>F519+410</f>
        <v>28739.599999999999</v>
      </c>
      <c r="M519" s="375">
        <f t="shared" ref="M519" si="1300">+L519*$X$1</f>
        <v>28739.599999999999</v>
      </c>
      <c r="N519" s="109">
        <f>F519+370</f>
        <v>28699.599999999999</v>
      </c>
      <c r="O519" s="375">
        <f t="shared" ref="O519" si="1301">+N519*$X$1</f>
        <v>28699.599999999999</v>
      </c>
      <c r="P519" s="109">
        <f>F519+360</f>
        <v>28689.599999999999</v>
      </c>
      <c r="Q519" s="375">
        <f t="shared" ref="Q519" si="1302">+P519*$X$1</f>
        <v>28689.599999999999</v>
      </c>
      <c r="R519" s="109">
        <f>F519+330</f>
        <v>28659.599999999999</v>
      </c>
      <c r="S519" s="375">
        <f t="shared" ref="S519" si="1303">+R519*$X$1</f>
        <v>28659.599999999999</v>
      </c>
      <c r="T519" s="109">
        <f>F519+290</f>
        <v>28619.599999999999</v>
      </c>
      <c r="U519" s="375">
        <f t="shared" ref="U519" si="1304">+T519*$X$1</f>
        <v>28619.599999999999</v>
      </c>
      <c r="V519" s="109">
        <f>F519+240</f>
        <v>28569.599999999999</v>
      </c>
      <c r="W519" s="375">
        <f t="shared" ref="W519" si="1305">+V519*$X$1</f>
        <v>28569.599999999999</v>
      </c>
      <c r="X519" s="151"/>
      <c r="Y519" s="146"/>
      <c r="Z519" s="152"/>
      <c r="AA519" s="153"/>
      <c r="AB519" s="540">
        <v>570</v>
      </c>
    </row>
    <row r="520" spans="1:34" ht="12.6" customHeight="1" x14ac:dyDescent="0.2">
      <c r="A520" s="4"/>
      <c r="B520" s="747" t="s">
        <v>898</v>
      </c>
      <c r="C520" s="855"/>
      <c r="D520" s="855"/>
      <c r="E520" s="855"/>
      <c r="F520" s="512">
        <v>31510</v>
      </c>
      <c r="G520" s="391">
        <f t="shared" ref="G520" si="1306">+F520*$X$1</f>
        <v>31510</v>
      </c>
      <c r="H520" s="108">
        <f t="shared" ref="H520:H532" si="1307">F520+2200</f>
        <v>33710</v>
      </c>
      <c r="I520" s="391">
        <f t="shared" ref="I520:I532" si="1308">+H520*$X$1</f>
        <v>33710</v>
      </c>
      <c r="J520" s="108">
        <f t="shared" ref="J520:J532" si="1309">F520+500</f>
        <v>32010</v>
      </c>
      <c r="K520" s="391">
        <f t="shared" ref="K520:K532" si="1310">+J520*$X$1</f>
        <v>32010</v>
      </c>
      <c r="L520" s="108">
        <f t="shared" ref="L520:L532" si="1311">F520+410</f>
        <v>31920</v>
      </c>
      <c r="M520" s="391">
        <f t="shared" ref="M520:M532" si="1312">+L520*$X$1</f>
        <v>31920</v>
      </c>
      <c r="N520" s="108">
        <f t="shared" ref="N520:N532" si="1313">F520+370</f>
        <v>31880</v>
      </c>
      <c r="O520" s="391">
        <f t="shared" ref="O520:O532" si="1314">+N520*$X$1</f>
        <v>31880</v>
      </c>
      <c r="P520" s="108">
        <f t="shared" ref="P520:P532" si="1315">F520+360</f>
        <v>31870</v>
      </c>
      <c r="Q520" s="391">
        <f t="shared" ref="Q520:Q532" si="1316">+P520*$X$1</f>
        <v>31870</v>
      </c>
      <c r="R520" s="108">
        <f t="shared" ref="R520:R532" si="1317">F520+330</f>
        <v>31840</v>
      </c>
      <c r="S520" s="391">
        <f t="shared" ref="S520:S532" si="1318">+R520*$X$1</f>
        <v>31840</v>
      </c>
      <c r="T520" s="108">
        <f t="shared" ref="T520:T532" si="1319">F520+290</f>
        <v>31800</v>
      </c>
      <c r="U520" s="391">
        <f t="shared" ref="U520:U532" si="1320">+T520*$X$1</f>
        <v>31800</v>
      </c>
      <c r="V520" s="108">
        <f t="shared" ref="V520:V532" si="1321">F520+240</f>
        <v>31750</v>
      </c>
      <c r="W520" s="391">
        <f t="shared" ref="W520:W532" si="1322">+V520*$X$1</f>
        <v>31750</v>
      </c>
      <c r="X520" s="151"/>
      <c r="Y520" s="146"/>
      <c r="Z520" s="152"/>
      <c r="AA520" s="153"/>
      <c r="AB520" s="540">
        <v>577</v>
      </c>
    </row>
    <row r="521" spans="1:34" ht="12.6" customHeight="1" x14ac:dyDescent="0.2">
      <c r="A521" s="4"/>
      <c r="B521" s="706" t="s">
        <v>897</v>
      </c>
      <c r="C521" s="707"/>
      <c r="D521" s="707"/>
      <c r="E521" s="707"/>
      <c r="F521" s="493">
        <f>29.9*X2</f>
        <v>27149.199999999997</v>
      </c>
      <c r="G521" s="375">
        <f t="shared" si="1299"/>
        <v>27149.199999999997</v>
      </c>
      <c r="H521" s="109">
        <f t="shared" si="1307"/>
        <v>29349.199999999997</v>
      </c>
      <c r="I521" s="375">
        <f t="shared" si="1308"/>
        <v>29349.199999999997</v>
      </c>
      <c r="J521" s="109">
        <f t="shared" si="1309"/>
        <v>27649.199999999997</v>
      </c>
      <c r="K521" s="375">
        <f t="shared" si="1310"/>
        <v>27649.199999999997</v>
      </c>
      <c r="L521" s="109">
        <f t="shared" si="1311"/>
        <v>27559.199999999997</v>
      </c>
      <c r="M521" s="375">
        <f t="shared" si="1312"/>
        <v>27559.199999999997</v>
      </c>
      <c r="N521" s="109">
        <f t="shared" si="1313"/>
        <v>27519.199999999997</v>
      </c>
      <c r="O521" s="375">
        <f t="shared" si="1314"/>
        <v>27519.199999999997</v>
      </c>
      <c r="P521" s="109">
        <f t="shared" si="1315"/>
        <v>27509.199999999997</v>
      </c>
      <c r="Q521" s="375">
        <f t="shared" si="1316"/>
        <v>27509.199999999997</v>
      </c>
      <c r="R521" s="109">
        <f t="shared" si="1317"/>
        <v>27479.199999999997</v>
      </c>
      <c r="S521" s="375">
        <f t="shared" si="1318"/>
        <v>27479.199999999997</v>
      </c>
      <c r="T521" s="109">
        <f t="shared" si="1319"/>
        <v>27439.199999999997</v>
      </c>
      <c r="U521" s="375">
        <f t="shared" si="1320"/>
        <v>27439.199999999997</v>
      </c>
      <c r="V521" s="109">
        <f t="shared" si="1321"/>
        <v>27389.199999999997</v>
      </c>
      <c r="W521" s="375">
        <f t="shared" si="1322"/>
        <v>27389.199999999997</v>
      </c>
      <c r="X521" s="151"/>
      <c r="Y521" s="146"/>
      <c r="Z521" s="152"/>
      <c r="AA521" s="153"/>
      <c r="AB521" s="540">
        <v>580</v>
      </c>
    </row>
    <row r="522" spans="1:34" ht="12.6" customHeight="1" x14ac:dyDescent="0.2">
      <c r="A522" s="4"/>
      <c r="B522" s="720" t="s">
        <v>896</v>
      </c>
      <c r="C522" s="740"/>
      <c r="D522" s="740"/>
      <c r="E522" s="740"/>
      <c r="F522" s="489">
        <f>31.2*X2</f>
        <v>28329.599999999999</v>
      </c>
      <c r="G522" s="349">
        <f t="shared" si="1299"/>
        <v>28329.599999999999</v>
      </c>
      <c r="H522" s="108">
        <f t="shared" si="1307"/>
        <v>30529.599999999999</v>
      </c>
      <c r="I522" s="391">
        <f t="shared" si="1308"/>
        <v>30529.599999999999</v>
      </c>
      <c r="J522" s="108">
        <f t="shared" si="1309"/>
        <v>28829.599999999999</v>
      </c>
      <c r="K522" s="391">
        <f t="shared" si="1310"/>
        <v>28829.599999999999</v>
      </c>
      <c r="L522" s="108">
        <f t="shared" si="1311"/>
        <v>28739.599999999999</v>
      </c>
      <c r="M522" s="391">
        <f t="shared" si="1312"/>
        <v>28739.599999999999</v>
      </c>
      <c r="N522" s="108">
        <f t="shared" si="1313"/>
        <v>28699.599999999999</v>
      </c>
      <c r="O522" s="391">
        <f t="shared" si="1314"/>
        <v>28699.599999999999</v>
      </c>
      <c r="P522" s="108">
        <f t="shared" si="1315"/>
        <v>28689.599999999999</v>
      </c>
      <c r="Q522" s="391">
        <f t="shared" si="1316"/>
        <v>28689.599999999999</v>
      </c>
      <c r="R522" s="108">
        <f t="shared" si="1317"/>
        <v>28659.599999999999</v>
      </c>
      <c r="S522" s="391">
        <f t="shared" si="1318"/>
        <v>28659.599999999999</v>
      </c>
      <c r="T522" s="108">
        <f t="shared" si="1319"/>
        <v>28619.599999999999</v>
      </c>
      <c r="U522" s="391">
        <f t="shared" si="1320"/>
        <v>28619.599999999999</v>
      </c>
      <c r="V522" s="108">
        <f t="shared" si="1321"/>
        <v>28569.599999999999</v>
      </c>
      <c r="W522" s="391">
        <f t="shared" si="1322"/>
        <v>28569.599999999999</v>
      </c>
      <c r="X522" s="151"/>
      <c r="Y522" s="146"/>
      <c r="Z522" s="152"/>
      <c r="AA522" s="153"/>
      <c r="AB522" s="540">
        <v>582</v>
      </c>
    </row>
    <row r="523" spans="1:34" ht="12.6" customHeight="1" x14ac:dyDescent="0.2">
      <c r="A523" s="4"/>
      <c r="B523" s="706" t="s">
        <v>895</v>
      </c>
      <c r="C523" s="707"/>
      <c r="D523" s="707"/>
      <c r="E523" s="707"/>
      <c r="F523" s="536">
        <v>53750</v>
      </c>
      <c r="G523" s="375">
        <f t="shared" si="1299"/>
        <v>53750</v>
      </c>
      <c r="H523" s="109">
        <f t="shared" si="1307"/>
        <v>55950</v>
      </c>
      <c r="I523" s="375">
        <f t="shared" si="1308"/>
        <v>55950</v>
      </c>
      <c r="J523" s="109">
        <f t="shared" si="1309"/>
        <v>54250</v>
      </c>
      <c r="K523" s="375">
        <f t="shared" si="1310"/>
        <v>54250</v>
      </c>
      <c r="L523" s="109">
        <f t="shared" si="1311"/>
        <v>54160</v>
      </c>
      <c r="M523" s="375">
        <f t="shared" si="1312"/>
        <v>54160</v>
      </c>
      <c r="N523" s="109">
        <f t="shared" si="1313"/>
        <v>54120</v>
      </c>
      <c r="O523" s="375">
        <f t="shared" si="1314"/>
        <v>54120</v>
      </c>
      <c r="P523" s="109">
        <f t="shared" si="1315"/>
        <v>54110</v>
      </c>
      <c r="Q523" s="375">
        <f t="shared" si="1316"/>
        <v>54110</v>
      </c>
      <c r="R523" s="109">
        <f t="shared" si="1317"/>
        <v>54080</v>
      </c>
      <c r="S523" s="375">
        <f t="shared" si="1318"/>
        <v>54080</v>
      </c>
      <c r="T523" s="109">
        <f t="shared" si="1319"/>
        <v>54040</v>
      </c>
      <c r="U523" s="375">
        <f t="shared" si="1320"/>
        <v>54040</v>
      </c>
      <c r="V523" s="109">
        <f t="shared" si="1321"/>
        <v>53990</v>
      </c>
      <c r="W523" s="375">
        <f t="shared" si="1322"/>
        <v>53990</v>
      </c>
      <c r="X523" s="151"/>
      <c r="Y523" s="146"/>
      <c r="Z523" s="152"/>
      <c r="AA523" s="153"/>
      <c r="AB523" s="540">
        <v>584</v>
      </c>
    </row>
    <row r="524" spans="1:34" ht="12.6" customHeight="1" x14ac:dyDescent="0.2">
      <c r="A524" s="4"/>
      <c r="B524" s="833" t="s">
        <v>908</v>
      </c>
      <c r="C524" s="846"/>
      <c r="D524" s="846"/>
      <c r="E524" s="847"/>
      <c r="F524" s="535">
        <v>44750</v>
      </c>
      <c r="G524" s="349">
        <f t="shared" si="1299"/>
        <v>44750</v>
      </c>
      <c r="H524" s="108">
        <f t="shared" si="1307"/>
        <v>46950</v>
      </c>
      <c r="I524" s="391">
        <f t="shared" si="1308"/>
        <v>46950</v>
      </c>
      <c r="J524" s="108">
        <f t="shared" si="1309"/>
        <v>45250</v>
      </c>
      <c r="K524" s="391">
        <f t="shared" si="1310"/>
        <v>45250</v>
      </c>
      <c r="L524" s="108">
        <f t="shared" si="1311"/>
        <v>45160</v>
      </c>
      <c r="M524" s="391">
        <f t="shared" si="1312"/>
        <v>45160</v>
      </c>
      <c r="N524" s="108">
        <f t="shared" si="1313"/>
        <v>45120</v>
      </c>
      <c r="O524" s="391">
        <f t="shared" si="1314"/>
        <v>45120</v>
      </c>
      <c r="P524" s="108">
        <f t="shared" si="1315"/>
        <v>45110</v>
      </c>
      <c r="Q524" s="391">
        <f t="shared" si="1316"/>
        <v>45110</v>
      </c>
      <c r="R524" s="108">
        <f t="shared" si="1317"/>
        <v>45080</v>
      </c>
      <c r="S524" s="391">
        <f t="shared" si="1318"/>
        <v>45080</v>
      </c>
      <c r="T524" s="108">
        <f t="shared" si="1319"/>
        <v>45040</v>
      </c>
      <c r="U524" s="391">
        <f t="shared" si="1320"/>
        <v>45040</v>
      </c>
      <c r="V524" s="108">
        <f t="shared" si="1321"/>
        <v>44990</v>
      </c>
      <c r="W524" s="391">
        <f t="shared" si="1322"/>
        <v>44990</v>
      </c>
      <c r="X524" s="151"/>
      <c r="Y524" s="146"/>
      <c r="Z524" s="152"/>
      <c r="AA524" s="153"/>
      <c r="AB524" s="540">
        <v>599</v>
      </c>
    </row>
    <row r="525" spans="1:34" ht="12.6" customHeight="1" x14ac:dyDescent="0.2">
      <c r="A525" s="4"/>
      <c r="B525" s="841" t="s">
        <v>894</v>
      </c>
      <c r="C525" s="842"/>
      <c r="D525" s="842"/>
      <c r="E525" s="843"/>
      <c r="F525" s="487">
        <f>24.6*X2</f>
        <v>22336.800000000003</v>
      </c>
      <c r="G525" s="348">
        <f t="shared" si="1299"/>
        <v>22336.800000000003</v>
      </c>
      <c r="H525" s="109">
        <f t="shared" si="1307"/>
        <v>24536.800000000003</v>
      </c>
      <c r="I525" s="375">
        <f t="shared" si="1308"/>
        <v>24536.800000000003</v>
      </c>
      <c r="J525" s="109">
        <f t="shared" si="1309"/>
        <v>22836.800000000003</v>
      </c>
      <c r="K525" s="375">
        <f t="shared" si="1310"/>
        <v>22836.800000000003</v>
      </c>
      <c r="L525" s="109">
        <f t="shared" si="1311"/>
        <v>22746.800000000003</v>
      </c>
      <c r="M525" s="375">
        <f t="shared" si="1312"/>
        <v>22746.800000000003</v>
      </c>
      <c r="N525" s="109">
        <f t="shared" si="1313"/>
        <v>22706.800000000003</v>
      </c>
      <c r="O525" s="375">
        <f t="shared" si="1314"/>
        <v>22706.800000000003</v>
      </c>
      <c r="P525" s="109">
        <f t="shared" si="1315"/>
        <v>22696.800000000003</v>
      </c>
      <c r="Q525" s="375">
        <f t="shared" si="1316"/>
        <v>22696.800000000003</v>
      </c>
      <c r="R525" s="109">
        <f t="shared" si="1317"/>
        <v>22666.800000000003</v>
      </c>
      <c r="S525" s="375">
        <f t="shared" si="1318"/>
        <v>22666.800000000003</v>
      </c>
      <c r="T525" s="109">
        <f t="shared" si="1319"/>
        <v>22626.800000000003</v>
      </c>
      <c r="U525" s="375">
        <f t="shared" si="1320"/>
        <v>22626.800000000003</v>
      </c>
      <c r="V525" s="109">
        <f t="shared" si="1321"/>
        <v>22576.800000000003</v>
      </c>
      <c r="W525" s="375">
        <f t="shared" si="1322"/>
        <v>22576.800000000003</v>
      </c>
      <c r="X525" s="151"/>
      <c r="Y525" s="146"/>
      <c r="Z525" s="152"/>
      <c r="AA525" s="153"/>
      <c r="AB525" s="540">
        <v>600</v>
      </c>
    </row>
    <row r="526" spans="1:34" ht="12.6" customHeight="1" x14ac:dyDescent="0.2">
      <c r="A526" s="4"/>
      <c r="B526" s="833" t="s">
        <v>899</v>
      </c>
      <c r="C526" s="846"/>
      <c r="D526" s="846"/>
      <c r="E526" s="847"/>
      <c r="F526" s="489">
        <f>74.5*X2</f>
        <v>67646</v>
      </c>
      <c r="G526" s="349">
        <f t="shared" ref="G526:G527" si="1323">+F526*$X$1</f>
        <v>67646</v>
      </c>
      <c r="H526" s="108">
        <f t="shared" si="1307"/>
        <v>69846</v>
      </c>
      <c r="I526" s="391">
        <f t="shared" si="1308"/>
        <v>69846</v>
      </c>
      <c r="J526" s="108">
        <f t="shared" si="1309"/>
        <v>68146</v>
      </c>
      <c r="K526" s="391">
        <f t="shared" si="1310"/>
        <v>68146</v>
      </c>
      <c r="L526" s="108">
        <f t="shared" si="1311"/>
        <v>68056</v>
      </c>
      <c r="M526" s="391">
        <f t="shared" si="1312"/>
        <v>68056</v>
      </c>
      <c r="N526" s="108">
        <f t="shared" si="1313"/>
        <v>68016</v>
      </c>
      <c r="O526" s="391">
        <f t="shared" si="1314"/>
        <v>68016</v>
      </c>
      <c r="P526" s="108">
        <f t="shared" si="1315"/>
        <v>68006</v>
      </c>
      <c r="Q526" s="391">
        <f t="shared" si="1316"/>
        <v>68006</v>
      </c>
      <c r="R526" s="108">
        <f t="shared" si="1317"/>
        <v>67976</v>
      </c>
      <c r="S526" s="391">
        <f t="shared" si="1318"/>
        <v>67976</v>
      </c>
      <c r="T526" s="108">
        <f t="shared" si="1319"/>
        <v>67936</v>
      </c>
      <c r="U526" s="391">
        <f t="shared" si="1320"/>
        <v>67936</v>
      </c>
      <c r="V526" s="108">
        <f t="shared" si="1321"/>
        <v>67886</v>
      </c>
      <c r="W526" s="391">
        <f t="shared" si="1322"/>
        <v>67886</v>
      </c>
      <c r="X526" s="151"/>
      <c r="Y526" s="146"/>
      <c r="Z526" s="152"/>
      <c r="AA526" s="153"/>
      <c r="AB526" s="540">
        <v>605</v>
      </c>
    </row>
    <row r="527" spans="1:34" ht="12.6" customHeight="1" x14ac:dyDescent="0.2">
      <c r="A527" s="4"/>
      <c r="B527" s="687" t="s">
        <v>920</v>
      </c>
      <c r="C527" s="688"/>
      <c r="D527" s="688"/>
      <c r="E527" s="689"/>
      <c r="F527" s="490">
        <f>53.4*X2</f>
        <v>48487.199999999997</v>
      </c>
      <c r="G527" s="348">
        <f t="shared" si="1323"/>
        <v>48487.199999999997</v>
      </c>
      <c r="H527" s="109">
        <f t="shared" ref="H527" si="1324">F527+2200</f>
        <v>50687.199999999997</v>
      </c>
      <c r="I527" s="375">
        <f t="shared" ref="I527" si="1325">+H527*$X$1</f>
        <v>50687.199999999997</v>
      </c>
      <c r="J527" s="109">
        <f t="shared" ref="J527" si="1326">F527+500</f>
        <v>48987.199999999997</v>
      </c>
      <c r="K527" s="375">
        <f t="shared" ref="K527" si="1327">+J527*$X$1</f>
        <v>48987.199999999997</v>
      </c>
      <c r="L527" s="109">
        <f t="shared" ref="L527" si="1328">F527+410</f>
        <v>48897.2</v>
      </c>
      <c r="M527" s="375">
        <f t="shared" ref="M527" si="1329">+L527*$X$1</f>
        <v>48897.2</v>
      </c>
      <c r="N527" s="109">
        <f t="shared" ref="N527" si="1330">F527+370</f>
        <v>48857.2</v>
      </c>
      <c r="O527" s="375">
        <f t="shared" ref="O527" si="1331">+N527*$X$1</f>
        <v>48857.2</v>
      </c>
      <c r="P527" s="109">
        <f t="shared" ref="P527" si="1332">F527+360</f>
        <v>48847.199999999997</v>
      </c>
      <c r="Q527" s="375">
        <f t="shared" ref="Q527" si="1333">+P527*$X$1</f>
        <v>48847.199999999997</v>
      </c>
      <c r="R527" s="109">
        <f t="shared" ref="R527" si="1334">F527+330</f>
        <v>48817.2</v>
      </c>
      <c r="S527" s="375">
        <f t="shared" ref="S527" si="1335">+R527*$X$1</f>
        <v>48817.2</v>
      </c>
      <c r="T527" s="109">
        <f t="shared" ref="T527" si="1336">F527+290</f>
        <v>48777.2</v>
      </c>
      <c r="U527" s="375">
        <f t="shared" ref="U527" si="1337">+T527*$X$1</f>
        <v>48777.2</v>
      </c>
      <c r="V527" s="109">
        <f t="shared" ref="V527" si="1338">F527+240</f>
        <v>48727.199999999997</v>
      </c>
      <c r="W527" s="375">
        <f t="shared" ref="W527" si="1339">+V527*$X$1</f>
        <v>48727.199999999997</v>
      </c>
      <c r="X527" s="151"/>
      <c r="Y527" s="146"/>
      <c r="Z527" s="152"/>
      <c r="AA527" s="153"/>
      <c r="AB527" s="540">
        <v>608</v>
      </c>
    </row>
    <row r="528" spans="1:34" ht="12.6" customHeight="1" x14ac:dyDescent="0.2">
      <c r="A528" s="4"/>
      <c r="B528" s="833" t="s">
        <v>900</v>
      </c>
      <c r="C528" s="846"/>
      <c r="D528" s="846"/>
      <c r="E528" s="847"/>
      <c r="F528" s="489">
        <f>47.5*X2</f>
        <v>43130</v>
      </c>
      <c r="G528" s="349">
        <f t="shared" ref="G528:G529" si="1340">+F528*$X$1</f>
        <v>43130</v>
      </c>
      <c r="H528" s="108">
        <f t="shared" si="1307"/>
        <v>45330</v>
      </c>
      <c r="I528" s="391">
        <f t="shared" si="1308"/>
        <v>45330</v>
      </c>
      <c r="J528" s="108">
        <f t="shared" si="1309"/>
        <v>43630</v>
      </c>
      <c r="K528" s="391">
        <f t="shared" si="1310"/>
        <v>43630</v>
      </c>
      <c r="L528" s="108">
        <f t="shared" si="1311"/>
        <v>43540</v>
      </c>
      <c r="M528" s="391">
        <f t="shared" si="1312"/>
        <v>43540</v>
      </c>
      <c r="N528" s="108">
        <f t="shared" si="1313"/>
        <v>43500</v>
      </c>
      <c r="O528" s="391">
        <f t="shared" si="1314"/>
        <v>43500</v>
      </c>
      <c r="P528" s="108">
        <f t="shared" si="1315"/>
        <v>43490</v>
      </c>
      <c r="Q528" s="391">
        <f t="shared" si="1316"/>
        <v>43490</v>
      </c>
      <c r="R528" s="108">
        <f t="shared" si="1317"/>
        <v>43460</v>
      </c>
      <c r="S528" s="391">
        <f t="shared" si="1318"/>
        <v>43460</v>
      </c>
      <c r="T528" s="108">
        <f t="shared" si="1319"/>
        <v>43420</v>
      </c>
      <c r="U528" s="391">
        <f t="shared" si="1320"/>
        <v>43420</v>
      </c>
      <c r="V528" s="108">
        <f t="shared" si="1321"/>
        <v>43370</v>
      </c>
      <c r="W528" s="391">
        <f t="shared" si="1322"/>
        <v>43370</v>
      </c>
      <c r="X528" s="151"/>
      <c r="Y528" s="146"/>
      <c r="Z528" s="152"/>
      <c r="AA528" s="153"/>
      <c r="AB528" s="540">
        <v>609</v>
      </c>
    </row>
    <row r="529" spans="1:28" ht="12.6" customHeight="1" x14ac:dyDescent="0.2">
      <c r="A529" s="4"/>
      <c r="B529" s="687" t="s">
        <v>901</v>
      </c>
      <c r="C529" s="688"/>
      <c r="D529" s="688"/>
      <c r="E529" s="689"/>
      <c r="F529" s="490">
        <f>55*X2</f>
        <v>49940</v>
      </c>
      <c r="G529" s="348">
        <f t="shared" si="1340"/>
        <v>49940</v>
      </c>
      <c r="H529" s="109">
        <f t="shared" si="1307"/>
        <v>52140</v>
      </c>
      <c r="I529" s="375">
        <f t="shared" si="1308"/>
        <v>52140</v>
      </c>
      <c r="J529" s="109">
        <f t="shared" si="1309"/>
        <v>50440</v>
      </c>
      <c r="K529" s="375">
        <f t="shared" si="1310"/>
        <v>50440</v>
      </c>
      <c r="L529" s="109">
        <f t="shared" si="1311"/>
        <v>50350</v>
      </c>
      <c r="M529" s="375">
        <f t="shared" si="1312"/>
        <v>50350</v>
      </c>
      <c r="N529" s="109">
        <f t="shared" si="1313"/>
        <v>50310</v>
      </c>
      <c r="O529" s="375">
        <f t="shared" si="1314"/>
        <v>50310</v>
      </c>
      <c r="P529" s="109">
        <f t="shared" si="1315"/>
        <v>50300</v>
      </c>
      <c r="Q529" s="375">
        <f t="shared" si="1316"/>
        <v>50300</v>
      </c>
      <c r="R529" s="109">
        <f t="shared" si="1317"/>
        <v>50270</v>
      </c>
      <c r="S529" s="375">
        <f t="shared" si="1318"/>
        <v>50270</v>
      </c>
      <c r="T529" s="109">
        <f t="shared" si="1319"/>
        <v>50230</v>
      </c>
      <c r="U529" s="375">
        <f t="shared" si="1320"/>
        <v>50230</v>
      </c>
      <c r="V529" s="109">
        <f t="shared" si="1321"/>
        <v>50180</v>
      </c>
      <c r="W529" s="375">
        <f t="shared" si="1322"/>
        <v>50180</v>
      </c>
      <c r="X529" s="151"/>
      <c r="Y529" s="146"/>
      <c r="Z529" s="152"/>
      <c r="AA529" s="153"/>
      <c r="AB529" s="540">
        <v>611</v>
      </c>
    </row>
    <row r="530" spans="1:28" ht="12.6" customHeight="1" x14ac:dyDescent="0.2">
      <c r="A530" s="4"/>
      <c r="B530" s="833" t="s">
        <v>747</v>
      </c>
      <c r="C530" s="846"/>
      <c r="D530" s="846"/>
      <c r="E530" s="847"/>
      <c r="F530" s="403">
        <v>6070</v>
      </c>
      <c r="G530" s="349">
        <f>+F530*$X$1</f>
        <v>6070</v>
      </c>
      <c r="H530" s="108"/>
      <c r="I530" s="391"/>
      <c r="J530" s="108"/>
      <c r="K530" s="391"/>
      <c r="L530" s="108">
        <f t="shared" si="1311"/>
        <v>6480</v>
      </c>
      <c r="M530" s="391">
        <f t="shared" si="1312"/>
        <v>6480</v>
      </c>
      <c r="N530" s="108">
        <f t="shared" si="1313"/>
        <v>6440</v>
      </c>
      <c r="O530" s="391">
        <f t="shared" si="1314"/>
        <v>6440</v>
      </c>
      <c r="P530" s="108">
        <f t="shared" si="1315"/>
        <v>6430</v>
      </c>
      <c r="Q530" s="391">
        <f t="shared" si="1316"/>
        <v>6430</v>
      </c>
      <c r="R530" s="108">
        <f t="shared" si="1317"/>
        <v>6400</v>
      </c>
      <c r="S530" s="391">
        <f t="shared" si="1318"/>
        <v>6400</v>
      </c>
      <c r="T530" s="108">
        <f t="shared" si="1319"/>
        <v>6360</v>
      </c>
      <c r="U530" s="391">
        <f t="shared" si="1320"/>
        <v>6360</v>
      </c>
      <c r="V530" s="108">
        <f t="shared" si="1321"/>
        <v>6310</v>
      </c>
      <c r="W530" s="391">
        <f t="shared" si="1322"/>
        <v>6310</v>
      </c>
      <c r="X530" s="151"/>
      <c r="Y530" s="146"/>
      <c r="Z530" s="152"/>
      <c r="AA530" s="153"/>
      <c r="AB530" s="209">
        <v>641</v>
      </c>
    </row>
    <row r="531" spans="1:28" ht="12.6" customHeight="1" x14ac:dyDescent="0.2">
      <c r="A531" s="4"/>
      <c r="B531" s="687" t="s">
        <v>748</v>
      </c>
      <c r="C531" s="688"/>
      <c r="D531" s="688"/>
      <c r="E531" s="689"/>
      <c r="F531" s="490">
        <f>6*X2</f>
        <v>5448</v>
      </c>
      <c r="G531" s="348">
        <f t="shared" ref="G531" si="1341">+F531*$X$1</f>
        <v>5448</v>
      </c>
      <c r="H531" s="109">
        <f t="shared" si="1307"/>
        <v>7648</v>
      </c>
      <c r="I531" s="375">
        <f t="shared" si="1308"/>
        <v>7648</v>
      </c>
      <c r="J531" s="109">
        <f t="shared" si="1309"/>
        <v>5948</v>
      </c>
      <c r="K531" s="375">
        <f t="shared" si="1310"/>
        <v>5948</v>
      </c>
      <c r="L531" s="109">
        <f t="shared" si="1311"/>
        <v>5858</v>
      </c>
      <c r="M531" s="375">
        <f t="shared" si="1312"/>
        <v>5858</v>
      </c>
      <c r="N531" s="109">
        <f t="shared" si="1313"/>
        <v>5818</v>
      </c>
      <c r="O531" s="375">
        <f t="shared" si="1314"/>
        <v>5818</v>
      </c>
      <c r="P531" s="109">
        <f t="shared" si="1315"/>
        <v>5808</v>
      </c>
      <c r="Q531" s="375">
        <f t="shared" si="1316"/>
        <v>5808</v>
      </c>
      <c r="R531" s="109">
        <f t="shared" si="1317"/>
        <v>5778</v>
      </c>
      <c r="S531" s="375">
        <f t="shared" si="1318"/>
        <v>5778</v>
      </c>
      <c r="T531" s="109">
        <f t="shared" si="1319"/>
        <v>5738</v>
      </c>
      <c r="U531" s="375">
        <f t="shared" si="1320"/>
        <v>5738</v>
      </c>
      <c r="V531" s="109">
        <f t="shared" si="1321"/>
        <v>5688</v>
      </c>
      <c r="W531" s="375">
        <f t="shared" si="1322"/>
        <v>5688</v>
      </c>
      <c r="X531" s="151"/>
      <c r="Y531" s="146"/>
      <c r="Z531" s="152"/>
      <c r="AA531" s="153"/>
      <c r="AB531" s="209">
        <v>642</v>
      </c>
    </row>
    <row r="532" spans="1:28" ht="12.6" customHeight="1" x14ac:dyDescent="0.2">
      <c r="A532" s="4"/>
      <c r="B532" s="833" t="s">
        <v>749</v>
      </c>
      <c r="C532" s="846"/>
      <c r="D532" s="846"/>
      <c r="E532" s="847"/>
      <c r="F532" s="489">
        <f>26.55*X2</f>
        <v>24107.4</v>
      </c>
      <c r="G532" s="349">
        <f t="shared" ref="G532" si="1342">+F532*$X$1</f>
        <v>24107.4</v>
      </c>
      <c r="H532" s="108">
        <f t="shared" si="1307"/>
        <v>26307.4</v>
      </c>
      <c r="I532" s="391">
        <f t="shared" si="1308"/>
        <v>26307.4</v>
      </c>
      <c r="J532" s="108">
        <f t="shared" si="1309"/>
        <v>24607.4</v>
      </c>
      <c r="K532" s="391">
        <f t="shared" si="1310"/>
        <v>24607.4</v>
      </c>
      <c r="L532" s="108">
        <f t="shared" si="1311"/>
        <v>24517.4</v>
      </c>
      <c r="M532" s="391">
        <f t="shared" si="1312"/>
        <v>24517.4</v>
      </c>
      <c r="N532" s="108">
        <f t="shared" si="1313"/>
        <v>24477.4</v>
      </c>
      <c r="O532" s="391">
        <f t="shared" si="1314"/>
        <v>24477.4</v>
      </c>
      <c r="P532" s="108">
        <f t="shared" si="1315"/>
        <v>24467.4</v>
      </c>
      <c r="Q532" s="391">
        <f t="shared" si="1316"/>
        <v>24467.4</v>
      </c>
      <c r="R532" s="108">
        <f t="shared" si="1317"/>
        <v>24437.4</v>
      </c>
      <c r="S532" s="391">
        <f t="shared" si="1318"/>
        <v>24437.4</v>
      </c>
      <c r="T532" s="108">
        <f t="shared" si="1319"/>
        <v>24397.4</v>
      </c>
      <c r="U532" s="391">
        <f t="shared" si="1320"/>
        <v>24397.4</v>
      </c>
      <c r="V532" s="108">
        <f t="shared" si="1321"/>
        <v>24347.4</v>
      </c>
      <c r="W532" s="391">
        <f t="shared" si="1322"/>
        <v>24347.4</v>
      </c>
      <c r="X532" s="151"/>
      <c r="Y532" s="146"/>
      <c r="Z532" s="152"/>
      <c r="AA532" s="153"/>
      <c r="AB532" s="209">
        <v>643</v>
      </c>
    </row>
    <row r="533" spans="1:28" ht="12.6" customHeight="1" x14ac:dyDescent="0.2">
      <c r="A533" s="4"/>
      <c r="B533" s="687" t="s">
        <v>902</v>
      </c>
      <c r="C533" s="688"/>
      <c r="D533" s="688"/>
      <c r="E533" s="689"/>
      <c r="F533" s="487">
        <f>42.332*X2</f>
        <v>38437.455999999998</v>
      </c>
      <c r="G533" s="348">
        <f t="shared" si="1299"/>
        <v>38437.455999999998</v>
      </c>
      <c r="H533" s="109">
        <f t="shared" ref="H533" si="1343">F533+2200</f>
        <v>40637.455999999998</v>
      </c>
      <c r="I533" s="375">
        <f t="shared" ref="I533" si="1344">+H533*$X$1</f>
        <v>40637.455999999998</v>
      </c>
      <c r="J533" s="109">
        <f t="shared" ref="J533" si="1345">F533+500</f>
        <v>38937.455999999998</v>
      </c>
      <c r="K533" s="375">
        <f t="shared" ref="K533" si="1346">+J533*$X$1</f>
        <v>38937.455999999998</v>
      </c>
      <c r="L533" s="109">
        <f t="shared" ref="L533" si="1347">F533+410</f>
        <v>38847.455999999998</v>
      </c>
      <c r="M533" s="375">
        <f t="shared" ref="M533" si="1348">+L533*$X$1</f>
        <v>38847.455999999998</v>
      </c>
      <c r="N533" s="109">
        <f t="shared" ref="N533" si="1349">F533+370</f>
        <v>38807.455999999998</v>
      </c>
      <c r="O533" s="375">
        <f t="shared" ref="O533" si="1350">+N533*$X$1</f>
        <v>38807.455999999998</v>
      </c>
      <c r="P533" s="109">
        <f t="shared" ref="P533" si="1351">F533+360</f>
        <v>38797.455999999998</v>
      </c>
      <c r="Q533" s="375">
        <f t="shared" ref="Q533" si="1352">+P533*$X$1</f>
        <v>38797.455999999998</v>
      </c>
      <c r="R533" s="109">
        <f t="shared" ref="R533" si="1353">F533+330</f>
        <v>38767.455999999998</v>
      </c>
      <c r="S533" s="375">
        <f t="shared" ref="S533" si="1354">+R533*$X$1</f>
        <v>38767.455999999998</v>
      </c>
      <c r="T533" s="109">
        <f t="shared" ref="T533" si="1355">F533+290</f>
        <v>38727.455999999998</v>
      </c>
      <c r="U533" s="375">
        <f t="shared" ref="U533" si="1356">+T533*$X$1</f>
        <v>38727.455999999998</v>
      </c>
      <c r="V533" s="109">
        <f t="shared" ref="V533" si="1357">F533+240</f>
        <v>38677.455999999998</v>
      </c>
      <c r="W533" s="375">
        <f t="shared" ref="W533" si="1358">+V533*$X$1</f>
        <v>38677.455999999998</v>
      </c>
      <c r="X533" s="151"/>
      <c r="Y533" s="146"/>
      <c r="Z533" s="152"/>
      <c r="AA533" s="153"/>
      <c r="AB533" s="540">
        <v>657</v>
      </c>
    </row>
    <row r="534" spans="1:28" ht="12.6" customHeight="1" x14ac:dyDescent="0.2">
      <c r="A534" s="4"/>
      <c r="B534" s="833" t="s">
        <v>903</v>
      </c>
      <c r="C534" s="846"/>
      <c r="D534" s="846"/>
      <c r="E534" s="847"/>
      <c r="F534" s="488">
        <f>36.045*X2</f>
        <v>32728.86</v>
      </c>
      <c r="G534" s="349">
        <f t="shared" ref="G534:G536" si="1359">+F534*$X$1</f>
        <v>32728.86</v>
      </c>
      <c r="H534" s="108">
        <f t="shared" ref="H534:H550" si="1360">F534+2200</f>
        <v>34928.86</v>
      </c>
      <c r="I534" s="391">
        <f t="shared" ref="I534:I550" si="1361">+H534*$X$1</f>
        <v>34928.86</v>
      </c>
      <c r="J534" s="108">
        <f t="shared" ref="J534:J550" si="1362">F534+500</f>
        <v>33228.86</v>
      </c>
      <c r="K534" s="391">
        <f t="shared" ref="K534:K550" si="1363">+J534*$X$1</f>
        <v>33228.86</v>
      </c>
      <c r="L534" s="108">
        <f t="shared" ref="L534:L550" si="1364">F534+410</f>
        <v>33138.86</v>
      </c>
      <c r="M534" s="391">
        <f t="shared" ref="M534:M550" si="1365">+L534*$X$1</f>
        <v>33138.86</v>
      </c>
      <c r="N534" s="108">
        <f t="shared" ref="N534:N550" si="1366">F534+370</f>
        <v>33098.86</v>
      </c>
      <c r="O534" s="391">
        <f t="shared" ref="O534:O550" si="1367">+N534*$X$1</f>
        <v>33098.86</v>
      </c>
      <c r="P534" s="108">
        <f t="shared" ref="P534:P550" si="1368">F534+360</f>
        <v>33088.86</v>
      </c>
      <c r="Q534" s="391">
        <f t="shared" ref="Q534:Q550" si="1369">+P534*$X$1</f>
        <v>33088.86</v>
      </c>
      <c r="R534" s="108">
        <f t="shared" ref="R534:R550" si="1370">F534+330</f>
        <v>33058.86</v>
      </c>
      <c r="S534" s="391">
        <f t="shared" ref="S534:S550" si="1371">+R534*$X$1</f>
        <v>33058.86</v>
      </c>
      <c r="T534" s="108">
        <f t="shared" ref="T534:T550" si="1372">F534+290</f>
        <v>33018.86</v>
      </c>
      <c r="U534" s="391">
        <f t="shared" ref="U534:U550" si="1373">+T534*$X$1</f>
        <v>33018.86</v>
      </c>
      <c r="V534" s="108">
        <f t="shared" ref="V534:V550" si="1374">F534+240</f>
        <v>32968.86</v>
      </c>
      <c r="W534" s="391">
        <f t="shared" ref="W534:W550" si="1375">+V534*$X$1</f>
        <v>32968.86</v>
      </c>
      <c r="X534" s="151"/>
      <c r="Y534" s="146"/>
      <c r="Z534" s="152"/>
      <c r="AA534" s="153"/>
      <c r="AB534" s="540">
        <v>658</v>
      </c>
    </row>
    <row r="535" spans="1:28" ht="12.6" customHeight="1" x14ac:dyDescent="0.2">
      <c r="A535" s="4"/>
      <c r="B535" s="687" t="s">
        <v>904</v>
      </c>
      <c r="C535" s="688"/>
      <c r="D535" s="688"/>
      <c r="E535" s="689"/>
      <c r="F535" s="487">
        <f>28.5*X2</f>
        <v>25878</v>
      </c>
      <c r="G535" s="348">
        <f t="shared" si="1359"/>
        <v>25878</v>
      </c>
      <c r="H535" s="109">
        <f t="shared" si="1360"/>
        <v>28078</v>
      </c>
      <c r="I535" s="375">
        <f t="shared" si="1361"/>
        <v>28078</v>
      </c>
      <c r="J535" s="109">
        <f t="shared" si="1362"/>
        <v>26378</v>
      </c>
      <c r="K535" s="375">
        <f t="shared" si="1363"/>
        <v>26378</v>
      </c>
      <c r="L535" s="109">
        <f t="shared" si="1364"/>
        <v>26288</v>
      </c>
      <c r="M535" s="375">
        <f t="shared" si="1365"/>
        <v>26288</v>
      </c>
      <c r="N535" s="109">
        <f t="shared" si="1366"/>
        <v>26248</v>
      </c>
      <c r="O535" s="375">
        <f t="shared" si="1367"/>
        <v>26248</v>
      </c>
      <c r="P535" s="109">
        <f t="shared" si="1368"/>
        <v>26238</v>
      </c>
      <c r="Q535" s="375">
        <f t="shared" si="1369"/>
        <v>26238</v>
      </c>
      <c r="R535" s="109">
        <f t="shared" si="1370"/>
        <v>26208</v>
      </c>
      <c r="S535" s="375">
        <f t="shared" si="1371"/>
        <v>26208</v>
      </c>
      <c r="T535" s="109">
        <f t="shared" si="1372"/>
        <v>26168</v>
      </c>
      <c r="U535" s="375">
        <f t="shared" si="1373"/>
        <v>26168</v>
      </c>
      <c r="V535" s="109">
        <f t="shared" si="1374"/>
        <v>26118</v>
      </c>
      <c r="W535" s="375">
        <f t="shared" si="1375"/>
        <v>26118</v>
      </c>
      <c r="X535" s="151"/>
      <c r="Y535" s="146"/>
      <c r="Z535" s="152"/>
      <c r="AA535" s="153"/>
      <c r="AB535" s="540">
        <v>659</v>
      </c>
    </row>
    <row r="536" spans="1:28" ht="12.6" customHeight="1" x14ac:dyDescent="0.2">
      <c r="A536" s="4"/>
      <c r="B536" s="833" t="s">
        <v>905</v>
      </c>
      <c r="C536" s="846"/>
      <c r="D536" s="846"/>
      <c r="E536" s="847"/>
      <c r="F536" s="488">
        <f>13.1*X2</f>
        <v>11894.8</v>
      </c>
      <c r="G536" s="349">
        <f t="shared" si="1359"/>
        <v>11894.8</v>
      </c>
      <c r="H536" s="108">
        <f t="shared" si="1360"/>
        <v>14094.8</v>
      </c>
      <c r="I536" s="391">
        <f t="shared" si="1361"/>
        <v>14094.8</v>
      </c>
      <c r="J536" s="108">
        <f t="shared" si="1362"/>
        <v>12394.8</v>
      </c>
      <c r="K536" s="391">
        <f t="shared" si="1363"/>
        <v>12394.8</v>
      </c>
      <c r="L536" s="108">
        <f t="shared" si="1364"/>
        <v>12304.8</v>
      </c>
      <c r="M536" s="391">
        <f t="shared" si="1365"/>
        <v>12304.8</v>
      </c>
      <c r="N536" s="108">
        <f t="shared" si="1366"/>
        <v>12264.8</v>
      </c>
      <c r="O536" s="391">
        <f t="shared" si="1367"/>
        <v>12264.8</v>
      </c>
      <c r="P536" s="108">
        <f t="shared" si="1368"/>
        <v>12254.8</v>
      </c>
      <c r="Q536" s="391">
        <f t="shared" si="1369"/>
        <v>12254.8</v>
      </c>
      <c r="R536" s="108">
        <f t="shared" si="1370"/>
        <v>12224.8</v>
      </c>
      <c r="S536" s="391">
        <f t="shared" si="1371"/>
        <v>12224.8</v>
      </c>
      <c r="T536" s="108">
        <f t="shared" si="1372"/>
        <v>12184.8</v>
      </c>
      <c r="U536" s="391">
        <f t="shared" si="1373"/>
        <v>12184.8</v>
      </c>
      <c r="V536" s="108">
        <f t="shared" si="1374"/>
        <v>12134.8</v>
      </c>
      <c r="W536" s="391">
        <f t="shared" si="1375"/>
        <v>12134.8</v>
      </c>
      <c r="X536" s="151"/>
      <c r="Y536" s="146"/>
      <c r="Z536" s="152"/>
      <c r="AA536" s="153"/>
      <c r="AB536" s="540">
        <v>660</v>
      </c>
    </row>
    <row r="537" spans="1:28" ht="12.6" customHeight="1" x14ac:dyDescent="0.2">
      <c r="A537" s="4"/>
      <c r="B537" s="687" t="s">
        <v>723</v>
      </c>
      <c r="C537" s="688"/>
      <c r="D537" s="688"/>
      <c r="E537" s="689"/>
      <c r="F537" s="404">
        <v>9480</v>
      </c>
      <c r="G537" s="348">
        <f t="shared" ref="G537:G542" si="1376">+F537*$X$1</f>
        <v>9480</v>
      </c>
      <c r="H537" s="109"/>
      <c r="I537" s="375"/>
      <c r="J537" s="109">
        <f t="shared" si="1362"/>
        <v>9980</v>
      </c>
      <c r="K537" s="375">
        <f t="shared" si="1363"/>
        <v>9980</v>
      </c>
      <c r="L537" s="109">
        <f t="shared" si="1364"/>
        <v>9890</v>
      </c>
      <c r="M537" s="375">
        <f t="shared" si="1365"/>
        <v>9890</v>
      </c>
      <c r="N537" s="109">
        <f t="shared" si="1366"/>
        <v>9850</v>
      </c>
      <c r="O537" s="375">
        <f t="shared" si="1367"/>
        <v>9850</v>
      </c>
      <c r="P537" s="109">
        <f t="shared" si="1368"/>
        <v>9840</v>
      </c>
      <c r="Q537" s="375">
        <f t="shared" si="1369"/>
        <v>9840</v>
      </c>
      <c r="R537" s="109">
        <f t="shared" si="1370"/>
        <v>9810</v>
      </c>
      <c r="S537" s="375">
        <f t="shared" si="1371"/>
        <v>9810</v>
      </c>
      <c r="T537" s="109">
        <f t="shared" si="1372"/>
        <v>9770</v>
      </c>
      <c r="U537" s="375">
        <f t="shared" si="1373"/>
        <v>9770</v>
      </c>
      <c r="V537" s="109">
        <f t="shared" si="1374"/>
        <v>9720</v>
      </c>
      <c r="W537" s="375">
        <f t="shared" si="1375"/>
        <v>9720</v>
      </c>
      <c r="X537" s="151"/>
      <c r="Y537" s="146"/>
      <c r="Z537" s="152"/>
      <c r="AA537" s="153"/>
      <c r="AB537" s="540">
        <v>661</v>
      </c>
    </row>
    <row r="538" spans="1:28" ht="12.6" customHeight="1" x14ac:dyDescent="0.2">
      <c r="A538" s="4"/>
      <c r="B538" s="833" t="s">
        <v>724</v>
      </c>
      <c r="C538" s="846"/>
      <c r="D538" s="846"/>
      <c r="E538" s="847"/>
      <c r="F538" s="403">
        <v>37100</v>
      </c>
      <c r="G538" s="349">
        <f t="shared" si="1376"/>
        <v>37100</v>
      </c>
      <c r="H538" s="108"/>
      <c r="I538" s="391"/>
      <c r="J538" s="108">
        <f t="shared" si="1362"/>
        <v>37600</v>
      </c>
      <c r="K538" s="391">
        <f t="shared" si="1363"/>
        <v>37600</v>
      </c>
      <c r="L538" s="108">
        <f t="shared" si="1364"/>
        <v>37510</v>
      </c>
      <c r="M538" s="391">
        <f t="shared" si="1365"/>
        <v>37510</v>
      </c>
      <c r="N538" s="108">
        <f t="shared" si="1366"/>
        <v>37470</v>
      </c>
      <c r="O538" s="391">
        <f t="shared" si="1367"/>
        <v>37470</v>
      </c>
      <c r="P538" s="108">
        <f t="shared" si="1368"/>
        <v>37460</v>
      </c>
      <c r="Q538" s="391">
        <f t="shared" si="1369"/>
        <v>37460</v>
      </c>
      <c r="R538" s="108">
        <f t="shared" si="1370"/>
        <v>37430</v>
      </c>
      <c r="S538" s="391">
        <f t="shared" si="1371"/>
        <v>37430</v>
      </c>
      <c r="T538" s="108">
        <f t="shared" si="1372"/>
        <v>37390</v>
      </c>
      <c r="U538" s="391">
        <f t="shared" si="1373"/>
        <v>37390</v>
      </c>
      <c r="V538" s="108">
        <f t="shared" si="1374"/>
        <v>37340</v>
      </c>
      <c r="W538" s="391">
        <f t="shared" si="1375"/>
        <v>37340</v>
      </c>
      <c r="X538" s="151"/>
      <c r="Y538" s="146"/>
      <c r="Z538" s="152"/>
      <c r="AA538" s="153"/>
      <c r="AB538" s="540">
        <v>664</v>
      </c>
    </row>
    <row r="539" spans="1:28" ht="12.6" customHeight="1" x14ac:dyDescent="0.2">
      <c r="A539" s="4"/>
      <c r="B539" s="841" t="s">
        <v>815</v>
      </c>
      <c r="C539" s="842"/>
      <c r="D539" s="842"/>
      <c r="E539" s="843"/>
      <c r="F539" s="487">
        <f>18.36*X2</f>
        <v>16670.88</v>
      </c>
      <c r="G539" s="348">
        <f t="shared" si="1376"/>
        <v>16670.88</v>
      </c>
      <c r="H539" s="109">
        <f t="shared" si="1360"/>
        <v>18870.88</v>
      </c>
      <c r="I539" s="375">
        <f t="shared" si="1361"/>
        <v>18870.88</v>
      </c>
      <c r="J539" s="109">
        <f t="shared" si="1362"/>
        <v>17170.88</v>
      </c>
      <c r="K539" s="375">
        <f t="shared" si="1363"/>
        <v>17170.88</v>
      </c>
      <c r="L539" s="109">
        <f t="shared" si="1364"/>
        <v>17080.88</v>
      </c>
      <c r="M539" s="375">
        <f t="shared" si="1365"/>
        <v>17080.88</v>
      </c>
      <c r="N539" s="109">
        <f t="shared" si="1366"/>
        <v>17040.88</v>
      </c>
      <c r="O539" s="375">
        <f t="shared" si="1367"/>
        <v>17040.88</v>
      </c>
      <c r="P539" s="109">
        <f t="shared" si="1368"/>
        <v>17030.88</v>
      </c>
      <c r="Q539" s="375">
        <f t="shared" si="1369"/>
        <v>17030.88</v>
      </c>
      <c r="R539" s="109">
        <f t="shared" si="1370"/>
        <v>17000.88</v>
      </c>
      <c r="S539" s="375">
        <f t="shared" si="1371"/>
        <v>17000.88</v>
      </c>
      <c r="T539" s="109">
        <f t="shared" si="1372"/>
        <v>16960.88</v>
      </c>
      <c r="U539" s="375">
        <f t="shared" si="1373"/>
        <v>16960.88</v>
      </c>
      <c r="V539" s="109">
        <f t="shared" si="1374"/>
        <v>16910.88</v>
      </c>
      <c r="W539" s="375">
        <f t="shared" si="1375"/>
        <v>16910.88</v>
      </c>
      <c r="X539" s="151"/>
      <c r="Y539" s="146"/>
      <c r="Z539" s="152"/>
      <c r="AA539" s="153"/>
      <c r="AB539" s="540">
        <v>667</v>
      </c>
    </row>
    <row r="540" spans="1:28" ht="12.6" customHeight="1" x14ac:dyDescent="0.2">
      <c r="A540" s="4"/>
      <c r="B540" s="833" t="s">
        <v>630</v>
      </c>
      <c r="C540" s="846"/>
      <c r="D540" s="846"/>
      <c r="E540" s="847"/>
      <c r="F540" s="488">
        <f>17.5*X2</f>
        <v>15890</v>
      </c>
      <c r="G540" s="349">
        <f t="shared" si="1376"/>
        <v>15890</v>
      </c>
      <c r="H540" s="108">
        <f t="shared" si="1360"/>
        <v>18090</v>
      </c>
      <c r="I540" s="391">
        <f t="shared" si="1361"/>
        <v>18090</v>
      </c>
      <c r="J540" s="108">
        <f t="shared" si="1362"/>
        <v>16390</v>
      </c>
      <c r="K540" s="391">
        <f t="shared" si="1363"/>
        <v>16390</v>
      </c>
      <c r="L540" s="108">
        <f t="shared" si="1364"/>
        <v>16300</v>
      </c>
      <c r="M540" s="391">
        <f t="shared" si="1365"/>
        <v>16300</v>
      </c>
      <c r="N540" s="108">
        <f t="shared" si="1366"/>
        <v>16260</v>
      </c>
      <c r="O540" s="391">
        <f t="shared" si="1367"/>
        <v>16260</v>
      </c>
      <c r="P540" s="108">
        <f t="shared" si="1368"/>
        <v>16250</v>
      </c>
      <c r="Q540" s="391">
        <f t="shared" si="1369"/>
        <v>16250</v>
      </c>
      <c r="R540" s="108">
        <f t="shared" si="1370"/>
        <v>16220</v>
      </c>
      <c r="S540" s="391">
        <f t="shared" si="1371"/>
        <v>16220</v>
      </c>
      <c r="T540" s="108">
        <f t="shared" si="1372"/>
        <v>16180</v>
      </c>
      <c r="U540" s="391">
        <f t="shared" si="1373"/>
        <v>16180</v>
      </c>
      <c r="V540" s="108">
        <f t="shared" si="1374"/>
        <v>16130</v>
      </c>
      <c r="W540" s="391">
        <f t="shared" si="1375"/>
        <v>16130</v>
      </c>
      <c r="X540" s="151"/>
      <c r="Y540" s="146"/>
      <c r="Z540" s="152"/>
      <c r="AA540" s="153"/>
      <c r="AB540" s="209">
        <v>686</v>
      </c>
    </row>
    <row r="541" spans="1:28" ht="12.6" customHeight="1" x14ac:dyDescent="0.2">
      <c r="A541" s="4"/>
      <c r="B541" s="687" t="s">
        <v>675</v>
      </c>
      <c r="C541" s="688"/>
      <c r="D541" s="688"/>
      <c r="E541" s="689"/>
      <c r="F541" s="490">
        <f>33.5*X2</f>
        <v>30418</v>
      </c>
      <c r="G541" s="348">
        <f t="shared" si="1376"/>
        <v>30418</v>
      </c>
      <c r="H541" s="109">
        <f t="shared" si="1360"/>
        <v>32618</v>
      </c>
      <c r="I541" s="375">
        <f t="shared" si="1361"/>
        <v>32618</v>
      </c>
      <c r="J541" s="109">
        <f t="shared" si="1362"/>
        <v>30918</v>
      </c>
      <c r="K541" s="375">
        <f t="shared" si="1363"/>
        <v>30918</v>
      </c>
      <c r="L541" s="109">
        <f t="shared" si="1364"/>
        <v>30828</v>
      </c>
      <c r="M541" s="375">
        <f t="shared" si="1365"/>
        <v>30828</v>
      </c>
      <c r="N541" s="109">
        <f t="shared" si="1366"/>
        <v>30788</v>
      </c>
      <c r="O541" s="375">
        <f t="shared" si="1367"/>
        <v>30788</v>
      </c>
      <c r="P541" s="109">
        <f t="shared" si="1368"/>
        <v>30778</v>
      </c>
      <c r="Q541" s="375">
        <f t="shared" si="1369"/>
        <v>30778</v>
      </c>
      <c r="R541" s="109">
        <f t="shared" si="1370"/>
        <v>30748</v>
      </c>
      <c r="S541" s="375">
        <f t="shared" si="1371"/>
        <v>30748</v>
      </c>
      <c r="T541" s="109">
        <f t="shared" si="1372"/>
        <v>30708</v>
      </c>
      <c r="U541" s="375">
        <f t="shared" si="1373"/>
        <v>30708</v>
      </c>
      <c r="V541" s="109">
        <f t="shared" si="1374"/>
        <v>30658</v>
      </c>
      <c r="W541" s="375">
        <f t="shared" si="1375"/>
        <v>30658</v>
      </c>
      <c r="X541" s="151"/>
      <c r="Y541" s="146"/>
      <c r="Z541" s="152"/>
      <c r="AA541" s="153"/>
      <c r="AB541" s="540">
        <v>687</v>
      </c>
    </row>
    <row r="542" spans="1:28" ht="12.6" customHeight="1" x14ac:dyDescent="0.2">
      <c r="A542" s="4"/>
      <c r="B542" s="833" t="s">
        <v>906</v>
      </c>
      <c r="C542" s="846"/>
      <c r="D542" s="846"/>
      <c r="E542" s="847"/>
      <c r="F542" s="489">
        <f>18*X2</f>
        <v>16344</v>
      </c>
      <c r="G542" s="349">
        <f t="shared" si="1376"/>
        <v>16344</v>
      </c>
      <c r="H542" s="108">
        <f t="shared" si="1360"/>
        <v>18544</v>
      </c>
      <c r="I542" s="391">
        <f t="shared" si="1361"/>
        <v>18544</v>
      </c>
      <c r="J542" s="108">
        <f t="shared" si="1362"/>
        <v>16844</v>
      </c>
      <c r="K542" s="391">
        <f t="shared" si="1363"/>
        <v>16844</v>
      </c>
      <c r="L542" s="108">
        <f t="shared" si="1364"/>
        <v>16754</v>
      </c>
      <c r="M542" s="391">
        <f t="shared" si="1365"/>
        <v>16754</v>
      </c>
      <c r="N542" s="108">
        <f t="shared" si="1366"/>
        <v>16714</v>
      </c>
      <c r="O542" s="391">
        <f t="shared" si="1367"/>
        <v>16714</v>
      </c>
      <c r="P542" s="108">
        <f t="shared" si="1368"/>
        <v>16704</v>
      </c>
      <c r="Q542" s="391">
        <f t="shared" si="1369"/>
        <v>16704</v>
      </c>
      <c r="R542" s="108">
        <f t="shared" si="1370"/>
        <v>16674</v>
      </c>
      <c r="S542" s="391">
        <f t="shared" si="1371"/>
        <v>16674</v>
      </c>
      <c r="T542" s="108">
        <f t="shared" si="1372"/>
        <v>16634</v>
      </c>
      <c r="U542" s="391">
        <f t="shared" si="1373"/>
        <v>16634</v>
      </c>
      <c r="V542" s="108">
        <f t="shared" si="1374"/>
        <v>16584</v>
      </c>
      <c r="W542" s="391">
        <f t="shared" si="1375"/>
        <v>16584</v>
      </c>
      <c r="X542" s="151"/>
      <c r="Y542" s="146"/>
      <c r="Z542" s="152"/>
      <c r="AA542" s="153"/>
      <c r="AB542" s="540">
        <v>694</v>
      </c>
    </row>
    <row r="543" spans="1:28" ht="12.6" customHeight="1" x14ac:dyDescent="0.2">
      <c r="A543" s="4"/>
      <c r="B543" s="687" t="s">
        <v>907</v>
      </c>
      <c r="C543" s="688"/>
      <c r="D543" s="688"/>
      <c r="E543" s="689"/>
      <c r="F543" s="487">
        <f>39.2*X2</f>
        <v>35593.600000000006</v>
      </c>
      <c r="G543" s="348">
        <f t="shared" ref="G543" si="1377">+F543*$X$1</f>
        <v>35593.600000000006</v>
      </c>
      <c r="H543" s="109">
        <f t="shared" si="1360"/>
        <v>37793.600000000006</v>
      </c>
      <c r="I543" s="375">
        <f t="shared" si="1361"/>
        <v>37793.600000000006</v>
      </c>
      <c r="J543" s="109">
        <f t="shared" si="1362"/>
        <v>36093.600000000006</v>
      </c>
      <c r="K543" s="375">
        <f t="shared" si="1363"/>
        <v>36093.600000000006</v>
      </c>
      <c r="L543" s="109">
        <f t="shared" si="1364"/>
        <v>36003.600000000006</v>
      </c>
      <c r="M543" s="375">
        <f t="shared" si="1365"/>
        <v>36003.600000000006</v>
      </c>
      <c r="N543" s="109">
        <f t="shared" si="1366"/>
        <v>35963.600000000006</v>
      </c>
      <c r="O543" s="375">
        <f t="shared" si="1367"/>
        <v>35963.600000000006</v>
      </c>
      <c r="P543" s="109">
        <f t="shared" si="1368"/>
        <v>35953.600000000006</v>
      </c>
      <c r="Q543" s="375">
        <f t="shared" si="1369"/>
        <v>35953.600000000006</v>
      </c>
      <c r="R543" s="109">
        <f t="shared" si="1370"/>
        <v>35923.600000000006</v>
      </c>
      <c r="S543" s="375">
        <f t="shared" si="1371"/>
        <v>35923.600000000006</v>
      </c>
      <c r="T543" s="109">
        <f t="shared" si="1372"/>
        <v>35883.600000000006</v>
      </c>
      <c r="U543" s="375">
        <f t="shared" si="1373"/>
        <v>35883.600000000006</v>
      </c>
      <c r="V543" s="109">
        <f t="shared" si="1374"/>
        <v>35833.600000000006</v>
      </c>
      <c r="W543" s="375">
        <f t="shared" si="1375"/>
        <v>35833.600000000006</v>
      </c>
      <c r="X543" s="151"/>
      <c r="Y543" s="146"/>
      <c r="Z543" s="152"/>
      <c r="AA543" s="153"/>
      <c r="AB543" s="540">
        <v>698</v>
      </c>
    </row>
    <row r="544" spans="1:28" ht="12.6" customHeight="1" x14ac:dyDescent="0.2">
      <c r="A544" s="4"/>
      <c r="B544" s="833" t="s">
        <v>715</v>
      </c>
      <c r="C544" s="846"/>
      <c r="D544" s="846"/>
      <c r="E544" s="847"/>
      <c r="F544" s="488">
        <f>56.84*X2</f>
        <v>51610.720000000001</v>
      </c>
      <c r="G544" s="349">
        <f>+F544*$X$1</f>
        <v>51610.720000000001</v>
      </c>
      <c r="H544" s="108">
        <f t="shared" si="1360"/>
        <v>53810.720000000001</v>
      </c>
      <c r="I544" s="391">
        <f t="shared" si="1361"/>
        <v>53810.720000000001</v>
      </c>
      <c r="J544" s="108">
        <f t="shared" si="1362"/>
        <v>52110.720000000001</v>
      </c>
      <c r="K544" s="391">
        <f t="shared" si="1363"/>
        <v>52110.720000000001</v>
      </c>
      <c r="L544" s="108">
        <f t="shared" si="1364"/>
        <v>52020.72</v>
      </c>
      <c r="M544" s="391">
        <f t="shared" si="1365"/>
        <v>52020.72</v>
      </c>
      <c r="N544" s="108">
        <f t="shared" si="1366"/>
        <v>51980.72</v>
      </c>
      <c r="O544" s="391">
        <f t="shared" si="1367"/>
        <v>51980.72</v>
      </c>
      <c r="P544" s="108">
        <f t="shared" si="1368"/>
        <v>51970.720000000001</v>
      </c>
      <c r="Q544" s="391">
        <f t="shared" si="1369"/>
        <v>51970.720000000001</v>
      </c>
      <c r="R544" s="108">
        <f t="shared" si="1370"/>
        <v>51940.72</v>
      </c>
      <c r="S544" s="391">
        <f t="shared" si="1371"/>
        <v>51940.72</v>
      </c>
      <c r="T544" s="108">
        <f t="shared" si="1372"/>
        <v>51900.72</v>
      </c>
      <c r="U544" s="391">
        <f t="shared" si="1373"/>
        <v>51900.72</v>
      </c>
      <c r="V544" s="108">
        <f t="shared" si="1374"/>
        <v>51850.720000000001</v>
      </c>
      <c r="W544" s="391">
        <f t="shared" si="1375"/>
        <v>51850.720000000001</v>
      </c>
      <c r="X544" s="151"/>
      <c r="Y544" s="146"/>
      <c r="Z544" s="152"/>
      <c r="AA544" s="153"/>
      <c r="AB544" s="540">
        <v>710</v>
      </c>
    </row>
    <row r="545" spans="1:34" ht="12.6" customHeight="1" x14ac:dyDescent="0.2">
      <c r="A545" s="4"/>
      <c r="B545" s="687" t="s">
        <v>684</v>
      </c>
      <c r="C545" s="688"/>
      <c r="D545" s="688"/>
      <c r="E545" s="689"/>
      <c r="F545" s="487">
        <f>65.703*X2</f>
        <v>59658.324000000001</v>
      </c>
      <c r="G545" s="348">
        <f t="shared" ref="G545" si="1378">+F545*$X$1</f>
        <v>59658.324000000001</v>
      </c>
      <c r="H545" s="109">
        <f t="shared" si="1360"/>
        <v>61858.324000000001</v>
      </c>
      <c r="I545" s="375">
        <f t="shared" si="1361"/>
        <v>61858.324000000001</v>
      </c>
      <c r="J545" s="109">
        <f t="shared" si="1362"/>
        <v>60158.324000000001</v>
      </c>
      <c r="K545" s="375">
        <f t="shared" si="1363"/>
        <v>60158.324000000001</v>
      </c>
      <c r="L545" s="109">
        <f t="shared" si="1364"/>
        <v>60068.324000000001</v>
      </c>
      <c r="M545" s="375">
        <f t="shared" si="1365"/>
        <v>60068.324000000001</v>
      </c>
      <c r="N545" s="109">
        <f t="shared" si="1366"/>
        <v>60028.324000000001</v>
      </c>
      <c r="O545" s="375">
        <f t="shared" si="1367"/>
        <v>60028.324000000001</v>
      </c>
      <c r="P545" s="109">
        <f t="shared" si="1368"/>
        <v>60018.324000000001</v>
      </c>
      <c r="Q545" s="375">
        <f t="shared" si="1369"/>
        <v>60018.324000000001</v>
      </c>
      <c r="R545" s="109">
        <f t="shared" si="1370"/>
        <v>59988.324000000001</v>
      </c>
      <c r="S545" s="375">
        <f t="shared" si="1371"/>
        <v>59988.324000000001</v>
      </c>
      <c r="T545" s="109">
        <f t="shared" si="1372"/>
        <v>59948.324000000001</v>
      </c>
      <c r="U545" s="375">
        <f t="shared" si="1373"/>
        <v>59948.324000000001</v>
      </c>
      <c r="V545" s="109">
        <f t="shared" si="1374"/>
        <v>59898.324000000001</v>
      </c>
      <c r="W545" s="375">
        <f t="shared" si="1375"/>
        <v>59898.324000000001</v>
      </c>
      <c r="X545" s="151"/>
      <c r="Y545" s="146"/>
      <c r="Z545" s="152"/>
      <c r="AA545" s="153"/>
      <c r="AB545" s="540">
        <v>711</v>
      </c>
    </row>
    <row r="546" spans="1:34" ht="12.6" customHeight="1" x14ac:dyDescent="0.2">
      <c r="A546" s="4"/>
      <c r="B546" s="833" t="s">
        <v>718</v>
      </c>
      <c r="C546" s="846"/>
      <c r="D546" s="846"/>
      <c r="E546" s="847"/>
      <c r="F546" s="488">
        <f>62.17*X2</f>
        <v>56450.36</v>
      </c>
      <c r="G546" s="349">
        <f t="shared" ref="G546:G554" si="1379">+F546*$X$1</f>
        <v>56450.36</v>
      </c>
      <c r="H546" s="108">
        <f t="shared" si="1360"/>
        <v>58650.36</v>
      </c>
      <c r="I546" s="391">
        <f t="shared" si="1361"/>
        <v>58650.36</v>
      </c>
      <c r="J546" s="108">
        <f t="shared" si="1362"/>
        <v>56950.36</v>
      </c>
      <c r="K546" s="391">
        <f t="shared" si="1363"/>
        <v>56950.36</v>
      </c>
      <c r="L546" s="108">
        <f t="shared" si="1364"/>
        <v>56860.36</v>
      </c>
      <c r="M546" s="391">
        <f t="shared" si="1365"/>
        <v>56860.36</v>
      </c>
      <c r="N546" s="108">
        <f t="shared" si="1366"/>
        <v>56820.36</v>
      </c>
      <c r="O546" s="391">
        <f t="shared" si="1367"/>
        <v>56820.36</v>
      </c>
      <c r="P546" s="108">
        <f t="shared" si="1368"/>
        <v>56810.36</v>
      </c>
      <c r="Q546" s="391">
        <f t="shared" si="1369"/>
        <v>56810.36</v>
      </c>
      <c r="R546" s="108">
        <f t="shared" si="1370"/>
        <v>56780.36</v>
      </c>
      <c r="S546" s="391">
        <f t="shared" si="1371"/>
        <v>56780.36</v>
      </c>
      <c r="T546" s="108">
        <f t="shared" si="1372"/>
        <v>56740.36</v>
      </c>
      <c r="U546" s="391">
        <f t="shared" si="1373"/>
        <v>56740.36</v>
      </c>
      <c r="V546" s="108">
        <f t="shared" si="1374"/>
        <v>56690.36</v>
      </c>
      <c r="W546" s="391">
        <f t="shared" si="1375"/>
        <v>56690.36</v>
      </c>
      <c r="X546" s="151"/>
      <c r="Y546" s="146"/>
      <c r="Z546" s="152"/>
      <c r="AA546" s="153"/>
      <c r="AB546" s="540">
        <v>714</v>
      </c>
    </row>
    <row r="547" spans="1:34" ht="12.6" customHeight="1" x14ac:dyDescent="0.2">
      <c r="A547" s="4"/>
      <c r="B547" s="841" t="s">
        <v>891</v>
      </c>
      <c r="C547" s="842"/>
      <c r="D547" s="842"/>
      <c r="E547" s="843"/>
      <c r="F547" s="487">
        <f>15.72*X2</f>
        <v>14273.76</v>
      </c>
      <c r="G547" s="348">
        <f t="shared" ref="G547" si="1380">+F547*$X$1</f>
        <v>14273.76</v>
      </c>
      <c r="H547" s="109">
        <f t="shared" ref="H547" si="1381">F547+2200</f>
        <v>16473.760000000002</v>
      </c>
      <c r="I547" s="375">
        <f t="shared" ref="I547" si="1382">+H547*$X$1</f>
        <v>16473.760000000002</v>
      </c>
      <c r="J547" s="109">
        <f t="shared" ref="J547" si="1383">F547+500</f>
        <v>14773.76</v>
      </c>
      <c r="K547" s="375">
        <f t="shared" ref="K547" si="1384">+J547*$X$1</f>
        <v>14773.76</v>
      </c>
      <c r="L547" s="109">
        <f t="shared" ref="L547" si="1385">F547+410</f>
        <v>14683.76</v>
      </c>
      <c r="M547" s="375">
        <f t="shared" ref="M547" si="1386">+L547*$X$1</f>
        <v>14683.76</v>
      </c>
      <c r="N547" s="109">
        <f t="shared" ref="N547" si="1387">F547+370</f>
        <v>14643.76</v>
      </c>
      <c r="O547" s="375">
        <f t="shared" ref="O547" si="1388">+N547*$X$1</f>
        <v>14643.76</v>
      </c>
      <c r="P547" s="109">
        <f t="shared" ref="P547" si="1389">F547+360</f>
        <v>14633.76</v>
      </c>
      <c r="Q547" s="375">
        <f t="shared" ref="Q547" si="1390">+P547*$X$1</f>
        <v>14633.76</v>
      </c>
      <c r="R547" s="109">
        <f t="shared" ref="R547" si="1391">F547+330</f>
        <v>14603.76</v>
      </c>
      <c r="S547" s="375">
        <f t="shared" ref="S547" si="1392">+R547*$X$1</f>
        <v>14603.76</v>
      </c>
      <c r="T547" s="109">
        <f t="shared" ref="T547" si="1393">F547+290</f>
        <v>14563.76</v>
      </c>
      <c r="U547" s="375">
        <f t="shared" ref="U547" si="1394">+T547*$X$1</f>
        <v>14563.76</v>
      </c>
      <c r="V547" s="109">
        <f t="shared" ref="V547" si="1395">F547+240</f>
        <v>14513.76</v>
      </c>
      <c r="W547" s="375">
        <f t="shared" ref="W547" si="1396">+V547*$X$1</f>
        <v>14513.76</v>
      </c>
      <c r="X547" s="151"/>
      <c r="Y547" s="146"/>
      <c r="Z547" s="152"/>
      <c r="AA547" s="153"/>
      <c r="AB547" s="540">
        <v>716</v>
      </c>
    </row>
    <row r="548" spans="1:34" ht="12.6" customHeight="1" x14ac:dyDescent="0.2">
      <c r="A548" s="4"/>
      <c r="B548" s="841" t="s">
        <v>893</v>
      </c>
      <c r="C548" s="842"/>
      <c r="D548" s="842"/>
      <c r="E548" s="843"/>
      <c r="F548" s="488">
        <f>83.8*X2</f>
        <v>76090.399999999994</v>
      </c>
      <c r="G548" s="349">
        <f t="shared" ref="G548" si="1397">+F548*$X$1</f>
        <v>76090.399999999994</v>
      </c>
      <c r="H548" s="108">
        <f t="shared" ref="H548" si="1398">F548+2200</f>
        <v>78290.399999999994</v>
      </c>
      <c r="I548" s="391">
        <f t="shared" ref="I548" si="1399">+H548*$X$1</f>
        <v>78290.399999999994</v>
      </c>
      <c r="J548" s="108">
        <f t="shared" ref="J548" si="1400">F548+500</f>
        <v>76590.399999999994</v>
      </c>
      <c r="K548" s="391">
        <f t="shared" ref="K548" si="1401">+J548*$X$1</f>
        <v>76590.399999999994</v>
      </c>
      <c r="L548" s="108">
        <f t="shared" ref="L548" si="1402">F548+410</f>
        <v>76500.399999999994</v>
      </c>
      <c r="M548" s="391">
        <f t="shared" ref="M548" si="1403">+L548*$X$1</f>
        <v>76500.399999999994</v>
      </c>
      <c r="N548" s="108">
        <f t="shared" ref="N548" si="1404">F548+370</f>
        <v>76460.399999999994</v>
      </c>
      <c r="O548" s="391">
        <f t="shared" ref="O548" si="1405">+N548*$X$1</f>
        <v>76460.399999999994</v>
      </c>
      <c r="P548" s="108">
        <f t="shared" ref="P548" si="1406">F548+360</f>
        <v>76450.399999999994</v>
      </c>
      <c r="Q548" s="391">
        <f t="shared" ref="Q548" si="1407">+P548*$X$1</f>
        <v>76450.399999999994</v>
      </c>
      <c r="R548" s="108">
        <f t="shared" ref="R548" si="1408">F548+330</f>
        <v>76420.399999999994</v>
      </c>
      <c r="S548" s="391">
        <f t="shared" ref="S548" si="1409">+R548*$X$1</f>
        <v>76420.399999999994</v>
      </c>
      <c r="T548" s="108">
        <f t="shared" ref="T548" si="1410">F548+290</f>
        <v>76380.399999999994</v>
      </c>
      <c r="U548" s="391">
        <f t="shared" ref="U548" si="1411">+T548*$X$1</f>
        <v>76380.399999999994</v>
      </c>
      <c r="V548" s="108">
        <f t="shared" ref="V548" si="1412">F548+240</f>
        <v>76330.399999999994</v>
      </c>
      <c r="W548" s="391">
        <f t="shared" ref="W548" si="1413">+V548*$X$1</f>
        <v>76330.399999999994</v>
      </c>
      <c r="X548" s="151"/>
      <c r="Y548" s="146"/>
      <c r="Z548" s="152"/>
      <c r="AA548" s="153"/>
      <c r="AB548" s="540">
        <v>717</v>
      </c>
    </row>
    <row r="549" spans="1:34" ht="12.6" customHeight="1" x14ac:dyDescent="0.2">
      <c r="A549" s="4"/>
      <c r="B549" s="841" t="s">
        <v>892</v>
      </c>
      <c r="C549" s="842"/>
      <c r="D549" s="842"/>
      <c r="E549" s="843"/>
      <c r="F549" s="487">
        <f>100.9*X2</f>
        <v>91617.200000000012</v>
      </c>
      <c r="G549" s="348">
        <f t="shared" ref="G549" si="1414">+F549*$X$1</f>
        <v>91617.200000000012</v>
      </c>
      <c r="H549" s="109">
        <f t="shared" ref="H549" si="1415">F549+2200</f>
        <v>93817.200000000012</v>
      </c>
      <c r="I549" s="375">
        <f t="shared" ref="I549" si="1416">+H549*$X$1</f>
        <v>93817.200000000012</v>
      </c>
      <c r="J549" s="109">
        <f t="shared" ref="J549" si="1417">F549+500</f>
        <v>92117.200000000012</v>
      </c>
      <c r="K549" s="375">
        <f t="shared" ref="K549" si="1418">+J549*$X$1</f>
        <v>92117.200000000012</v>
      </c>
      <c r="L549" s="109">
        <f t="shared" ref="L549" si="1419">F549+410</f>
        <v>92027.200000000012</v>
      </c>
      <c r="M549" s="375">
        <f t="shared" ref="M549" si="1420">+L549*$X$1</f>
        <v>92027.200000000012</v>
      </c>
      <c r="N549" s="109">
        <f t="shared" ref="N549" si="1421">F549+370</f>
        <v>91987.200000000012</v>
      </c>
      <c r="O549" s="375">
        <f t="shared" ref="O549" si="1422">+N549*$X$1</f>
        <v>91987.200000000012</v>
      </c>
      <c r="P549" s="109">
        <f t="shared" ref="P549" si="1423">F549+360</f>
        <v>91977.200000000012</v>
      </c>
      <c r="Q549" s="375">
        <f t="shared" ref="Q549" si="1424">+P549*$X$1</f>
        <v>91977.200000000012</v>
      </c>
      <c r="R549" s="109">
        <f t="shared" ref="R549" si="1425">F549+330</f>
        <v>91947.200000000012</v>
      </c>
      <c r="S549" s="375">
        <f t="shared" ref="S549" si="1426">+R549*$X$1</f>
        <v>91947.200000000012</v>
      </c>
      <c r="T549" s="109">
        <f t="shared" ref="T549" si="1427">F549+290</f>
        <v>91907.200000000012</v>
      </c>
      <c r="U549" s="375">
        <f t="shared" ref="U549" si="1428">+T549*$X$1</f>
        <v>91907.200000000012</v>
      </c>
      <c r="V549" s="109">
        <f t="shared" ref="V549" si="1429">F549+240</f>
        <v>91857.200000000012</v>
      </c>
      <c r="W549" s="375">
        <f t="shared" ref="W549" si="1430">+V549*$X$1</f>
        <v>91857.200000000012</v>
      </c>
      <c r="X549" s="151"/>
      <c r="Y549" s="146"/>
      <c r="Z549" s="152"/>
      <c r="AA549" s="153"/>
      <c r="AB549" s="540">
        <v>718</v>
      </c>
    </row>
    <row r="550" spans="1:34" ht="12.6" customHeight="1" x14ac:dyDescent="0.2">
      <c r="A550" s="4"/>
      <c r="B550" s="833" t="s">
        <v>890</v>
      </c>
      <c r="C550" s="846"/>
      <c r="D550" s="846"/>
      <c r="E550" s="847"/>
      <c r="F550" s="488">
        <f>14.4*X2</f>
        <v>13075.2</v>
      </c>
      <c r="G550" s="349">
        <f t="shared" ref="G550" si="1431">+F550*$X$1</f>
        <v>13075.2</v>
      </c>
      <c r="H550" s="108">
        <f t="shared" si="1360"/>
        <v>15275.2</v>
      </c>
      <c r="I550" s="391">
        <f t="shared" si="1361"/>
        <v>15275.2</v>
      </c>
      <c r="J550" s="108">
        <f t="shared" si="1362"/>
        <v>13575.2</v>
      </c>
      <c r="K550" s="391">
        <f t="shared" si="1363"/>
        <v>13575.2</v>
      </c>
      <c r="L550" s="108">
        <f t="shared" si="1364"/>
        <v>13485.2</v>
      </c>
      <c r="M550" s="391">
        <f t="shared" si="1365"/>
        <v>13485.2</v>
      </c>
      <c r="N550" s="108">
        <f t="shared" si="1366"/>
        <v>13445.2</v>
      </c>
      <c r="O550" s="391">
        <f t="shared" si="1367"/>
        <v>13445.2</v>
      </c>
      <c r="P550" s="108">
        <f t="shared" si="1368"/>
        <v>13435.2</v>
      </c>
      <c r="Q550" s="391">
        <f t="shared" si="1369"/>
        <v>13435.2</v>
      </c>
      <c r="R550" s="108">
        <f t="shared" si="1370"/>
        <v>13405.2</v>
      </c>
      <c r="S550" s="391">
        <f t="shared" si="1371"/>
        <v>13405.2</v>
      </c>
      <c r="T550" s="108">
        <f t="shared" si="1372"/>
        <v>13365.2</v>
      </c>
      <c r="U550" s="391">
        <f t="shared" si="1373"/>
        <v>13365.2</v>
      </c>
      <c r="V550" s="108">
        <f t="shared" si="1374"/>
        <v>13315.2</v>
      </c>
      <c r="W550" s="391">
        <f t="shared" si="1375"/>
        <v>13315.2</v>
      </c>
      <c r="X550" s="151"/>
      <c r="Y550" s="146"/>
      <c r="Z550" s="152"/>
      <c r="AA550" s="153"/>
      <c r="AB550" s="540">
        <v>720</v>
      </c>
    </row>
    <row r="551" spans="1:34" ht="12.6" customHeight="1" x14ac:dyDescent="0.2">
      <c r="A551" s="4"/>
      <c r="B551" s="687" t="s">
        <v>889</v>
      </c>
      <c r="C551" s="688"/>
      <c r="D551" s="688"/>
      <c r="E551" s="689"/>
      <c r="F551" s="487">
        <f>40.98*X2</f>
        <v>37209.839999999997</v>
      </c>
      <c r="G551" s="348">
        <f t="shared" ref="G551" si="1432">+F551*$X$1</f>
        <v>37209.839999999997</v>
      </c>
      <c r="H551" s="109">
        <f t="shared" ref="H551" si="1433">F551+2200</f>
        <v>39409.839999999997</v>
      </c>
      <c r="I551" s="375">
        <f t="shared" ref="I551" si="1434">+H551*$X$1</f>
        <v>39409.839999999997</v>
      </c>
      <c r="J551" s="109">
        <f t="shared" ref="J551" si="1435">F551+500</f>
        <v>37709.839999999997</v>
      </c>
      <c r="K551" s="375">
        <f t="shared" ref="K551" si="1436">+J551*$X$1</f>
        <v>37709.839999999997</v>
      </c>
      <c r="L551" s="109">
        <f t="shared" ref="L551" si="1437">F551+410</f>
        <v>37619.839999999997</v>
      </c>
      <c r="M551" s="375">
        <f t="shared" ref="M551" si="1438">+L551*$X$1</f>
        <v>37619.839999999997</v>
      </c>
      <c r="N551" s="109">
        <f t="shared" ref="N551" si="1439">F551+370</f>
        <v>37579.839999999997</v>
      </c>
      <c r="O551" s="375">
        <f t="shared" ref="O551" si="1440">+N551*$X$1</f>
        <v>37579.839999999997</v>
      </c>
      <c r="P551" s="109">
        <f t="shared" ref="P551" si="1441">F551+360</f>
        <v>37569.839999999997</v>
      </c>
      <c r="Q551" s="375">
        <f t="shared" ref="Q551" si="1442">+P551*$X$1</f>
        <v>37569.839999999997</v>
      </c>
      <c r="R551" s="109">
        <f t="shared" ref="R551" si="1443">F551+330</f>
        <v>37539.839999999997</v>
      </c>
      <c r="S551" s="375">
        <f t="shared" ref="S551" si="1444">+R551*$X$1</f>
        <v>37539.839999999997</v>
      </c>
      <c r="T551" s="109">
        <f t="shared" ref="T551" si="1445">F551+290</f>
        <v>37499.839999999997</v>
      </c>
      <c r="U551" s="375">
        <f t="shared" ref="U551" si="1446">+T551*$X$1</f>
        <v>37499.839999999997</v>
      </c>
      <c r="V551" s="109">
        <f t="shared" ref="V551" si="1447">F551+240</f>
        <v>37449.839999999997</v>
      </c>
      <c r="W551" s="375">
        <f t="shared" ref="W551" si="1448">+V551*$X$1</f>
        <v>37449.839999999997</v>
      </c>
      <c r="X551" s="151"/>
      <c r="Y551" s="146"/>
      <c r="Z551" s="152"/>
      <c r="AA551" s="153"/>
      <c r="AB551" s="540">
        <v>721</v>
      </c>
    </row>
    <row r="552" spans="1:34" ht="12.6" customHeight="1" x14ac:dyDescent="0.2">
      <c r="A552" s="4"/>
      <c r="B552" s="833" t="s">
        <v>742</v>
      </c>
      <c r="C552" s="846"/>
      <c r="D552" s="846"/>
      <c r="E552" s="847"/>
      <c r="F552" s="488">
        <f>5.1*X2</f>
        <v>4630.7999999999993</v>
      </c>
      <c r="G552" s="349">
        <f t="shared" si="1379"/>
        <v>4630.7999999999993</v>
      </c>
      <c r="H552" s="108">
        <f t="shared" ref="H552:H554" si="1449">F552+2200</f>
        <v>6830.7999999999993</v>
      </c>
      <c r="I552" s="391">
        <f t="shared" ref="I552:I554" si="1450">+H552*$X$1</f>
        <v>6830.7999999999993</v>
      </c>
      <c r="J552" s="108">
        <f t="shared" ref="J552:J554" si="1451">F552+500</f>
        <v>5130.7999999999993</v>
      </c>
      <c r="K552" s="391">
        <f t="shared" ref="K552:K554" si="1452">+J552*$X$1</f>
        <v>5130.7999999999993</v>
      </c>
      <c r="L552" s="108">
        <f t="shared" ref="L552:L554" si="1453">F552+410</f>
        <v>5040.7999999999993</v>
      </c>
      <c r="M552" s="391">
        <f t="shared" ref="M552:M554" si="1454">+L552*$X$1</f>
        <v>5040.7999999999993</v>
      </c>
      <c r="N552" s="108">
        <f t="shared" ref="N552:N554" si="1455">F552+370</f>
        <v>5000.7999999999993</v>
      </c>
      <c r="O552" s="391">
        <f t="shared" ref="O552:O554" si="1456">+N552*$X$1</f>
        <v>5000.7999999999993</v>
      </c>
      <c r="P552" s="108">
        <f t="shared" ref="P552:P554" si="1457">F552+360</f>
        <v>4990.7999999999993</v>
      </c>
      <c r="Q552" s="391">
        <f t="shared" ref="Q552:Q554" si="1458">+P552*$X$1</f>
        <v>4990.7999999999993</v>
      </c>
      <c r="R552" s="108">
        <f t="shared" ref="R552:R554" si="1459">F552+330</f>
        <v>4960.7999999999993</v>
      </c>
      <c r="S552" s="391">
        <f t="shared" ref="S552:S554" si="1460">+R552*$X$1</f>
        <v>4960.7999999999993</v>
      </c>
      <c r="T552" s="108">
        <f t="shared" ref="T552:T554" si="1461">F552+290</f>
        <v>4920.7999999999993</v>
      </c>
      <c r="U552" s="391">
        <f t="shared" ref="U552:U554" si="1462">+T552*$X$1</f>
        <v>4920.7999999999993</v>
      </c>
      <c r="V552" s="108">
        <f t="shared" ref="V552:V554" si="1463">F552+240</f>
        <v>4870.7999999999993</v>
      </c>
      <c r="W552" s="391">
        <f t="shared" ref="W552:W554" si="1464">+V552*$X$1</f>
        <v>4870.7999999999993</v>
      </c>
      <c r="X552" s="151"/>
      <c r="Y552" s="146"/>
      <c r="Z552" s="152"/>
      <c r="AA552" s="153"/>
      <c r="AB552" s="209">
        <v>741</v>
      </c>
    </row>
    <row r="553" spans="1:34" ht="12.6" customHeight="1" x14ac:dyDescent="0.2">
      <c r="A553" s="4"/>
      <c r="B553" s="687" t="s">
        <v>752</v>
      </c>
      <c r="C553" s="688"/>
      <c r="D553" s="688"/>
      <c r="E553" s="689"/>
      <c r="F553" s="487">
        <f>29.2*X2</f>
        <v>26513.599999999999</v>
      </c>
      <c r="G553" s="348">
        <f t="shared" si="1379"/>
        <v>26513.599999999999</v>
      </c>
      <c r="H553" s="109">
        <f t="shared" si="1449"/>
        <v>28713.599999999999</v>
      </c>
      <c r="I553" s="375">
        <f t="shared" si="1450"/>
        <v>28713.599999999999</v>
      </c>
      <c r="J553" s="109">
        <f t="shared" si="1451"/>
        <v>27013.599999999999</v>
      </c>
      <c r="K553" s="375">
        <f t="shared" si="1452"/>
        <v>27013.599999999999</v>
      </c>
      <c r="L553" s="109">
        <f t="shared" si="1453"/>
        <v>26923.599999999999</v>
      </c>
      <c r="M553" s="375">
        <f t="shared" si="1454"/>
        <v>26923.599999999999</v>
      </c>
      <c r="N553" s="109">
        <f t="shared" si="1455"/>
        <v>26883.599999999999</v>
      </c>
      <c r="O553" s="375">
        <f t="shared" si="1456"/>
        <v>26883.599999999999</v>
      </c>
      <c r="P553" s="109">
        <f t="shared" si="1457"/>
        <v>26873.599999999999</v>
      </c>
      <c r="Q553" s="375">
        <f t="shared" si="1458"/>
        <v>26873.599999999999</v>
      </c>
      <c r="R553" s="109">
        <f t="shared" si="1459"/>
        <v>26843.599999999999</v>
      </c>
      <c r="S553" s="375">
        <f t="shared" si="1460"/>
        <v>26843.599999999999</v>
      </c>
      <c r="T553" s="109">
        <f t="shared" si="1461"/>
        <v>26803.599999999999</v>
      </c>
      <c r="U553" s="375">
        <f t="shared" si="1462"/>
        <v>26803.599999999999</v>
      </c>
      <c r="V553" s="109">
        <f t="shared" si="1463"/>
        <v>26753.599999999999</v>
      </c>
      <c r="W553" s="375">
        <f t="shared" si="1464"/>
        <v>26753.599999999999</v>
      </c>
      <c r="X553" s="151"/>
      <c r="Y553" s="146"/>
      <c r="Z553" s="152"/>
      <c r="AA553" s="153"/>
      <c r="AB553" s="209">
        <v>742</v>
      </c>
    </row>
    <row r="554" spans="1:34" ht="12.6" customHeight="1" x14ac:dyDescent="0.2">
      <c r="A554" s="4"/>
      <c r="B554" s="833" t="s">
        <v>753</v>
      </c>
      <c r="C554" s="846"/>
      <c r="D554" s="846"/>
      <c r="E554" s="847"/>
      <c r="F554" s="488">
        <f>29.74*X2</f>
        <v>27003.919999999998</v>
      </c>
      <c r="G554" s="349">
        <f t="shared" si="1379"/>
        <v>27003.919999999998</v>
      </c>
      <c r="H554" s="108">
        <f t="shared" si="1449"/>
        <v>29203.919999999998</v>
      </c>
      <c r="I554" s="391">
        <f t="shared" si="1450"/>
        <v>29203.919999999998</v>
      </c>
      <c r="J554" s="108">
        <f t="shared" si="1451"/>
        <v>27503.919999999998</v>
      </c>
      <c r="K554" s="391">
        <f t="shared" si="1452"/>
        <v>27503.919999999998</v>
      </c>
      <c r="L554" s="108">
        <f t="shared" si="1453"/>
        <v>27413.919999999998</v>
      </c>
      <c r="M554" s="391">
        <f t="shared" si="1454"/>
        <v>27413.919999999998</v>
      </c>
      <c r="N554" s="108">
        <f t="shared" si="1455"/>
        <v>27373.919999999998</v>
      </c>
      <c r="O554" s="391">
        <f t="shared" si="1456"/>
        <v>27373.919999999998</v>
      </c>
      <c r="P554" s="108">
        <f t="shared" si="1457"/>
        <v>27363.919999999998</v>
      </c>
      <c r="Q554" s="391">
        <f t="shared" si="1458"/>
        <v>27363.919999999998</v>
      </c>
      <c r="R554" s="108">
        <f t="shared" si="1459"/>
        <v>27333.919999999998</v>
      </c>
      <c r="S554" s="391">
        <f t="shared" si="1460"/>
        <v>27333.919999999998</v>
      </c>
      <c r="T554" s="108">
        <f t="shared" si="1461"/>
        <v>27293.919999999998</v>
      </c>
      <c r="U554" s="391">
        <f t="shared" si="1462"/>
        <v>27293.919999999998</v>
      </c>
      <c r="V554" s="108">
        <f t="shared" si="1463"/>
        <v>27243.919999999998</v>
      </c>
      <c r="W554" s="391">
        <f t="shared" si="1464"/>
        <v>27243.919999999998</v>
      </c>
      <c r="X554" s="151"/>
      <c r="Y554" s="146"/>
      <c r="Z554" s="152"/>
      <c r="AA554" s="153"/>
      <c r="AB554" s="209">
        <v>743</v>
      </c>
    </row>
    <row r="555" spans="1:34" ht="12.6" customHeight="1" x14ac:dyDescent="0.2">
      <c r="A555" s="4"/>
      <c r="B555" s="841" t="s">
        <v>856</v>
      </c>
      <c r="C555" s="842"/>
      <c r="D555" s="842"/>
      <c r="E555" s="843"/>
      <c r="F555" s="487">
        <f>27.3*X2</f>
        <v>24788.400000000001</v>
      </c>
      <c r="G555" s="348">
        <f t="shared" ref="G555" si="1465">+F555*$X$1</f>
        <v>24788.400000000001</v>
      </c>
      <c r="H555" s="109">
        <f t="shared" ref="H555" si="1466">F555+2200</f>
        <v>26988.400000000001</v>
      </c>
      <c r="I555" s="375">
        <f t="shared" ref="I555" si="1467">+H555*$X$1</f>
        <v>26988.400000000001</v>
      </c>
      <c r="J555" s="109">
        <f t="shared" ref="J555" si="1468">F555+500</f>
        <v>25288.400000000001</v>
      </c>
      <c r="K555" s="375">
        <f t="shared" ref="K555" si="1469">+J555*$X$1</f>
        <v>25288.400000000001</v>
      </c>
      <c r="L555" s="109">
        <f t="shared" ref="L555" si="1470">F555+410</f>
        <v>25198.400000000001</v>
      </c>
      <c r="M555" s="375">
        <f t="shared" ref="M555" si="1471">+L555*$X$1</f>
        <v>25198.400000000001</v>
      </c>
      <c r="N555" s="109">
        <f t="shared" ref="N555" si="1472">F555+370</f>
        <v>25158.400000000001</v>
      </c>
      <c r="O555" s="375">
        <f t="shared" ref="O555" si="1473">+N555*$X$1</f>
        <v>25158.400000000001</v>
      </c>
      <c r="P555" s="109">
        <f t="shared" ref="P555" si="1474">F555+360</f>
        <v>25148.400000000001</v>
      </c>
      <c r="Q555" s="375">
        <f t="shared" ref="Q555" si="1475">+P555*$X$1</f>
        <v>25148.400000000001</v>
      </c>
      <c r="R555" s="109">
        <f t="shared" ref="R555" si="1476">F555+330</f>
        <v>25118.400000000001</v>
      </c>
      <c r="S555" s="375">
        <f t="shared" ref="S555" si="1477">+R555*$X$1</f>
        <v>25118.400000000001</v>
      </c>
      <c r="T555" s="109">
        <f t="shared" ref="T555" si="1478">F555+290</f>
        <v>25078.400000000001</v>
      </c>
      <c r="U555" s="375">
        <f t="shared" ref="U555" si="1479">+T555*$X$1</f>
        <v>25078.400000000001</v>
      </c>
      <c r="V555" s="109">
        <f t="shared" ref="V555" si="1480">F555+240</f>
        <v>25028.400000000001</v>
      </c>
      <c r="W555" s="375">
        <f t="shared" ref="W555" si="1481">+V555*$X$1</f>
        <v>25028.400000000001</v>
      </c>
      <c r="X555" s="151"/>
      <c r="Y555" s="146"/>
      <c r="Z555" s="152"/>
      <c r="AA555" s="153"/>
      <c r="AB555" s="209"/>
    </row>
    <row r="556" spans="1:34" ht="12.6" customHeight="1" x14ac:dyDescent="0.2">
      <c r="A556" s="4"/>
      <c r="B556" s="851" t="s">
        <v>721</v>
      </c>
      <c r="C556" s="852"/>
      <c r="D556" s="852"/>
      <c r="E556" s="852"/>
      <c r="F556" s="509"/>
      <c r="G556" s="509"/>
      <c r="H556" s="513">
        <v>1700</v>
      </c>
      <c r="I556" s="349">
        <f t="shared" ref="I556:K556" si="1482">+H556*$X$1</f>
        <v>1700</v>
      </c>
      <c r="J556" s="513">
        <v>700</v>
      </c>
      <c r="K556" s="349">
        <f t="shared" si="1482"/>
        <v>700</v>
      </c>
      <c r="L556" s="513">
        <v>600</v>
      </c>
      <c r="M556" s="349">
        <f t="shared" ref="M556" si="1483">+L556*$X$1</f>
        <v>600</v>
      </c>
      <c r="N556" s="513">
        <v>520</v>
      </c>
      <c r="O556" s="349">
        <f t="shared" ref="O556" si="1484">+N556*$X$1</f>
        <v>520</v>
      </c>
      <c r="P556" s="513">
        <v>480</v>
      </c>
      <c r="Q556" s="349">
        <f t="shared" ref="Q556" si="1485">+P556*$X$1</f>
        <v>480</v>
      </c>
      <c r="R556" s="513">
        <v>430</v>
      </c>
      <c r="S556" s="349">
        <f t="shared" ref="S556" si="1486">+R556*$X$1</f>
        <v>430</v>
      </c>
      <c r="T556" s="513">
        <v>390</v>
      </c>
      <c r="U556" s="349">
        <f t="shared" ref="U556" si="1487">+T556*$X$1</f>
        <v>390</v>
      </c>
      <c r="V556" s="513">
        <v>360</v>
      </c>
      <c r="W556" s="349">
        <f t="shared" ref="W556" si="1488">+V556*$X$1</f>
        <v>360</v>
      </c>
      <c r="X556" s="151"/>
      <c r="Y556" s="146"/>
      <c r="Z556" s="152"/>
      <c r="AA556" s="153"/>
      <c r="AB556" s="34"/>
    </row>
    <row r="557" spans="1:34" ht="10.5" customHeight="1" x14ac:dyDescent="0.2">
      <c r="A557" s="79"/>
      <c r="B557" s="116"/>
      <c r="C557" s="408"/>
      <c r="D557" s="408"/>
      <c r="E557" s="408"/>
      <c r="F557" s="409"/>
      <c r="G557" s="409"/>
      <c r="H557" s="128"/>
      <c r="I557" s="409"/>
      <c r="J557" s="128"/>
      <c r="K557" s="409"/>
      <c r="L557" s="128"/>
      <c r="M557" s="409"/>
      <c r="N557" s="128"/>
      <c r="O557" s="409"/>
      <c r="P557" s="128"/>
      <c r="Q557" s="409"/>
      <c r="R557" s="128"/>
      <c r="S557" s="409"/>
      <c r="T557" s="128"/>
      <c r="U557" s="409"/>
      <c r="V557" s="128"/>
      <c r="W557" s="409"/>
      <c r="X557" s="217"/>
      <c r="Y557" s="79"/>
      <c r="Z557" s="218"/>
      <c r="AA557" s="218"/>
      <c r="AB557" s="219"/>
    </row>
    <row r="558" spans="1:34" ht="12.6" customHeight="1" thickBot="1" x14ac:dyDescent="0.25">
      <c r="A558" s="20"/>
      <c r="B558" s="250"/>
      <c r="C558" s="66"/>
      <c r="D558" s="66"/>
      <c r="E558" s="66"/>
      <c r="F558" s="409"/>
      <c r="G558" s="409"/>
      <c r="H558" s="140"/>
      <c r="I558" s="473"/>
      <c r="J558" s="128"/>
      <c r="K558" s="473"/>
      <c r="L558" s="128"/>
      <c r="M558" s="473"/>
      <c r="N558" s="128"/>
      <c r="O558" s="473"/>
      <c r="P558" s="128"/>
      <c r="Q558" s="473"/>
      <c r="R558" s="140"/>
      <c r="S558" s="473"/>
      <c r="T558" s="140"/>
      <c r="U558" s="473"/>
      <c r="V558" s="140"/>
      <c r="W558" s="473"/>
      <c r="X558" s="217"/>
      <c r="Y558" s="474"/>
      <c r="Z558" s="474"/>
      <c r="AA558" s="474"/>
      <c r="AB558" s="219"/>
    </row>
    <row r="559" spans="1:34" ht="14.25" customHeight="1" thickBot="1" x14ac:dyDescent="0.25">
      <c r="B559" s="818" t="s">
        <v>722</v>
      </c>
      <c r="C559" s="819"/>
      <c r="D559" s="819"/>
      <c r="E559" s="819"/>
      <c r="F559" s="819"/>
      <c r="G559" s="819"/>
      <c r="H559" s="819"/>
      <c r="I559" s="819"/>
      <c r="J559" s="819"/>
      <c r="K559" s="819"/>
      <c r="L559" s="819"/>
      <c r="M559" s="819"/>
      <c r="N559" s="819"/>
      <c r="O559" s="819"/>
      <c r="P559" s="819"/>
      <c r="Q559" s="819"/>
      <c r="R559" s="819"/>
      <c r="S559" s="819"/>
      <c r="T559" s="819"/>
      <c r="U559" s="819"/>
      <c r="V559" s="819"/>
      <c r="W559" s="820"/>
      <c r="AB559" s="4"/>
      <c r="AF559" s="828" t="s">
        <v>3</v>
      </c>
      <c r="AG559" s="829"/>
      <c r="AH559" s="829"/>
    </row>
    <row r="560" spans="1:34" ht="12" customHeight="1" x14ac:dyDescent="0.2">
      <c r="B560" s="823" t="s">
        <v>11</v>
      </c>
      <c r="C560" s="825" t="s">
        <v>12</v>
      </c>
      <c r="D560" s="826"/>
      <c r="E560" s="826"/>
      <c r="F560" s="780" t="s">
        <v>309</v>
      </c>
      <c r="G560" s="780" t="s">
        <v>13</v>
      </c>
      <c r="H560" s="873" t="s">
        <v>310</v>
      </c>
      <c r="I560" s="873"/>
      <c r="J560" s="874"/>
      <c r="K560" s="874"/>
      <c r="L560" s="874"/>
      <c r="M560" s="874"/>
      <c r="N560" s="874"/>
      <c r="O560" s="874"/>
      <c r="P560" s="874"/>
      <c r="Q560" s="874"/>
      <c r="R560" s="874"/>
      <c r="S560" s="874"/>
      <c r="T560" s="874"/>
      <c r="U560" s="874"/>
      <c r="V560" s="874"/>
      <c r="W560" s="875"/>
      <c r="X560" s="770" t="s">
        <v>15</v>
      </c>
      <c r="Y560" s="771"/>
      <c r="Z560" s="771"/>
      <c r="AA560" s="771"/>
      <c r="AB560" s="839" t="s">
        <v>16</v>
      </c>
      <c r="AF560" s="828"/>
      <c r="AG560" s="829"/>
      <c r="AH560" s="829"/>
    </row>
    <row r="561" spans="1:28" ht="11.25" customHeight="1" thickBot="1" x14ac:dyDescent="0.25">
      <c r="B561" s="824"/>
      <c r="C561" s="827"/>
      <c r="D561" s="827"/>
      <c r="E561" s="827"/>
      <c r="F561" s="781"/>
      <c r="G561" s="781"/>
      <c r="H561" s="297"/>
      <c r="I561" s="295" t="s">
        <v>311</v>
      </c>
      <c r="J561" s="297"/>
      <c r="K561" s="295" t="s">
        <v>312</v>
      </c>
      <c r="L561" s="297"/>
      <c r="M561" s="295" t="s">
        <v>676</v>
      </c>
      <c r="N561" s="297"/>
      <c r="O561" s="295" t="s">
        <v>18</v>
      </c>
      <c r="P561" s="297"/>
      <c r="Q561" s="295" t="s">
        <v>19</v>
      </c>
      <c r="R561" s="297"/>
      <c r="S561" s="295" t="s">
        <v>20</v>
      </c>
      <c r="T561" s="297"/>
      <c r="U561" s="295" t="s">
        <v>314</v>
      </c>
      <c r="V561" s="297"/>
      <c r="W561" s="296" t="s">
        <v>21</v>
      </c>
      <c r="X561" s="772"/>
      <c r="Y561" s="773"/>
      <c r="Z561" s="773"/>
      <c r="AA561" s="773"/>
      <c r="AB561" s="840"/>
    </row>
    <row r="562" spans="1:28" ht="12.6" customHeight="1" x14ac:dyDescent="0.2">
      <c r="A562" s="20"/>
      <c r="B562" s="700" t="s">
        <v>653</v>
      </c>
      <c r="C562" s="701"/>
      <c r="D562" s="701"/>
      <c r="E562" s="702"/>
      <c r="F562" s="391">
        <v>2625</v>
      </c>
      <c r="G562" s="374"/>
      <c r="H562" s="611"/>
      <c r="I562" s="349"/>
      <c r="J562" s="611">
        <f>F562+290</f>
        <v>2915</v>
      </c>
      <c r="K562" s="349">
        <f t="shared" ref="K562" si="1489">+J562*$X$1</f>
        <v>2915</v>
      </c>
      <c r="L562" s="611">
        <f t="shared" ref="L562:L573" si="1490">F562+240</f>
        <v>2865</v>
      </c>
      <c r="M562" s="349">
        <f t="shared" ref="M562" si="1491">+L562*$X$1</f>
        <v>2865</v>
      </c>
      <c r="N562" s="611">
        <f t="shared" ref="N562:N573" si="1492">F562+190</f>
        <v>2815</v>
      </c>
      <c r="O562" s="349">
        <f t="shared" ref="O562" si="1493">+N562*$X$1</f>
        <v>2815</v>
      </c>
      <c r="P562" s="611">
        <f t="shared" ref="P562:P573" si="1494">F562+150</f>
        <v>2775</v>
      </c>
      <c r="Q562" s="349">
        <f t="shared" ref="Q562" si="1495">+P562*$X$1</f>
        <v>2775</v>
      </c>
      <c r="R562" s="611">
        <f t="shared" ref="R562:R573" si="1496">F562+130</f>
        <v>2755</v>
      </c>
      <c r="S562" s="349">
        <f t="shared" ref="S562" si="1497">+R562*$X$1</f>
        <v>2755</v>
      </c>
      <c r="T562" s="611">
        <f t="shared" ref="T562:T573" si="1498">F562+115</f>
        <v>2740</v>
      </c>
      <c r="U562" s="349">
        <f t="shared" ref="U562" si="1499">+T562*$X$1</f>
        <v>2740</v>
      </c>
      <c r="V562" s="611">
        <f t="shared" ref="V562:V573" si="1500">F562+105</f>
        <v>2730</v>
      </c>
      <c r="W562" s="349">
        <f t="shared" ref="W562" si="1501">+V562*$X$1</f>
        <v>2730</v>
      </c>
      <c r="X562" s="157"/>
      <c r="Y562" s="158"/>
      <c r="Z562" s="158"/>
      <c r="AA562" s="158"/>
      <c r="AB562" s="34"/>
    </row>
    <row r="563" spans="1:28" ht="12.6" customHeight="1" x14ac:dyDescent="0.2">
      <c r="A563" s="20"/>
      <c r="B563" s="716" t="s">
        <v>465</v>
      </c>
      <c r="C563" s="912"/>
      <c r="D563" s="912"/>
      <c r="E563" s="913"/>
      <c r="F563" s="348">
        <v>1260</v>
      </c>
      <c r="G563" s="306"/>
      <c r="H563" s="386"/>
      <c r="I563" s="348"/>
      <c r="J563" s="386"/>
      <c r="K563" s="348"/>
      <c r="L563" s="386">
        <f t="shared" si="1490"/>
        <v>1500</v>
      </c>
      <c r="M563" s="348">
        <f t="shared" ref="M563" si="1502">+L563*$X$1</f>
        <v>1500</v>
      </c>
      <c r="N563" s="386">
        <f t="shared" si="1492"/>
        <v>1450</v>
      </c>
      <c r="O563" s="348">
        <f t="shared" ref="O563" si="1503">+N563*$X$1</f>
        <v>1450</v>
      </c>
      <c r="P563" s="386">
        <f t="shared" si="1494"/>
        <v>1410</v>
      </c>
      <c r="Q563" s="348">
        <f t="shared" ref="Q563" si="1504">+P563*$X$1</f>
        <v>1410</v>
      </c>
      <c r="R563" s="386">
        <f t="shared" si="1496"/>
        <v>1390</v>
      </c>
      <c r="S563" s="348">
        <f t="shared" ref="S563" si="1505">+R563*$X$1</f>
        <v>1390</v>
      </c>
      <c r="T563" s="386">
        <f t="shared" si="1498"/>
        <v>1375</v>
      </c>
      <c r="U563" s="348">
        <f t="shared" ref="U563" si="1506">+T563*$X$1</f>
        <v>1375</v>
      </c>
      <c r="V563" s="386">
        <f t="shared" si="1500"/>
        <v>1365</v>
      </c>
      <c r="W563" s="348">
        <f t="shared" ref="W563" si="1507">+V563*$X$1</f>
        <v>1365</v>
      </c>
      <c r="X563" s="157"/>
      <c r="Y563" s="158"/>
      <c r="Z563" s="158"/>
      <c r="AA563" s="158"/>
      <c r="AB563" s="34"/>
    </row>
    <row r="564" spans="1:28" ht="12.6" customHeight="1" x14ac:dyDescent="0.2">
      <c r="A564" s="20"/>
      <c r="B564" s="700" t="s">
        <v>534</v>
      </c>
      <c r="C564" s="701"/>
      <c r="D564" s="701"/>
      <c r="E564" s="702"/>
      <c r="F564" s="391">
        <v>2226</v>
      </c>
      <c r="G564" s="374"/>
      <c r="H564" s="611">
        <f t="shared" ref="H564:H570" si="1508">F564+570</f>
        <v>2796</v>
      </c>
      <c r="I564" s="349">
        <f t="shared" ref="I564:I570" si="1509">+H564*$X$1</f>
        <v>2796</v>
      </c>
      <c r="J564" s="611">
        <f t="shared" ref="J564:J573" si="1510">F564+290</f>
        <v>2516</v>
      </c>
      <c r="K564" s="349">
        <f t="shared" ref="K564:K566" si="1511">+J564*$X$1</f>
        <v>2516</v>
      </c>
      <c r="L564" s="611">
        <f t="shared" si="1490"/>
        <v>2466</v>
      </c>
      <c r="M564" s="349">
        <f t="shared" ref="M564:M566" si="1512">+L564*$X$1</f>
        <v>2466</v>
      </c>
      <c r="N564" s="611">
        <f t="shared" si="1492"/>
        <v>2416</v>
      </c>
      <c r="O564" s="349">
        <f t="shared" ref="O564:O566" si="1513">+N564*$X$1</f>
        <v>2416</v>
      </c>
      <c r="P564" s="611">
        <f t="shared" si="1494"/>
        <v>2376</v>
      </c>
      <c r="Q564" s="349">
        <f t="shared" ref="Q564:Q566" si="1514">+P564*$X$1</f>
        <v>2376</v>
      </c>
      <c r="R564" s="611">
        <f t="shared" si="1496"/>
        <v>2356</v>
      </c>
      <c r="S564" s="349">
        <f t="shared" ref="S564:S566" si="1515">+R564*$X$1</f>
        <v>2356</v>
      </c>
      <c r="T564" s="611">
        <f t="shared" si="1498"/>
        <v>2341</v>
      </c>
      <c r="U564" s="349">
        <f t="shared" ref="U564:U566" si="1516">+T564*$X$1</f>
        <v>2341</v>
      </c>
      <c r="V564" s="611">
        <f t="shared" si="1500"/>
        <v>2331</v>
      </c>
      <c r="W564" s="349">
        <f t="shared" ref="W564:W566" si="1517">+V564*$X$1</f>
        <v>2331</v>
      </c>
      <c r="X564" s="157"/>
      <c r="Y564" s="158"/>
      <c r="Z564" s="158"/>
      <c r="AA564" s="158"/>
      <c r="AB564" s="34"/>
    </row>
    <row r="565" spans="1:28" ht="12.6" customHeight="1" x14ac:dyDescent="0.2">
      <c r="A565" s="20"/>
      <c r="B565" s="716" t="s">
        <v>315</v>
      </c>
      <c r="C565" s="717"/>
      <c r="D565" s="717"/>
      <c r="E565" s="718"/>
      <c r="F565" s="375">
        <v>4935</v>
      </c>
      <c r="G565" s="306"/>
      <c r="H565" s="386">
        <f t="shared" si="1508"/>
        <v>5505</v>
      </c>
      <c r="I565" s="348">
        <f t="shared" si="1509"/>
        <v>5505</v>
      </c>
      <c r="J565" s="386">
        <f t="shared" si="1510"/>
        <v>5225</v>
      </c>
      <c r="K565" s="348">
        <f t="shared" si="1511"/>
        <v>5225</v>
      </c>
      <c r="L565" s="386">
        <f t="shared" si="1490"/>
        <v>5175</v>
      </c>
      <c r="M565" s="348">
        <f t="shared" si="1512"/>
        <v>5175</v>
      </c>
      <c r="N565" s="386">
        <f t="shared" si="1492"/>
        <v>5125</v>
      </c>
      <c r="O565" s="348">
        <f t="shared" si="1513"/>
        <v>5125</v>
      </c>
      <c r="P565" s="386">
        <f t="shared" si="1494"/>
        <v>5085</v>
      </c>
      <c r="Q565" s="348">
        <f t="shared" si="1514"/>
        <v>5085</v>
      </c>
      <c r="R565" s="386">
        <f t="shared" si="1496"/>
        <v>5065</v>
      </c>
      <c r="S565" s="348">
        <f t="shared" si="1515"/>
        <v>5065</v>
      </c>
      <c r="T565" s="386">
        <f t="shared" si="1498"/>
        <v>5050</v>
      </c>
      <c r="U565" s="348">
        <f t="shared" si="1516"/>
        <v>5050</v>
      </c>
      <c r="V565" s="386">
        <f t="shared" si="1500"/>
        <v>5040</v>
      </c>
      <c r="W565" s="348">
        <f t="shared" si="1517"/>
        <v>5040</v>
      </c>
      <c r="X565" s="157"/>
      <c r="Y565" s="158"/>
      <c r="Z565" s="158"/>
      <c r="AA565" s="158"/>
      <c r="AB565" s="34"/>
    </row>
    <row r="566" spans="1:28" ht="12.6" customHeight="1" x14ac:dyDescent="0.2">
      <c r="A566" s="20"/>
      <c r="B566" s="1172" t="s">
        <v>316</v>
      </c>
      <c r="C566" s="1173"/>
      <c r="D566" s="1173"/>
      <c r="E566" s="1174"/>
      <c r="F566" s="539">
        <v>2436</v>
      </c>
      <c r="G566" s="374">
        <f>+F566*$X$1</f>
        <v>2436</v>
      </c>
      <c r="H566" s="636">
        <f t="shared" si="1508"/>
        <v>3006</v>
      </c>
      <c r="I566" s="349">
        <f t="shared" si="1509"/>
        <v>3006</v>
      </c>
      <c r="J566" s="636">
        <f t="shared" si="1510"/>
        <v>2726</v>
      </c>
      <c r="K566" s="349">
        <f t="shared" si="1511"/>
        <v>2726</v>
      </c>
      <c r="L566" s="636">
        <f t="shared" si="1490"/>
        <v>2676</v>
      </c>
      <c r="M566" s="349">
        <f t="shared" si="1512"/>
        <v>2676</v>
      </c>
      <c r="N566" s="636">
        <f t="shared" si="1492"/>
        <v>2626</v>
      </c>
      <c r="O566" s="349">
        <f t="shared" si="1513"/>
        <v>2626</v>
      </c>
      <c r="P566" s="636">
        <f t="shared" si="1494"/>
        <v>2586</v>
      </c>
      <c r="Q566" s="349">
        <f t="shared" si="1514"/>
        <v>2586</v>
      </c>
      <c r="R566" s="636">
        <f t="shared" si="1496"/>
        <v>2566</v>
      </c>
      <c r="S566" s="349">
        <f t="shared" si="1515"/>
        <v>2566</v>
      </c>
      <c r="T566" s="636">
        <f t="shared" si="1498"/>
        <v>2551</v>
      </c>
      <c r="U566" s="349">
        <f t="shared" si="1516"/>
        <v>2551</v>
      </c>
      <c r="V566" s="636">
        <f t="shared" si="1500"/>
        <v>2541</v>
      </c>
      <c r="W566" s="349">
        <f t="shared" si="1517"/>
        <v>2541</v>
      </c>
      <c r="X566" s="157"/>
      <c r="Y566" s="158"/>
      <c r="Z566" s="158"/>
      <c r="AA566" s="158"/>
      <c r="AB566" s="34"/>
    </row>
    <row r="567" spans="1:28" ht="12.6" customHeight="1" x14ac:dyDescent="0.2">
      <c r="A567" s="20"/>
      <c r="B567" s="712" t="s">
        <v>317</v>
      </c>
      <c r="C567" s="713"/>
      <c r="D567" s="713"/>
      <c r="E567" s="713"/>
      <c r="F567" s="348">
        <v>2226</v>
      </c>
      <c r="G567" s="306">
        <f>+F567*$X$1</f>
        <v>2226</v>
      </c>
      <c r="H567" s="386">
        <f t="shared" si="1508"/>
        <v>2796</v>
      </c>
      <c r="I567" s="348">
        <f t="shared" si="1509"/>
        <v>2796</v>
      </c>
      <c r="J567" s="386">
        <f t="shared" si="1510"/>
        <v>2516</v>
      </c>
      <c r="K567" s="348">
        <f t="shared" ref="K567:K568" si="1518">+J567*$X$1</f>
        <v>2516</v>
      </c>
      <c r="L567" s="386">
        <f t="shared" si="1490"/>
        <v>2466</v>
      </c>
      <c r="M567" s="348">
        <f t="shared" ref="M567:M568" si="1519">+L567*$X$1</f>
        <v>2466</v>
      </c>
      <c r="N567" s="386">
        <f t="shared" si="1492"/>
        <v>2416</v>
      </c>
      <c r="O567" s="348">
        <f t="shared" ref="O567:O568" si="1520">+N567*$X$1</f>
        <v>2416</v>
      </c>
      <c r="P567" s="386">
        <f t="shared" si="1494"/>
        <v>2376</v>
      </c>
      <c r="Q567" s="348">
        <f t="shared" ref="Q567:Q568" si="1521">+P567*$X$1</f>
        <v>2376</v>
      </c>
      <c r="R567" s="386">
        <f t="shared" si="1496"/>
        <v>2356</v>
      </c>
      <c r="S567" s="348">
        <f t="shared" ref="S567:S568" si="1522">+R567*$X$1</f>
        <v>2356</v>
      </c>
      <c r="T567" s="386">
        <f t="shared" si="1498"/>
        <v>2341</v>
      </c>
      <c r="U567" s="348">
        <f t="shared" ref="U567:U568" si="1523">+T567*$X$1</f>
        <v>2341</v>
      </c>
      <c r="V567" s="386">
        <f t="shared" si="1500"/>
        <v>2331</v>
      </c>
      <c r="W567" s="348">
        <f t="shared" ref="W567:W568" si="1524">+V567*$X$1</f>
        <v>2331</v>
      </c>
      <c r="X567" s="157"/>
      <c r="Y567" s="158"/>
      <c r="Z567" s="158"/>
      <c r="AA567" s="158"/>
      <c r="AB567" s="34"/>
    </row>
    <row r="568" spans="1:28" ht="12.6" customHeight="1" x14ac:dyDescent="0.2">
      <c r="A568" s="20"/>
      <c r="B568" s="732" t="s">
        <v>619</v>
      </c>
      <c r="C568" s="776"/>
      <c r="D568" s="776"/>
      <c r="E568" s="777"/>
      <c r="F568" s="391">
        <v>4075</v>
      </c>
      <c r="G568" s="374">
        <f>+F568*$X$1</f>
        <v>4075</v>
      </c>
      <c r="H568" s="636">
        <f t="shared" si="1508"/>
        <v>4645</v>
      </c>
      <c r="I568" s="349">
        <f t="shared" si="1509"/>
        <v>4645</v>
      </c>
      <c r="J568" s="636">
        <f t="shared" si="1510"/>
        <v>4365</v>
      </c>
      <c r="K568" s="349">
        <f t="shared" si="1518"/>
        <v>4365</v>
      </c>
      <c r="L568" s="636">
        <f t="shared" si="1490"/>
        <v>4315</v>
      </c>
      <c r="M568" s="349">
        <f t="shared" si="1519"/>
        <v>4315</v>
      </c>
      <c r="N568" s="636">
        <f t="shared" si="1492"/>
        <v>4265</v>
      </c>
      <c r="O568" s="349">
        <f t="shared" si="1520"/>
        <v>4265</v>
      </c>
      <c r="P568" s="636">
        <f t="shared" si="1494"/>
        <v>4225</v>
      </c>
      <c r="Q568" s="349">
        <f t="shared" si="1521"/>
        <v>4225</v>
      </c>
      <c r="R568" s="636">
        <f t="shared" si="1496"/>
        <v>4205</v>
      </c>
      <c r="S568" s="349">
        <f t="shared" si="1522"/>
        <v>4205</v>
      </c>
      <c r="T568" s="636">
        <f t="shared" si="1498"/>
        <v>4190</v>
      </c>
      <c r="U568" s="349">
        <f t="shared" si="1523"/>
        <v>4190</v>
      </c>
      <c r="V568" s="636">
        <f t="shared" si="1500"/>
        <v>4180</v>
      </c>
      <c r="W568" s="349">
        <f t="shared" si="1524"/>
        <v>4180</v>
      </c>
      <c r="X568" s="157"/>
      <c r="Y568" s="158"/>
      <c r="Z568" s="158"/>
      <c r="AA568" s="158"/>
      <c r="AB568" s="34"/>
    </row>
    <row r="569" spans="1:28" ht="12.6" customHeight="1" x14ac:dyDescent="0.2">
      <c r="A569" s="20"/>
      <c r="B569" s="751" t="s">
        <v>603</v>
      </c>
      <c r="C569" s="778"/>
      <c r="D569" s="778"/>
      <c r="E569" s="779"/>
      <c r="F569" s="375">
        <v>5460</v>
      </c>
      <c r="G569" s="306">
        <f>+F569*$X$1</f>
        <v>5460</v>
      </c>
      <c r="H569" s="386">
        <f t="shared" si="1508"/>
        <v>6030</v>
      </c>
      <c r="I569" s="348">
        <f t="shared" si="1509"/>
        <v>6030</v>
      </c>
      <c r="J569" s="386">
        <f t="shared" si="1510"/>
        <v>5750</v>
      </c>
      <c r="K569" s="348">
        <f t="shared" ref="K569:K573" si="1525">+J569*$X$1</f>
        <v>5750</v>
      </c>
      <c r="L569" s="386">
        <f t="shared" si="1490"/>
        <v>5700</v>
      </c>
      <c r="M569" s="348">
        <f t="shared" ref="M569:M573" si="1526">+L569*$X$1</f>
        <v>5700</v>
      </c>
      <c r="N569" s="386">
        <f t="shared" si="1492"/>
        <v>5650</v>
      </c>
      <c r="O569" s="348">
        <f t="shared" ref="O569:O573" si="1527">+N569*$X$1</f>
        <v>5650</v>
      </c>
      <c r="P569" s="386">
        <f t="shared" si="1494"/>
        <v>5610</v>
      </c>
      <c r="Q569" s="348">
        <f t="shared" ref="Q569:Q573" si="1528">+P569*$X$1</f>
        <v>5610</v>
      </c>
      <c r="R569" s="386">
        <f t="shared" si="1496"/>
        <v>5590</v>
      </c>
      <c r="S569" s="348">
        <f t="shared" ref="S569:S573" si="1529">+R569*$X$1</f>
        <v>5590</v>
      </c>
      <c r="T569" s="386">
        <f t="shared" si="1498"/>
        <v>5575</v>
      </c>
      <c r="U569" s="348">
        <f t="shared" ref="U569:U573" si="1530">+T569*$X$1</f>
        <v>5575</v>
      </c>
      <c r="V569" s="386">
        <f t="shared" si="1500"/>
        <v>5565</v>
      </c>
      <c r="W569" s="348">
        <f t="shared" ref="W569:W573" si="1531">+V569*$X$1</f>
        <v>5565</v>
      </c>
      <c r="X569" s="157"/>
      <c r="Y569" s="158"/>
      <c r="Z569" s="158"/>
      <c r="AA569" s="158"/>
      <c r="AB569" s="34"/>
    </row>
    <row r="570" spans="1:28" ht="12.6" customHeight="1" x14ac:dyDescent="0.2">
      <c r="A570" s="20"/>
      <c r="B570" s="700" t="s">
        <v>602</v>
      </c>
      <c r="C570" s="701"/>
      <c r="D570" s="701"/>
      <c r="E570" s="702"/>
      <c r="F570" s="391">
        <v>5460</v>
      </c>
      <c r="G570" s="374">
        <f>+F570*$X$1</f>
        <v>5460</v>
      </c>
      <c r="H570" s="611">
        <f t="shared" si="1508"/>
        <v>6030</v>
      </c>
      <c r="I570" s="349">
        <f t="shared" si="1509"/>
        <v>6030</v>
      </c>
      <c r="J570" s="611">
        <f t="shared" si="1510"/>
        <v>5750</v>
      </c>
      <c r="K570" s="349">
        <f t="shared" si="1525"/>
        <v>5750</v>
      </c>
      <c r="L570" s="611">
        <f t="shared" si="1490"/>
        <v>5700</v>
      </c>
      <c r="M570" s="349">
        <f t="shared" si="1526"/>
        <v>5700</v>
      </c>
      <c r="N570" s="611">
        <f t="shared" si="1492"/>
        <v>5650</v>
      </c>
      <c r="O570" s="349">
        <f t="shared" si="1527"/>
        <v>5650</v>
      </c>
      <c r="P570" s="611">
        <f t="shared" si="1494"/>
        <v>5610</v>
      </c>
      <c r="Q570" s="349">
        <f t="shared" si="1528"/>
        <v>5610</v>
      </c>
      <c r="R570" s="611">
        <f t="shared" si="1496"/>
        <v>5590</v>
      </c>
      <c r="S570" s="349">
        <f t="shared" si="1529"/>
        <v>5590</v>
      </c>
      <c r="T570" s="611">
        <f t="shared" si="1498"/>
        <v>5575</v>
      </c>
      <c r="U570" s="349">
        <f t="shared" si="1530"/>
        <v>5575</v>
      </c>
      <c r="V570" s="611">
        <f t="shared" si="1500"/>
        <v>5565</v>
      </c>
      <c r="W570" s="349">
        <f t="shared" si="1531"/>
        <v>5565</v>
      </c>
      <c r="X570" s="157"/>
      <c r="Y570" s="158"/>
      <c r="Z570" s="158"/>
      <c r="AA570" s="158"/>
      <c r="AB570" s="34"/>
    </row>
    <row r="571" spans="1:28" ht="12.6" customHeight="1" x14ac:dyDescent="0.2">
      <c r="A571" s="4"/>
      <c r="B571" s="687" t="s">
        <v>540</v>
      </c>
      <c r="C571" s="717"/>
      <c r="D571" s="717"/>
      <c r="E571" s="718"/>
      <c r="F571" s="348">
        <v>1755</v>
      </c>
      <c r="G571" s="306">
        <f t="shared" ref="G571:G573" si="1532">+F571*$X$1</f>
        <v>1755</v>
      </c>
      <c r="H571" s="386"/>
      <c r="I571" s="348"/>
      <c r="J571" s="386">
        <f t="shared" si="1510"/>
        <v>2045</v>
      </c>
      <c r="K571" s="348">
        <f t="shared" si="1525"/>
        <v>2045</v>
      </c>
      <c r="L571" s="386">
        <f t="shared" si="1490"/>
        <v>1995</v>
      </c>
      <c r="M571" s="348">
        <f t="shared" si="1526"/>
        <v>1995</v>
      </c>
      <c r="N571" s="386">
        <f t="shared" si="1492"/>
        <v>1945</v>
      </c>
      <c r="O571" s="348">
        <f t="shared" si="1527"/>
        <v>1945</v>
      </c>
      <c r="P571" s="386">
        <f t="shared" si="1494"/>
        <v>1905</v>
      </c>
      <c r="Q571" s="348">
        <f t="shared" si="1528"/>
        <v>1905</v>
      </c>
      <c r="R571" s="386">
        <f t="shared" si="1496"/>
        <v>1885</v>
      </c>
      <c r="S571" s="348">
        <f t="shared" si="1529"/>
        <v>1885</v>
      </c>
      <c r="T571" s="386">
        <f t="shared" si="1498"/>
        <v>1870</v>
      </c>
      <c r="U571" s="348">
        <f t="shared" si="1530"/>
        <v>1870</v>
      </c>
      <c r="V571" s="386">
        <f t="shared" si="1500"/>
        <v>1860</v>
      </c>
      <c r="W571" s="348">
        <f t="shared" si="1531"/>
        <v>1860</v>
      </c>
      <c r="X571" s="157"/>
      <c r="Y571" s="142"/>
      <c r="Z571" s="159"/>
      <c r="AA571" s="159"/>
      <c r="AB571" s="540" t="s">
        <v>539</v>
      </c>
    </row>
    <row r="572" spans="1:28" ht="12.6" customHeight="1" x14ac:dyDescent="0.2">
      <c r="A572" s="4"/>
      <c r="B572" s="833" t="s">
        <v>538</v>
      </c>
      <c r="C572" s="701"/>
      <c r="D572" s="701"/>
      <c r="E572" s="702"/>
      <c r="F572" s="349">
        <v>1755</v>
      </c>
      <c r="G572" s="374">
        <f t="shared" si="1532"/>
        <v>1755</v>
      </c>
      <c r="H572" s="611"/>
      <c r="I572" s="349"/>
      <c r="J572" s="611">
        <f t="shared" si="1510"/>
        <v>2045</v>
      </c>
      <c r="K572" s="349">
        <f t="shared" si="1525"/>
        <v>2045</v>
      </c>
      <c r="L572" s="611">
        <f t="shared" si="1490"/>
        <v>1995</v>
      </c>
      <c r="M572" s="349">
        <f t="shared" si="1526"/>
        <v>1995</v>
      </c>
      <c r="N572" s="611">
        <f t="shared" si="1492"/>
        <v>1945</v>
      </c>
      <c r="O572" s="349">
        <f t="shared" si="1527"/>
        <v>1945</v>
      </c>
      <c r="P572" s="611">
        <f t="shared" si="1494"/>
        <v>1905</v>
      </c>
      <c r="Q572" s="349">
        <f t="shared" si="1528"/>
        <v>1905</v>
      </c>
      <c r="R572" s="611">
        <f t="shared" si="1496"/>
        <v>1885</v>
      </c>
      <c r="S572" s="349">
        <f t="shared" si="1529"/>
        <v>1885</v>
      </c>
      <c r="T572" s="611">
        <f t="shared" si="1498"/>
        <v>1870</v>
      </c>
      <c r="U572" s="349">
        <f t="shared" si="1530"/>
        <v>1870</v>
      </c>
      <c r="V572" s="611">
        <f t="shared" si="1500"/>
        <v>1860</v>
      </c>
      <c r="W572" s="349">
        <f t="shared" si="1531"/>
        <v>1860</v>
      </c>
      <c r="X572" s="157"/>
      <c r="Y572" s="142"/>
      <c r="Z572" s="159"/>
      <c r="AA572" s="159"/>
      <c r="AB572" s="540" t="s">
        <v>535</v>
      </c>
    </row>
    <row r="573" spans="1:28" ht="12.6" customHeight="1" x14ac:dyDescent="0.2">
      <c r="A573" s="4"/>
      <c r="B573" s="687" t="s">
        <v>536</v>
      </c>
      <c r="C573" s="717"/>
      <c r="D573" s="717"/>
      <c r="E573" s="718"/>
      <c r="F573" s="348">
        <v>2580</v>
      </c>
      <c r="G573" s="306">
        <f t="shared" si="1532"/>
        <v>2580</v>
      </c>
      <c r="H573" s="386"/>
      <c r="I573" s="348"/>
      <c r="J573" s="386">
        <f t="shared" si="1510"/>
        <v>2870</v>
      </c>
      <c r="K573" s="348">
        <f t="shared" si="1525"/>
        <v>2870</v>
      </c>
      <c r="L573" s="386">
        <f t="shared" si="1490"/>
        <v>2820</v>
      </c>
      <c r="M573" s="348">
        <f t="shared" si="1526"/>
        <v>2820</v>
      </c>
      <c r="N573" s="386">
        <f t="shared" si="1492"/>
        <v>2770</v>
      </c>
      <c r="O573" s="348">
        <f t="shared" si="1527"/>
        <v>2770</v>
      </c>
      <c r="P573" s="386">
        <f t="shared" si="1494"/>
        <v>2730</v>
      </c>
      <c r="Q573" s="348">
        <f t="shared" si="1528"/>
        <v>2730</v>
      </c>
      <c r="R573" s="386">
        <f t="shared" si="1496"/>
        <v>2710</v>
      </c>
      <c r="S573" s="348">
        <f t="shared" si="1529"/>
        <v>2710</v>
      </c>
      <c r="T573" s="386">
        <f t="shared" si="1498"/>
        <v>2695</v>
      </c>
      <c r="U573" s="348">
        <f t="shared" si="1530"/>
        <v>2695</v>
      </c>
      <c r="V573" s="386">
        <f t="shared" si="1500"/>
        <v>2685</v>
      </c>
      <c r="W573" s="348">
        <f t="shared" si="1531"/>
        <v>2685</v>
      </c>
      <c r="X573" s="157"/>
      <c r="Y573" s="142"/>
      <c r="Z573" s="159"/>
      <c r="AA573" s="159"/>
      <c r="AB573" s="540" t="s">
        <v>537</v>
      </c>
    </row>
    <row r="574" spans="1:28" ht="12.6" customHeight="1" x14ac:dyDescent="0.2">
      <c r="A574" s="4"/>
      <c r="B574" s="833" t="s">
        <v>318</v>
      </c>
      <c r="C574" s="701"/>
      <c r="D574" s="701"/>
      <c r="E574" s="702"/>
      <c r="F574" s="392"/>
      <c r="G574" s="99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157"/>
      <c r="Y574" s="142"/>
      <c r="Z574" s="159"/>
      <c r="AA574" s="159"/>
      <c r="AB574" s="540" t="s">
        <v>319</v>
      </c>
    </row>
    <row r="575" spans="1:28" ht="12.6" customHeight="1" x14ac:dyDescent="0.2">
      <c r="A575" s="4"/>
      <c r="B575" s="687" t="s">
        <v>320</v>
      </c>
      <c r="C575" s="717"/>
      <c r="D575" s="717"/>
      <c r="E575" s="718"/>
      <c r="F575" s="268"/>
      <c r="G575" s="101"/>
      <c r="H575" s="268"/>
      <c r="I575" s="268"/>
      <c r="J575" s="268"/>
      <c r="K575" s="268"/>
      <c r="L575" s="268"/>
      <c r="M575" s="268"/>
      <c r="N575" s="268"/>
      <c r="O575" s="268"/>
      <c r="P575" s="268"/>
      <c r="Q575" s="268"/>
      <c r="R575" s="268"/>
      <c r="S575" s="268"/>
      <c r="T575" s="268"/>
      <c r="U575" s="268"/>
      <c r="V575" s="268"/>
      <c r="W575" s="268"/>
      <c r="X575" s="157"/>
      <c r="Y575" s="142"/>
      <c r="Z575" s="159"/>
      <c r="AA575" s="159"/>
      <c r="AB575" s="540"/>
    </row>
    <row r="576" spans="1:28" ht="12.6" customHeight="1" x14ac:dyDescent="0.2">
      <c r="A576" s="4"/>
      <c r="B576" s="774" t="s">
        <v>321</v>
      </c>
      <c r="C576" s="721"/>
      <c r="D576" s="721"/>
      <c r="E576" s="721"/>
      <c r="F576" s="98"/>
      <c r="G576" s="99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157"/>
      <c r="Y576" s="142"/>
      <c r="Z576" s="159"/>
      <c r="AA576" s="159"/>
      <c r="AB576" s="540">
        <v>730</v>
      </c>
    </row>
    <row r="577" spans="1:34" ht="12.6" customHeight="1" x14ac:dyDescent="0.2">
      <c r="A577" s="4"/>
      <c r="B577" s="793" t="s">
        <v>322</v>
      </c>
      <c r="C577" s="729"/>
      <c r="D577" s="729"/>
      <c r="E577" s="729"/>
      <c r="F577" s="268"/>
      <c r="G577" s="101"/>
      <c r="H577" s="268"/>
      <c r="I577" s="268"/>
      <c r="J577" s="268"/>
      <c r="K577" s="268"/>
      <c r="L577" s="268"/>
      <c r="M577" s="268"/>
      <c r="N577" s="268"/>
      <c r="O577" s="268"/>
      <c r="P577" s="268"/>
      <c r="Q577" s="268"/>
      <c r="R577" s="268"/>
      <c r="S577" s="268"/>
      <c r="T577" s="268"/>
      <c r="U577" s="268"/>
      <c r="V577" s="268"/>
      <c r="W577" s="268"/>
      <c r="X577" s="157"/>
      <c r="Y577" s="142"/>
      <c r="Z577" s="159"/>
      <c r="AA577" s="159"/>
      <c r="AB577" s="540">
        <v>731</v>
      </c>
    </row>
    <row r="578" spans="1:34" ht="12.6" customHeight="1" x14ac:dyDescent="0.2">
      <c r="A578" s="4"/>
      <c r="B578" s="774" t="s">
        <v>467</v>
      </c>
      <c r="C578" s="721"/>
      <c r="D578" s="721"/>
      <c r="E578" s="721"/>
      <c r="F578" s="98"/>
      <c r="G578" s="99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151"/>
      <c r="Y578" s="146"/>
      <c r="Z578" s="152"/>
      <c r="AA578" s="153"/>
      <c r="AB578" s="540">
        <v>735</v>
      </c>
    </row>
    <row r="579" spans="1:34" ht="12.6" customHeight="1" x14ac:dyDescent="0.2">
      <c r="A579" s="4"/>
      <c r="B579" s="793" t="s">
        <v>466</v>
      </c>
      <c r="C579" s="729"/>
      <c r="D579" s="729"/>
      <c r="E579" s="729"/>
      <c r="F579" s="268"/>
      <c r="G579" s="101"/>
      <c r="H579" s="268"/>
      <c r="I579" s="268"/>
      <c r="J579" s="268"/>
      <c r="K579" s="268"/>
      <c r="L579" s="268"/>
      <c r="M579" s="268"/>
      <c r="N579" s="268"/>
      <c r="O579" s="268"/>
      <c r="P579" s="268"/>
      <c r="Q579" s="268"/>
      <c r="R579" s="268"/>
      <c r="S579" s="268"/>
      <c r="T579" s="268"/>
      <c r="U579" s="268"/>
      <c r="V579" s="268"/>
      <c r="W579" s="268"/>
      <c r="X579" s="151"/>
      <c r="Y579" s="146"/>
      <c r="Z579" s="152"/>
      <c r="AA579" s="153"/>
      <c r="AB579" s="540">
        <v>736</v>
      </c>
    </row>
    <row r="580" spans="1:34" ht="12.6" customHeight="1" x14ac:dyDescent="0.2">
      <c r="A580" s="4"/>
      <c r="B580" s="774" t="s">
        <v>323</v>
      </c>
      <c r="C580" s="740"/>
      <c r="D580" s="740"/>
      <c r="E580" s="740"/>
      <c r="F580" s="106"/>
      <c r="G580" s="99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151"/>
      <c r="Y580" s="146"/>
      <c r="Z580" s="152"/>
      <c r="AA580" s="153"/>
      <c r="AB580" s="540">
        <v>986</v>
      </c>
    </row>
    <row r="581" spans="1:34" ht="12.6" customHeight="1" x14ac:dyDescent="0.2">
      <c r="A581" s="4"/>
      <c r="B581" s="793" t="s">
        <v>487</v>
      </c>
      <c r="C581" s="707"/>
      <c r="D581" s="707"/>
      <c r="E581" s="707"/>
      <c r="F581" s="268"/>
      <c r="G581" s="101"/>
      <c r="H581" s="268"/>
      <c r="I581" s="268"/>
      <c r="J581" s="268"/>
      <c r="K581" s="268"/>
      <c r="L581" s="268"/>
      <c r="M581" s="268"/>
      <c r="N581" s="268"/>
      <c r="O581" s="268"/>
      <c r="P581" s="268"/>
      <c r="Q581" s="268"/>
      <c r="R581" s="268"/>
      <c r="S581" s="268"/>
      <c r="T581" s="268"/>
      <c r="U581" s="268"/>
      <c r="V581" s="268"/>
      <c r="W581" s="268"/>
      <c r="X581" s="151"/>
      <c r="Y581" s="146"/>
      <c r="Z581" s="152"/>
      <c r="AA581" s="153"/>
      <c r="AB581" s="540"/>
    </row>
    <row r="582" spans="1:34" ht="12.6" customHeight="1" x14ac:dyDescent="0.2">
      <c r="A582" s="4"/>
      <c r="B582" s="774" t="s">
        <v>424</v>
      </c>
      <c r="C582" s="740"/>
      <c r="D582" s="740"/>
      <c r="E582" s="740"/>
      <c r="F582" s="106"/>
      <c r="G582" s="99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151"/>
      <c r="Y582" s="146"/>
      <c r="Z582" s="152"/>
      <c r="AA582" s="153"/>
      <c r="AB582" s="540">
        <v>987</v>
      </c>
    </row>
    <row r="583" spans="1:34" ht="12.6" customHeight="1" x14ac:dyDescent="0.2">
      <c r="A583" s="4"/>
      <c r="B583" s="793" t="s">
        <v>488</v>
      </c>
      <c r="C583" s="707"/>
      <c r="D583" s="707"/>
      <c r="E583" s="707"/>
      <c r="F583" s="268"/>
      <c r="G583" s="101"/>
      <c r="H583" s="268"/>
      <c r="I583" s="268"/>
      <c r="J583" s="268"/>
      <c r="K583" s="268"/>
      <c r="L583" s="268"/>
      <c r="M583" s="268"/>
      <c r="N583" s="268"/>
      <c r="O583" s="268"/>
      <c r="P583" s="268"/>
      <c r="Q583" s="268"/>
      <c r="R583" s="268"/>
      <c r="S583" s="268"/>
      <c r="T583" s="268"/>
      <c r="U583" s="268"/>
      <c r="V583" s="268"/>
      <c r="W583" s="268"/>
      <c r="X583" s="151"/>
      <c r="Y583" s="146"/>
      <c r="Z583" s="152"/>
      <c r="AA583" s="153"/>
      <c r="AB583" s="540"/>
    </row>
    <row r="584" spans="1:34" ht="12.6" customHeight="1" x14ac:dyDescent="0.2">
      <c r="A584" s="4"/>
      <c r="B584" s="774" t="s">
        <v>324</v>
      </c>
      <c r="C584" s="721"/>
      <c r="D584" s="721"/>
      <c r="E584" s="721"/>
      <c r="F584" s="98"/>
      <c r="G584" s="99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151"/>
      <c r="Y584" s="146"/>
      <c r="Z584" s="152"/>
      <c r="AA584" s="153"/>
      <c r="AB584" s="540">
        <v>989</v>
      </c>
    </row>
    <row r="585" spans="1:34" ht="12.6" customHeight="1" x14ac:dyDescent="0.2">
      <c r="A585" s="4"/>
      <c r="B585" s="793" t="s">
        <v>325</v>
      </c>
      <c r="C585" s="729"/>
      <c r="D585" s="729"/>
      <c r="E585" s="729"/>
      <c r="F585" s="268"/>
      <c r="G585" s="101"/>
      <c r="H585" s="268"/>
      <c r="I585" s="268"/>
      <c r="J585" s="268"/>
      <c r="K585" s="268"/>
      <c r="L585" s="268"/>
      <c r="M585" s="268"/>
      <c r="N585" s="268"/>
      <c r="O585" s="268"/>
      <c r="P585" s="268"/>
      <c r="Q585" s="268"/>
      <c r="R585" s="268"/>
      <c r="S585" s="268"/>
      <c r="T585" s="268"/>
      <c r="U585" s="268"/>
      <c r="V585" s="268"/>
      <c r="W585" s="268"/>
      <c r="X585" s="151"/>
      <c r="Y585" s="146"/>
      <c r="Z585" s="152"/>
      <c r="AA585" s="153"/>
      <c r="AB585" s="564" t="s">
        <v>326</v>
      </c>
    </row>
    <row r="586" spans="1:34" ht="12.6" customHeight="1" x14ac:dyDescent="0.2">
      <c r="A586" s="4"/>
      <c r="B586" s="774" t="s">
        <v>327</v>
      </c>
      <c r="C586" s="740"/>
      <c r="D586" s="740"/>
      <c r="E586" s="740"/>
      <c r="F586" s="98"/>
      <c r="G586" s="99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154"/>
      <c r="Y586" s="144"/>
      <c r="Z586" s="155"/>
      <c r="AA586" s="156"/>
      <c r="AB586" s="34"/>
    </row>
    <row r="587" spans="1:34" ht="9" customHeight="1" thickBot="1" x14ac:dyDescent="0.25">
      <c r="A587" s="79"/>
      <c r="B587" s="116"/>
      <c r="C587" s="216"/>
      <c r="D587" s="216"/>
      <c r="E587" s="216"/>
      <c r="F587" s="140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217"/>
      <c r="Y587" s="79"/>
      <c r="Z587" s="218"/>
      <c r="AA587" s="218"/>
      <c r="AB587" s="219"/>
    </row>
    <row r="588" spans="1:34" ht="13.5" customHeight="1" thickBot="1" x14ac:dyDescent="0.25">
      <c r="B588" s="695" t="s">
        <v>328</v>
      </c>
      <c r="C588" s="696"/>
      <c r="D588" s="696"/>
      <c r="E588" s="696"/>
      <c r="F588" s="696"/>
      <c r="G588" s="696"/>
      <c r="H588" s="696"/>
      <c r="I588" s="696"/>
      <c r="J588" s="696"/>
      <c r="K588" s="696"/>
      <c r="L588" s="696"/>
      <c r="M588" s="696"/>
      <c r="N588" s="696"/>
      <c r="O588" s="696"/>
      <c r="P588" s="696"/>
      <c r="Q588" s="696"/>
      <c r="R588" s="696"/>
      <c r="S588" s="696"/>
      <c r="T588" s="697"/>
      <c r="U588" s="697"/>
      <c r="V588" s="698"/>
      <c r="W588" s="699"/>
      <c r="AB588" s="4"/>
    </row>
    <row r="589" spans="1:34" ht="12" customHeight="1" x14ac:dyDescent="0.2">
      <c r="B589" s="823" t="s">
        <v>11</v>
      </c>
      <c r="C589" s="825" t="s">
        <v>12</v>
      </c>
      <c r="D589" s="826"/>
      <c r="E589" s="826"/>
      <c r="F589" s="780" t="s">
        <v>309</v>
      </c>
      <c r="G589" s="780" t="s">
        <v>13</v>
      </c>
      <c r="H589" s="1103" t="s">
        <v>329</v>
      </c>
      <c r="I589" s="1104"/>
      <c r="J589" s="1105"/>
      <c r="K589" s="1105"/>
      <c r="L589" s="1105"/>
      <c r="M589" s="1105"/>
      <c r="N589" s="1105"/>
      <c r="O589" s="1105"/>
      <c r="P589" s="1105"/>
      <c r="Q589" s="1105"/>
      <c r="R589" s="1105"/>
      <c r="S589" s="1105"/>
      <c r="T589" s="1106"/>
      <c r="U589" s="1106"/>
      <c r="V589" s="1107"/>
      <c r="W589" s="1108"/>
      <c r="X589" s="771" t="s">
        <v>15</v>
      </c>
      <c r="Y589" s="908"/>
      <c r="Z589" s="908"/>
      <c r="AA589" s="909"/>
      <c r="AB589" s="839" t="s">
        <v>16</v>
      </c>
      <c r="AF589" s="828" t="s">
        <v>3</v>
      </c>
      <c r="AG589" s="829"/>
      <c r="AH589" s="829"/>
    </row>
    <row r="590" spans="1:34" ht="12" customHeight="1" thickBot="1" x14ac:dyDescent="0.25">
      <c r="B590" s="824"/>
      <c r="C590" s="827"/>
      <c r="D590" s="827"/>
      <c r="E590" s="827"/>
      <c r="F590" s="781"/>
      <c r="G590" s="781"/>
      <c r="H590" s="294"/>
      <c r="I590" s="295" t="s">
        <v>674</v>
      </c>
      <c r="J590" s="294"/>
      <c r="K590" s="295" t="s">
        <v>311</v>
      </c>
      <c r="L590" s="295"/>
      <c r="M590" s="295" t="s">
        <v>312</v>
      </c>
      <c r="N590" s="295"/>
      <c r="O590" s="295" t="s">
        <v>313</v>
      </c>
      <c r="P590" s="295"/>
      <c r="Q590" s="295" t="s">
        <v>19</v>
      </c>
      <c r="R590" s="295"/>
      <c r="S590" s="295" t="s">
        <v>20</v>
      </c>
      <c r="T590" s="295"/>
      <c r="U590" s="295" t="s">
        <v>314</v>
      </c>
      <c r="V590" s="295"/>
      <c r="W590" s="296" t="s">
        <v>21</v>
      </c>
      <c r="X590" s="910"/>
      <c r="Y590" s="910"/>
      <c r="Z590" s="910"/>
      <c r="AA590" s="911"/>
      <c r="AB590" s="840"/>
    </row>
    <row r="591" spans="1:34" ht="12.6" customHeight="1" x14ac:dyDescent="0.2">
      <c r="B591" s="690" t="s">
        <v>917</v>
      </c>
      <c r="C591" s="690"/>
      <c r="D591" s="690"/>
      <c r="E591" s="690"/>
      <c r="F591" s="655">
        <f>21.73*X2</f>
        <v>19730.84</v>
      </c>
      <c r="G591" s="349">
        <f>+F591*$X$1</f>
        <v>19730.84</v>
      </c>
      <c r="H591" s="680">
        <f>F591+2400</f>
        <v>22130.84</v>
      </c>
      <c r="I591" s="349">
        <f t="shared" ref="I591" si="1533">+H591*$X$1</f>
        <v>22130.84</v>
      </c>
      <c r="J591" s="680">
        <f>F591+600</f>
        <v>20330.84</v>
      </c>
      <c r="K591" s="349">
        <f t="shared" ref="K591" si="1534">+J591*$X$1</f>
        <v>20330.84</v>
      </c>
      <c r="L591" s="680">
        <f>F591+350</f>
        <v>20080.84</v>
      </c>
      <c r="M591" s="349">
        <f t="shared" ref="M591" si="1535">+L591*$X$1</f>
        <v>20080.84</v>
      </c>
      <c r="N591" s="680">
        <f>F591+170</f>
        <v>19900.84</v>
      </c>
      <c r="O591" s="349">
        <f t="shared" ref="O591" si="1536">+N591*$X$1</f>
        <v>19900.84</v>
      </c>
      <c r="P591" s="680">
        <f>F591+130</f>
        <v>19860.84</v>
      </c>
      <c r="Q591" s="349">
        <f t="shared" ref="Q591" si="1537">+P591*$X$1</f>
        <v>19860.84</v>
      </c>
      <c r="R591" s="680">
        <f>F591+90</f>
        <v>19820.84</v>
      </c>
      <c r="S591" s="349">
        <f t="shared" ref="S591" si="1538">+R591*$X$1</f>
        <v>19820.84</v>
      </c>
      <c r="T591" s="680">
        <f>F591+75</f>
        <v>19805.84</v>
      </c>
      <c r="U591" s="349">
        <f t="shared" ref="U591" si="1539">+T591*$X$1</f>
        <v>19805.84</v>
      </c>
      <c r="V591" s="680">
        <f>F591+64</f>
        <v>19794.84</v>
      </c>
      <c r="W591" s="349">
        <f t="shared" ref="W591" si="1540">+V591*$X$1</f>
        <v>19794.84</v>
      </c>
      <c r="X591" s="679"/>
      <c r="Y591" s="148"/>
      <c r="Z591" s="146"/>
      <c r="AA591" s="149"/>
      <c r="AB591" s="564" t="s">
        <v>918</v>
      </c>
    </row>
    <row r="592" spans="1:34" ht="12.6" customHeight="1" x14ac:dyDescent="0.2">
      <c r="B592" s="791" t="s">
        <v>330</v>
      </c>
      <c r="C592" s="791"/>
      <c r="D592" s="791"/>
      <c r="E592" s="791"/>
      <c r="F592" s="650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667"/>
      <c r="W592" s="668"/>
      <c r="X592" s="148"/>
      <c r="Y592" s="148"/>
      <c r="Z592" s="146"/>
      <c r="AA592" s="149"/>
      <c r="AB592" s="565" t="s">
        <v>331</v>
      </c>
    </row>
    <row r="593" spans="1:121" ht="12.6" customHeight="1" x14ac:dyDescent="0.2">
      <c r="B593" s="833" t="s">
        <v>332</v>
      </c>
      <c r="C593" s="846"/>
      <c r="D593" s="846"/>
      <c r="E593" s="847"/>
      <c r="F593" s="651"/>
      <c r="G593" s="641"/>
      <c r="H593" s="641"/>
      <c r="I593" s="641"/>
      <c r="J593" s="641"/>
      <c r="K593" s="641"/>
      <c r="L593" s="641"/>
      <c r="M593" s="641"/>
      <c r="N593" s="641"/>
      <c r="O593" s="641"/>
      <c r="P593" s="641"/>
      <c r="Q593" s="641"/>
      <c r="R593" s="641"/>
      <c r="S593" s="641"/>
      <c r="T593" s="641"/>
      <c r="U593" s="641"/>
      <c r="V593" s="312"/>
      <c r="W593" s="662"/>
      <c r="X593" s="148"/>
      <c r="Y593" s="148"/>
      <c r="Z593" s="146"/>
      <c r="AA593" s="149"/>
      <c r="AB593" s="564" t="s">
        <v>333</v>
      </c>
    </row>
    <row r="594" spans="1:121" ht="12.6" customHeight="1" x14ac:dyDescent="0.2">
      <c r="B594" s="793" t="s">
        <v>334</v>
      </c>
      <c r="C594" s="793"/>
      <c r="D594" s="793"/>
      <c r="E594" s="793"/>
      <c r="F594" s="127"/>
      <c r="G594" s="386"/>
      <c r="H594" s="107"/>
      <c r="I594" s="107"/>
      <c r="J594" s="386"/>
      <c r="K594" s="386"/>
      <c r="L594" s="386"/>
      <c r="M594" s="386"/>
      <c r="N594" s="386"/>
      <c r="O594" s="386"/>
      <c r="P594" s="386"/>
      <c r="Q594" s="386"/>
      <c r="R594" s="386"/>
      <c r="S594" s="386"/>
      <c r="T594" s="386"/>
      <c r="U594" s="386"/>
      <c r="V594" s="656"/>
      <c r="W594" s="657"/>
      <c r="X594" s="148"/>
      <c r="Y594" s="148"/>
      <c r="Z594" s="146"/>
      <c r="AA594" s="149"/>
      <c r="AB594" s="564" t="s">
        <v>335</v>
      </c>
      <c r="AF594" s="906"/>
      <c r="AG594" s="906"/>
      <c r="AH594" s="906"/>
      <c r="AI594" s="906"/>
      <c r="AJ594" s="907"/>
    </row>
    <row r="595" spans="1:121" ht="12.6" customHeight="1" x14ac:dyDescent="0.2">
      <c r="B595" s="774" t="s">
        <v>336</v>
      </c>
      <c r="C595" s="774"/>
      <c r="D595" s="774"/>
      <c r="E595" s="774"/>
      <c r="F595" s="652"/>
      <c r="G595" s="641"/>
      <c r="H595" s="641"/>
      <c r="I595" s="641"/>
      <c r="J595" s="641"/>
      <c r="K595" s="641"/>
      <c r="L595" s="641"/>
      <c r="M595" s="641"/>
      <c r="N595" s="641"/>
      <c r="O595" s="641"/>
      <c r="P595" s="641"/>
      <c r="Q595" s="641"/>
      <c r="R595" s="641"/>
      <c r="S595" s="641"/>
      <c r="T595" s="641"/>
      <c r="U595" s="641"/>
      <c r="V595" s="312"/>
      <c r="W595" s="662"/>
      <c r="X595" s="148"/>
      <c r="Y595" s="148"/>
      <c r="Z595" s="146"/>
      <c r="AA595" s="149"/>
      <c r="AB595" s="564" t="s">
        <v>337</v>
      </c>
    </row>
    <row r="596" spans="1:121" ht="12.6" customHeight="1" x14ac:dyDescent="0.2">
      <c r="B596" s="793" t="s">
        <v>338</v>
      </c>
      <c r="C596" s="793"/>
      <c r="D596" s="793"/>
      <c r="E596" s="793"/>
      <c r="F596" s="653"/>
      <c r="G596" s="386"/>
      <c r="H596" s="107"/>
      <c r="I596" s="107"/>
      <c r="J596" s="386"/>
      <c r="K596" s="386"/>
      <c r="L596" s="386"/>
      <c r="M596" s="386"/>
      <c r="N596" s="386"/>
      <c r="O596" s="386"/>
      <c r="P596" s="386"/>
      <c r="Q596" s="386"/>
      <c r="R596" s="386"/>
      <c r="S596" s="386"/>
      <c r="T596" s="386"/>
      <c r="U596" s="386"/>
      <c r="V596" s="656"/>
      <c r="W596" s="657"/>
      <c r="X596" s="148"/>
      <c r="Y596" s="148"/>
      <c r="Z596" s="146"/>
      <c r="AA596" s="149"/>
      <c r="AB596" s="564" t="s">
        <v>339</v>
      </c>
    </row>
    <row r="597" spans="1:121" ht="12.6" customHeight="1" x14ac:dyDescent="0.2">
      <c r="B597" s="833" t="s">
        <v>340</v>
      </c>
      <c r="C597" s="846"/>
      <c r="D597" s="846"/>
      <c r="E597" s="847"/>
      <c r="F597" s="652"/>
      <c r="G597" s="641"/>
      <c r="H597" s="113"/>
      <c r="I597" s="113"/>
      <c r="J597" s="641"/>
      <c r="K597" s="641"/>
      <c r="L597" s="641"/>
      <c r="M597" s="641"/>
      <c r="N597" s="641"/>
      <c r="O597" s="641"/>
      <c r="P597" s="641"/>
      <c r="Q597" s="641"/>
      <c r="R597" s="641"/>
      <c r="S597" s="641"/>
      <c r="T597" s="641"/>
      <c r="U597" s="641"/>
      <c r="V597" s="312"/>
      <c r="W597" s="662"/>
      <c r="X597" s="148"/>
      <c r="Y597" s="148"/>
      <c r="Z597" s="146"/>
      <c r="AA597" s="149"/>
      <c r="AB597" s="564" t="s">
        <v>877</v>
      </c>
    </row>
    <row r="598" spans="1:121" ht="12.6" customHeight="1" x14ac:dyDescent="0.2">
      <c r="B598" s="793" t="s">
        <v>341</v>
      </c>
      <c r="C598" s="793"/>
      <c r="D598" s="793"/>
      <c r="E598" s="793"/>
      <c r="F598" s="127"/>
      <c r="G598" s="386"/>
      <c r="H598" s="107"/>
      <c r="I598" s="107"/>
      <c r="J598" s="386"/>
      <c r="K598" s="386"/>
      <c r="L598" s="386"/>
      <c r="M598" s="386"/>
      <c r="N598" s="125"/>
      <c r="O598" s="386"/>
      <c r="P598" s="386"/>
      <c r="Q598" s="386"/>
      <c r="R598" s="386"/>
      <c r="S598" s="386"/>
      <c r="T598" s="386"/>
      <c r="U598" s="386"/>
      <c r="V598" s="656"/>
      <c r="W598" s="658"/>
      <c r="X598" s="146"/>
      <c r="Y598" s="146"/>
      <c r="Z598" s="146"/>
      <c r="AA598" s="149"/>
      <c r="AB598" s="564" t="s">
        <v>342</v>
      </c>
    </row>
    <row r="599" spans="1:121" ht="12.6" customHeight="1" x14ac:dyDescent="0.2">
      <c r="B599" s="774" t="s">
        <v>343</v>
      </c>
      <c r="C599" s="774"/>
      <c r="D599" s="774"/>
      <c r="E599" s="774"/>
      <c r="F599" s="652"/>
      <c r="G599" s="641"/>
      <c r="H599" s="113"/>
      <c r="I599" s="113"/>
      <c r="J599" s="641"/>
      <c r="K599" s="641"/>
      <c r="L599" s="641"/>
      <c r="M599" s="641"/>
      <c r="N599" s="126"/>
      <c r="O599" s="641"/>
      <c r="P599" s="641"/>
      <c r="Q599" s="641"/>
      <c r="R599" s="641"/>
      <c r="S599" s="641"/>
      <c r="T599" s="641"/>
      <c r="U599" s="641"/>
      <c r="V599" s="665"/>
      <c r="W599" s="666"/>
      <c r="X599" s="146"/>
      <c r="Y599" s="146"/>
      <c r="Z599" s="146"/>
      <c r="AA599" s="149"/>
      <c r="AB599" s="564" t="s">
        <v>344</v>
      </c>
    </row>
    <row r="600" spans="1:121" ht="12.6" customHeight="1" x14ac:dyDescent="0.2">
      <c r="B600" s="690" t="s">
        <v>873</v>
      </c>
      <c r="C600" s="690"/>
      <c r="D600" s="690"/>
      <c r="E600" s="690"/>
      <c r="F600" s="654">
        <f>20.583*X2</f>
        <v>18689.363999999998</v>
      </c>
      <c r="G600" s="348">
        <f>+F600*$X$1</f>
        <v>18689.363999999998</v>
      </c>
      <c r="H600" s="386">
        <f>F600+2400</f>
        <v>21089.363999999998</v>
      </c>
      <c r="I600" s="348">
        <f t="shared" ref="I600" si="1541">+H600*$X$1</f>
        <v>21089.363999999998</v>
      </c>
      <c r="J600" s="386">
        <f>F600+600</f>
        <v>19289.363999999998</v>
      </c>
      <c r="K600" s="348">
        <f t="shared" ref="K600" si="1542">+J600*$X$1</f>
        <v>19289.363999999998</v>
      </c>
      <c r="L600" s="386">
        <f>F600+350</f>
        <v>19039.363999999998</v>
      </c>
      <c r="M600" s="348">
        <f t="shared" ref="M600" si="1543">+L600*$X$1</f>
        <v>19039.363999999998</v>
      </c>
      <c r="N600" s="386">
        <f>F600+170</f>
        <v>18859.363999999998</v>
      </c>
      <c r="O600" s="348">
        <f t="shared" ref="O600" si="1544">+N600*$X$1</f>
        <v>18859.363999999998</v>
      </c>
      <c r="P600" s="386">
        <f>F600+130</f>
        <v>18819.363999999998</v>
      </c>
      <c r="Q600" s="348">
        <f t="shared" ref="Q600" si="1545">+P600*$X$1</f>
        <v>18819.363999999998</v>
      </c>
      <c r="R600" s="386">
        <f>F600+90</f>
        <v>18779.363999999998</v>
      </c>
      <c r="S600" s="348">
        <f t="shared" ref="S600" si="1546">+R600*$X$1</f>
        <v>18779.363999999998</v>
      </c>
      <c r="T600" s="386">
        <f>F600+75</f>
        <v>18764.363999999998</v>
      </c>
      <c r="U600" s="348">
        <f t="shared" ref="U600" si="1547">+T600*$X$1</f>
        <v>18764.363999999998</v>
      </c>
      <c r="V600" s="386">
        <f>F600+64</f>
        <v>18753.363999999998</v>
      </c>
      <c r="W600" s="348">
        <f t="shared" ref="W600" si="1548">+V600*$X$1</f>
        <v>18753.363999999998</v>
      </c>
      <c r="X600" s="635"/>
      <c r="Y600" s="148"/>
      <c r="Z600" s="146"/>
      <c r="AA600" s="149"/>
      <c r="AB600" s="564" t="s">
        <v>874</v>
      </c>
    </row>
    <row r="601" spans="1:121" ht="12.6" customHeight="1" x14ac:dyDescent="0.2">
      <c r="B601" s="690" t="s">
        <v>876</v>
      </c>
      <c r="C601" s="690"/>
      <c r="D601" s="690"/>
      <c r="E601" s="690"/>
      <c r="F601" s="655">
        <f>22.35*X2</f>
        <v>20293.800000000003</v>
      </c>
      <c r="G601" s="349">
        <f>+F601*$X$1</f>
        <v>20293.800000000003</v>
      </c>
      <c r="H601" s="669">
        <f>F601+2200</f>
        <v>22493.800000000003</v>
      </c>
      <c r="I601" s="349">
        <f t="shared" ref="I601:I602" si="1549">+H601*$X$1</f>
        <v>22493.800000000003</v>
      </c>
      <c r="J601" s="669">
        <f>F601+500</f>
        <v>20793.800000000003</v>
      </c>
      <c r="K601" s="349">
        <f t="shared" ref="K601" si="1550">+J601*$X$1</f>
        <v>20793.800000000003</v>
      </c>
      <c r="L601" s="641">
        <f>F601+250</f>
        <v>20543.800000000003</v>
      </c>
      <c r="M601" s="349">
        <f t="shared" ref="M601" si="1551">+L601*$X$1</f>
        <v>20543.800000000003</v>
      </c>
      <c r="N601" s="641">
        <f>F601+100</f>
        <v>20393.800000000003</v>
      </c>
      <c r="O601" s="349">
        <f t="shared" ref="O601" si="1552">+N601*$X$1</f>
        <v>20393.800000000003</v>
      </c>
      <c r="P601" s="641">
        <f>F601+80</f>
        <v>20373.800000000003</v>
      </c>
      <c r="Q601" s="349">
        <f t="shared" ref="Q601" si="1553">+P601*$X$1</f>
        <v>20373.800000000003</v>
      </c>
      <c r="R601" s="641">
        <f>F601+60</f>
        <v>20353.800000000003</v>
      </c>
      <c r="S601" s="349">
        <f t="shared" ref="S601" si="1554">+R601*$X$1</f>
        <v>20353.800000000003</v>
      </c>
      <c r="T601" s="641">
        <f>F601+50</f>
        <v>20343.800000000003</v>
      </c>
      <c r="U601" s="349">
        <f t="shared" ref="U601" si="1555">+T601*$X$1</f>
        <v>20343.800000000003</v>
      </c>
      <c r="V601" s="641">
        <f>F601+44</f>
        <v>20337.800000000003</v>
      </c>
      <c r="W601" s="349">
        <f t="shared" ref="W601" si="1556">+V601*$X$1</f>
        <v>20337.800000000003</v>
      </c>
      <c r="X601" s="635"/>
      <c r="Y601" s="148"/>
      <c r="Z601" s="146"/>
      <c r="AA601" s="149"/>
      <c r="AB601" s="564" t="s">
        <v>875</v>
      </c>
    </row>
    <row r="602" spans="1:121" ht="12.6" customHeight="1" x14ac:dyDescent="0.2">
      <c r="B602" s="690" t="s">
        <v>878</v>
      </c>
      <c r="C602" s="690"/>
      <c r="D602" s="690"/>
      <c r="E602" s="690"/>
      <c r="F602" s="654">
        <f>40.975*X2</f>
        <v>37205.300000000003</v>
      </c>
      <c r="G602" s="348">
        <f>+F602*$X$1</f>
        <v>37205.300000000003</v>
      </c>
      <c r="H602" s="386">
        <f>F602+2400</f>
        <v>39605.300000000003</v>
      </c>
      <c r="I602" s="348">
        <f t="shared" si="1549"/>
        <v>39605.300000000003</v>
      </c>
      <c r="J602" s="386">
        <f>F602+600</f>
        <v>37805.300000000003</v>
      </c>
      <c r="K602" s="348">
        <f t="shared" ref="K602" si="1557">+J602*$X$1</f>
        <v>37805.300000000003</v>
      </c>
      <c r="L602" s="386">
        <f>F602+350</f>
        <v>37555.300000000003</v>
      </c>
      <c r="M602" s="348">
        <f t="shared" ref="M602" si="1558">+L602*$X$1</f>
        <v>37555.300000000003</v>
      </c>
      <c r="N602" s="386">
        <f>F602+170</f>
        <v>37375.300000000003</v>
      </c>
      <c r="O602" s="348">
        <f t="shared" ref="O602" si="1559">+N602*$X$1</f>
        <v>37375.300000000003</v>
      </c>
      <c r="P602" s="386">
        <f>F602+130</f>
        <v>37335.300000000003</v>
      </c>
      <c r="Q602" s="348">
        <f t="shared" ref="Q602" si="1560">+P602*$X$1</f>
        <v>37335.300000000003</v>
      </c>
      <c r="R602" s="386">
        <f>F602+90</f>
        <v>37295.300000000003</v>
      </c>
      <c r="S602" s="348">
        <f t="shared" ref="S602" si="1561">+R602*$X$1</f>
        <v>37295.300000000003</v>
      </c>
      <c r="T602" s="386">
        <f>F602+75</f>
        <v>37280.300000000003</v>
      </c>
      <c r="U602" s="348">
        <f t="shared" ref="U602" si="1562">+T602*$X$1</f>
        <v>37280.300000000003</v>
      </c>
      <c r="V602" s="386">
        <f>F602+64</f>
        <v>37269.300000000003</v>
      </c>
      <c r="W602" s="348">
        <f t="shared" ref="W602" si="1563">+V602*$X$1</f>
        <v>37269.300000000003</v>
      </c>
      <c r="X602" s="635"/>
      <c r="Y602" s="148"/>
      <c r="Z602" s="146"/>
      <c r="AA602" s="149"/>
      <c r="AB602" s="564" t="s">
        <v>879</v>
      </c>
    </row>
    <row r="603" spans="1:121" ht="12.6" customHeight="1" x14ac:dyDescent="0.2">
      <c r="B603" s="774" t="s">
        <v>345</v>
      </c>
      <c r="C603" s="774"/>
      <c r="D603" s="774"/>
      <c r="E603" s="774"/>
      <c r="F603" s="652"/>
      <c r="G603" s="641"/>
      <c r="H603" s="113"/>
      <c r="I603" s="113"/>
      <c r="J603" s="641"/>
      <c r="K603" s="641"/>
      <c r="L603" s="641"/>
      <c r="M603" s="641"/>
      <c r="N603" s="641"/>
      <c r="O603" s="641"/>
      <c r="P603" s="126"/>
      <c r="Q603" s="641"/>
      <c r="R603" s="126"/>
      <c r="S603" s="641"/>
      <c r="T603" s="126"/>
      <c r="U603" s="641"/>
      <c r="V603" s="312"/>
      <c r="W603" s="664"/>
      <c r="X603" s="179"/>
      <c r="Y603" s="179"/>
      <c r="Z603" s="179"/>
      <c r="AA603" s="180"/>
      <c r="AB603" s="564" t="s">
        <v>346</v>
      </c>
    </row>
    <row r="604" spans="1:121" ht="12.6" customHeight="1" x14ac:dyDescent="0.2">
      <c r="B604" s="793" t="s">
        <v>347</v>
      </c>
      <c r="C604" s="793"/>
      <c r="D604" s="793"/>
      <c r="E604" s="793"/>
      <c r="F604" s="127"/>
      <c r="G604" s="386"/>
      <c r="H604" s="107"/>
      <c r="I604" s="107"/>
      <c r="J604" s="386"/>
      <c r="K604" s="386"/>
      <c r="L604" s="386"/>
      <c r="M604" s="386"/>
      <c r="N604" s="386"/>
      <c r="O604" s="386"/>
      <c r="P604" s="125"/>
      <c r="Q604" s="386"/>
      <c r="R604" s="125"/>
      <c r="S604" s="386"/>
      <c r="T604" s="125"/>
      <c r="U604" s="386"/>
      <c r="V604" s="656"/>
      <c r="W604" s="659"/>
      <c r="X604" s="179"/>
      <c r="Y604" s="179"/>
      <c r="Z604" s="179"/>
      <c r="AA604" s="180"/>
      <c r="AB604" s="564" t="s">
        <v>348</v>
      </c>
    </row>
    <row r="605" spans="1:121" ht="12.6" customHeight="1" x14ac:dyDescent="0.2">
      <c r="B605" s="774" t="s">
        <v>349</v>
      </c>
      <c r="C605" s="774"/>
      <c r="D605" s="774"/>
      <c r="E605" s="774"/>
      <c r="F605" s="652"/>
      <c r="G605" s="641"/>
      <c r="H605" s="113"/>
      <c r="I605" s="113"/>
      <c r="J605" s="641"/>
      <c r="K605" s="641"/>
      <c r="L605" s="641"/>
      <c r="M605" s="641"/>
      <c r="N605" s="641"/>
      <c r="O605" s="641"/>
      <c r="P605" s="126"/>
      <c r="Q605" s="641"/>
      <c r="R605" s="126"/>
      <c r="S605" s="641"/>
      <c r="T605" s="126"/>
      <c r="U605" s="641"/>
      <c r="V605" s="312"/>
      <c r="W605" s="664"/>
      <c r="X605" s="148"/>
      <c r="Y605" s="148"/>
      <c r="Z605" s="148"/>
      <c r="AA605" s="148"/>
      <c r="AB605" s="564" t="s">
        <v>516</v>
      </c>
    </row>
    <row r="606" spans="1:121" ht="12.6" customHeight="1" x14ac:dyDescent="0.2">
      <c r="B606" s="793" t="s">
        <v>436</v>
      </c>
      <c r="C606" s="793"/>
      <c r="D606" s="793"/>
      <c r="E606" s="793"/>
      <c r="F606" s="376"/>
      <c r="G606" s="348"/>
      <c r="H606" s="107"/>
      <c r="I606" s="107"/>
      <c r="J606" s="386"/>
      <c r="K606" s="348"/>
      <c r="L606" s="386"/>
      <c r="M606" s="348"/>
      <c r="N606" s="386"/>
      <c r="O606" s="348"/>
      <c r="P606" s="386"/>
      <c r="Q606" s="348"/>
      <c r="R606" s="386"/>
      <c r="S606" s="348"/>
      <c r="T606" s="386"/>
      <c r="U606" s="348"/>
      <c r="V606" s="656"/>
      <c r="W606" s="657"/>
      <c r="X606" s="191"/>
      <c r="Y606" s="148"/>
      <c r="Z606" s="146"/>
      <c r="AA606" s="149"/>
      <c r="AB606" s="564" t="s">
        <v>350</v>
      </c>
    </row>
    <row r="607" spans="1:121" ht="12.6" customHeight="1" x14ac:dyDescent="0.2">
      <c r="B607" s="774" t="s">
        <v>351</v>
      </c>
      <c r="C607" s="774"/>
      <c r="D607" s="774"/>
      <c r="E607" s="774"/>
      <c r="F607" s="417"/>
      <c r="G607" s="349"/>
      <c r="H607" s="113"/>
      <c r="I607" s="113"/>
      <c r="J607" s="641"/>
      <c r="K607" s="349"/>
      <c r="L607" s="641"/>
      <c r="M607" s="349"/>
      <c r="N607" s="641"/>
      <c r="O607" s="349"/>
      <c r="P607" s="641"/>
      <c r="Q607" s="349"/>
      <c r="R607" s="641"/>
      <c r="S607" s="349"/>
      <c r="T607" s="641"/>
      <c r="U607" s="349"/>
      <c r="V607" s="312"/>
      <c r="W607" s="662"/>
      <c r="X607" s="191"/>
      <c r="Y607" s="148"/>
      <c r="Z607" s="146"/>
      <c r="AA607" s="149"/>
      <c r="AB607" s="565" t="s">
        <v>352</v>
      </c>
    </row>
    <row r="608" spans="1:121" s="7" customFormat="1" ht="12.6" customHeight="1" x14ac:dyDescent="0.2">
      <c r="A608" s="11"/>
      <c r="B608" s="793" t="s">
        <v>353</v>
      </c>
      <c r="C608" s="793"/>
      <c r="D608" s="793"/>
      <c r="E608" s="793"/>
      <c r="F608" s="376"/>
      <c r="G608" s="348"/>
      <c r="H608" s="107"/>
      <c r="I608" s="107"/>
      <c r="J608" s="386"/>
      <c r="K608" s="348"/>
      <c r="L608" s="386"/>
      <c r="M608" s="348"/>
      <c r="N608" s="386"/>
      <c r="O608" s="348"/>
      <c r="P608" s="386"/>
      <c r="Q608" s="348"/>
      <c r="R608" s="386"/>
      <c r="S608" s="348"/>
      <c r="T608" s="386"/>
      <c r="U608" s="348"/>
      <c r="V608" s="656"/>
      <c r="W608" s="657"/>
      <c r="X608" s="191"/>
      <c r="Y608" s="148"/>
      <c r="Z608" s="146"/>
      <c r="AA608" s="149"/>
      <c r="AB608" s="564" t="s">
        <v>354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121" s="7" customFormat="1" ht="12.6" customHeight="1" x14ac:dyDescent="0.2">
      <c r="A609" s="11"/>
      <c r="B609" s="775" t="s">
        <v>355</v>
      </c>
      <c r="C609" s="775"/>
      <c r="D609" s="775"/>
      <c r="E609" s="775"/>
      <c r="F609" s="381"/>
      <c r="G609" s="349"/>
      <c r="H609" s="113"/>
      <c r="I609" s="113"/>
      <c r="J609" s="641"/>
      <c r="K609" s="349"/>
      <c r="L609" s="641"/>
      <c r="M609" s="349"/>
      <c r="N609" s="641"/>
      <c r="O609" s="349"/>
      <c r="P609" s="641"/>
      <c r="Q609" s="349"/>
      <c r="R609" s="641"/>
      <c r="S609" s="349"/>
      <c r="T609" s="641"/>
      <c r="U609" s="349"/>
      <c r="V609" s="312"/>
      <c r="W609" s="662"/>
      <c r="X609" s="191"/>
      <c r="Y609" s="148"/>
      <c r="Z609" s="146"/>
      <c r="AA609" s="149"/>
      <c r="AB609" s="564" t="s">
        <v>356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</row>
    <row r="610" spans="1:121" s="1" customFormat="1" ht="12.6" customHeight="1" x14ac:dyDescent="0.2">
      <c r="A610" s="11"/>
      <c r="B610" s="687" t="s">
        <v>357</v>
      </c>
      <c r="C610" s="717"/>
      <c r="D610" s="717"/>
      <c r="E610" s="902"/>
      <c r="F610" s="382"/>
      <c r="G610" s="348"/>
      <c r="H610" s="107"/>
      <c r="I610" s="107"/>
      <c r="J610" s="386"/>
      <c r="K610" s="348"/>
      <c r="L610" s="386"/>
      <c r="M610" s="348"/>
      <c r="N610" s="386"/>
      <c r="O610" s="348"/>
      <c r="P610" s="386"/>
      <c r="Q610" s="348"/>
      <c r="R610" s="386"/>
      <c r="S610" s="348"/>
      <c r="T610" s="386"/>
      <c r="U610" s="348"/>
      <c r="V610" s="656"/>
      <c r="W610" s="657"/>
      <c r="X610" s="191"/>
      <c r="Y610" s="230"/>
      <c r="Z610" s="146"/>
      <c r="AA610" s="149"/>
      <c r="AB610" s="56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121" ht="12.6" customHeight="1" x14ac:dyDescent="0.2">
      <c r="B611" s="774" t="s">
        <v>358</v>
      </c>
      <c r="C611" s="774"/>
      <c r="D611" s="774"/>
      <c r="E611" s="774"/>
      <c r="F611" s="381"/>
      <c r="G611" s="349"/>
      <c r="H611" s="113"/>
      <c r="I611" s="113"/>
      <c r="J611" s="641"/>
      <c r="K611" s="349"/>
      <c r="L611" s="641"/>
      <c r="M611" s="349"/>
      <c r="N611" s="641"/>
      <c r="O611" s="349"/>
      <c r="P611" s="641"/>
      <c r="Q611" s="349"/>
      <c r="R611" s="641"/>
      <c r="S611" s="349"/>
      <c r="T611" s="641"/>
      <c r="U611" s="349"/>
      <c r="V611" s="312"/>
      <c r="W611" s="662"/>
      <c r="X611" s="191"/>
      <c r="Y611" s="148"/>
      <c r="Z611" s="146"/>
      <c r="AA611" s="149"/>
      <c r="AB611" s="564" t="s">
        <v>359</v>
      </c>
    </row>
    <row r="612" spans="1:121" ht="12.6" customHeight="1" x14ac:dyDescent="0.2">
      <c r="B612" s="690" t="s">
        <v>887</v>
      </c>
      <c r="C612" s="690"/>
      <c r="D612" s="690"/>
      <c r="E612" s="690"/>
      <c r="F612" s="654">
        <f>33.53*X2</f>
        <v>30445.24</v>
      </c>
      <c r="G612" s="348">
        <f t="shared" ref="G612:G617" si="1564">+F612*$X$1</f>
        <v>30445.24</v>
      </c>
      <c r="H612" s="386">
        <f>F612+2200</f>
        <v>32645.24</v>
      </c>
      <c r="I612" s="348">
        <f t="shared" ref="I612" si="1565">+H612*$X$1</f>
        <v>32645.24</v>
      </c>
      <c r="J612" s="386">
        <f>F612+500</f>
        <v>30945.24</v>
      </c>
      <c r="K612" s="348">
        <f t="shared" ref="K612" si="1566">+J612*$X$1</f>
        <v>30945.24</v>
      </c>
      <c r="L612" s="109">
        <f>F612+410</f>
        <v>30855.24</v>
      </c>
      <c r="M612" s="375">
        <f>+L612*$X$1</f>
        <v>30855.24</v>
      </c>
      <c r="N612" s="109">
        <f>F612+370</f>
        <v>30815.24</v>
      </c>
      <c r="O612" s="375">
        <f>+N612*$X$1</f>
        <v>30815.24</v>
      </c>
      <c r="P612" s="109">
        <f>F612+330</f>
        <v>30775.24</v>
      </c>
      <c r="Q612" s="375">
        <f>+P612*$X$1</f>
        <v>30775.24</v>
      </c>
      <c r="R612" s="109">
        <f>F612+290</f>
        <v>30735.24</v>
      </c>
      <c r="S612" s="375">
        <f>+R612*$X$1</f>
        <v>30735.24</v>
      </c>
      <c r="T612" s="386">
        <f>F612+240</f>
        <v>30685.24</v>
      </c>
      <c r="U612" s="348">
        <f t="shared" ref="U612" si="1567">+T612*$X$1</f>
        <v>30685.24</v>
      </c>
      <c r="V612" s="386">
        <f>F612+220</f>
        <v>30665.24</v>
      </c>
      <c r="W612" s="348">
        <f t="shared" ref="W612" si="1568">+V612*$X$1</f>
        <v>30665.24</v>
      </c>
      <c r="X612" s="640"/>
      <c r="Y612" s="148"/>
      <c r="Z612" s="146"/>
      <c r="AA612" s="149"/>
      <c r="AB612" s="564" t="s">
        <v>888</v>
      </c>
    </row>
    <row r="613" spans="1:121" ht="12.6" customHeight="1" x14ac:dyDescent="0.2">
      <c r="B613" s="690" t="s">
        <v>883</v>
      </c>
      <c r="C613" s="690"/>
      <c r="D613" s="690"/>
      <c r="E613" s="690"/>
      <c r="F613" s="655">
        <f>29.5*X2</f>
        <v>26786</v>
      </c>
      <c r="G613" s="349">
        <f t="shared" si="1564"/>
        <v>26786</v>
      </c>
      <c r="H613" s="312"/>
      <c r="I613" s="312"/>
      <c r="J613" s="641">
        <f>F613+600</f>
        <v>27386</v>
      </c>
      <c r="K613" s="349">
        <f t="shared" ref="K613" si="1569">+J613*$X$1</f>
        <v>27386</v>
      </c>
      <c r="L613" s="641">
        <f>F613+350</f>
        <v>27136</v>
      </c>
      <c r="M613" s="349">
        <f t="shared" ref="M613" si="1570">+L613*$X$1</f>
        <v>27136</v>
      </c>
      <c r="N613" s="641">
        <f>F613+170</f>
        <v>26956</v>
      </c>
      <c r="O613" s="349">
        <f t="shared" ref="O613" si="1571">+N613*$X$1</f>
        <v>26956</v>
      </c>
      <c r="P613" s="641">
        <f>F613+130</f>
        <v>26916</v>
      </c>
      <c r="Q613" s="349">
        <f t="shared" ref="Q613" si="1572">+P613*$X$1</f>
        <v>26916</v>
      </c>
      <c r="R613" s="641">
        <f>F613+90</f>
        <v>26876</v>
      </c>
      <c r="S613" s="349">
        <f t="shared" ref="S613" si="1573">+R613*$X$1</f>
        <v>26876</v>
      </c>
      <c r="T613" s="641">
        <f>F613+75</f>
        <v>26861</v>
      </c>
      <c r="U613" s="349">
        <f t="shared" ref="U613" si="1574">+T613*$X$1</f>
        <v>26861</v>
      </c>
      <c r="V613" s="641">
        <f>F613+64</f>
        <v>26850</v>
      </c>
      <c r="W613" s="349">
        <f t="shared" ref="W613" si="1575">+V613*$X$1</f>
        <v>26850</v>
      </c>
      <c r="X613" s="640"/>
      <c r="Y613" s="148"/>
      <c r="Z613" s="146"/>
      <c r="AA613" s="149"/>
      <c r="AB613" s="564" t="s">
        <v>881</v>
      </c>
    </row>
    <row r="614" spans="1:121" ht="12.6" customHeight="1" x14ac:dyDescent="0.2">
      <c r="B614" s="690" t="s">
        <v>882</v>
      </c>
      <c r="C614" s="690"/>
      <c r="D614" s="690"/>
      <c r="E614" s="690"/>
      <c r="F614" s="654">
        <f>23.85*X2</f>
        <v>21655.800000000003</v>
      </c>
      <c r="G614" s="348">
        <f t="shared" si="1564"/>
        <v>21655.800000000003</v>
      </c>
      <c r="H614" s="315"/>
      <c r="I614" s="315"/>
      <c r="J614" s="386">
        <f>F614+600</f>
        <v>22255.800000000003</v>
      </c>
      <c r="K614" s="348">
        <f t="shared" ref="K614" si="1576">+J614*$X$1</f>
        <v>22255.800000000003</v>
      </c>
      <c r="L614" s="386">
        <f>F614+350</f>
        <v>22005.800000000003</v>
      </c>
      <c r="M614" s="348">
        <f t="shared" ref="M614" si="1577">+L614*$X$1</f>
        <v>22005.800000000003</v>
      </c>
      <c r="N614" s="386">
        <f>F614+170</f>
        <v>21825.800000000003</v>
      </c>
      <c r="O614" s="348">
        <f t="shared" ref="O614" si="1578">+N614*$X$1</f>
        <v>21825.800000000003</v>
      </c>
      <c r="P614" s="386">
        <f>F614+130</f>
        <v>21785.800000000003</v>
      </c>
      <c r="Q614" s="348">
        <f t="shared" ref="Q614" si="1579">+P614*$X$1</f>
        <v>21785.800000000003</v>
      </c>
      <c r="R614" s="386">
        <f>F614+90</f>
        <v>21745.800000000003</v>
      </c>
      <c r="S614" s="348">
        <f t="shared" ref="S614" si="1580">+R614*$X$1</f>
        <v>21745.800000000003</v>
      </c>
      <c r="T614" s="386">
        <f>F614+75</f>
        <v>21730.800000000003</v>
      </c>
      <c r="U614" s="348">
        <f t="shared" ref="U614" si="1581">+T614*$X$1</f>
        <v>21730.800000000003</v>
      </c>
      <c r="V614" s="386">
        <f>F614+64</f>
        <v>21719.800000000003</v>
      </c>
      <c r="W614" s="348">
        <f t="shared" ref="W614" si="1582">+V614*$X$1</f>
        <v>21719.800000000003</v>
      </c>
      <c r="X614" s="640"/>
      <c r="Y614" s="148"/>
      <c r="Z614" s="146"/>
      <c r="AA614" s="149"/>
      <c r="AB614" s="564" t="s">
        <v>884</v>
      </c>
    </row>
    <row r="615" spans="1:121" ht="12.6" customHeight="1" x14ac:dyDescent="0.2">
      <c r="B615" s="690" t="s">
        <v>885</v>
      </c>
      <c r="C615" s="690"/>
      <c r="D615" s="690"/>
      <c r="E615" s="690"/>
      <c r="F615" s="655">
        <f>36.3*X2</f>
        <v>32960.399999999994</v>
      </c>
      <c r="G615" s="349">
        <f t="shared" si="1564"/>
        <v>32960.399999999994</v>
      </c>
      <c r="H615" s="312"/>
      <c r="I615" s="312"/>
      <c r="J615" s="641">
        <f>F615+600</f>
        <v>33560.399999999994</v>
      </c>
      <c r="K615" s="349">
        <f t="shared" ref="K615" si="1583">+J615*$X$1</f>
        <v>33560.399999999994</v>
      </c>
      <c r="L615" s="641">
        <f>F615+350</f>
        <v>33310.399999999994</v>
      </c>
      <c r="M615" s="349">
        <f t="shared" ref="M615:M616" si="1584">+L615*$X$1</f>
        <v>33310.399999999994</v>
      </c>
      <c r="N615" s="641">
        <f>F615+170</f>
        <v>33130.399999999994</v>
      </c>
      <c r="O615" s="349">
        <f t="shared" ref="O615:O616" si="1585">+N615*$X$1</f>
        <v>33130.399999999994</v>
      </c>
      <c r="P615" s="641">
        <f>F615+130</f>
        <v>33090.399999999994</v>
      </c>
      <c r="Q615" s="349">
        <f t="shared" ref="Q615:Q616" si="1586">+P615*$X$1</f>
        <v>33090.399999999994</v>
      </c>
      <c r="R615" s="641">
        <f>F615+90</f>
        <v>33050.399999999994</v>
      </c>
      <c r="S615" s="349">
        <f t="shared" ref="S615:S616" si="1587">+R615*$X$1</f>
        <v>33050.399999999994</v>
      </c>
      <c r="T615" s="641">
        <f>F615+75</f>
        <v>33035.399999999994</v>
      </c>
      <c r="U615" s="349">
        <f t="shared" ref="U615:U616" si="1588">+T615*$X$1</f>
        <v>33035.399999999994</v>
      </c>
      <c r="V615" s="641">
        <f>F615+64</f>
        <v>33024.399999999994</v>
      </c>
      <c r="W615" s="349">
        <f t="shared" ref="W615:W616" si="1589">+V615*$X$1</f>
        <v>33024.399999999994</v>
      </c>
      <c r="X615" s="640"/>
      <c r="Y615" s="148"/>
      <c r="Z615" s="146"/>
      <c r="AA615" s="149"/>
      <c r="AB615" s="564" t="s">
        <v>886</v>
      </c>
    </row>
    <row r="616" spans="1:121" s="1" customFormat="1" ht="12.6" customHeight="1" x14ac:dyDescent="0.2">
      <c r="A616" s="21"/>
      <c r="B616" s="716" t="s">
        <v>665</v>
      </c>
      <c r="C616" s="717"/>
      <c r="D616" s="717"/>
      <c r="E616" s="718"/>
      <c r="F616" s="670">
        <v>8330</v>
      </c>
      <c r="G616" s="350">
        <f t="shared" si="1564"/>
        <v>8330</v>
      </c>
      <c r="H616" s="386">
        <f>F616+2200</f>
        <v>10530</v>
      </c>
      <c r="I616" s="348">
        <f t="shared" ref="I616" si="1590">+H616*$X$1</f>
        <v>10530</v>
      </c>
      <c r="J616" s="75">
        <f>F616+500</f>
        <v>8830</v>
      </c>
      <c r="K616" s="348">
        <f>+J616*$X$1</f>
        <v>8830</v>
      </c>
      <c r="L616" s="386">
        <f>F616+250</f>
        <v>8580</v>
      </c>
      <c r="M616" s="348">
        <f t="shared" si="1584"/>
        <v>8580</v>
      </c>
      <c r="N616" s="386">
        <f>F616+100</f>
        <v>8430</v>
      </c>
      <c r="O616" s="348">
        <f t="shared" si="1585"/>
        <v>8430</v>
      </c>
      <c r="P616" s="386">
        <f>F616+80</f>
        <v>8410</v>
      </c>
      <c r="Q616" s="348">
        <f t="shared" si="1586"/>
        <v>8410</v>
      </c>
      <c r="R616" s="386">
        <f>F616+60</f>
        <v>8390</v>
      </c>
      <c r="S616" s="348">
        <f t="shared" si="1587"/>
        <v>8390</v>
      </c>
      <c r="T616" s="386">
        <f>F616+50</f>
        <v>8380</v>
      </c>
      <c r="U616" s="348">
        <f t="shared" si="1588"/>
        <v>8380</v>
      </c>
      <c r="V616" s="386">
        <f>F616+44</f>
        <v>8374</v>
      </c>
      <c r="W616" s="348">
        <f t="shared" si="1589"/>
        <v>8374</v>
      </c>
      <c r="X616" s="877"/>
      <c r="Y616" s="816"/>
      <c r="Z616" s="816"/>
      <c r="AA616" s="817"/>
      <c r="AB616" s="209">
        <v>1010</v>
      </c>
      <c r="AC616" s="4"/>
      <c r="AD616" s="4"/>
      <c r="AE616" s="4"/>
      <c r="AF616" s="4"/>
      <c r="AG616" s="4"/>
      <c r="AH616" s="139"/>
      <c r="AI616" s="4"/>
      <c r="AJ616" s="4"/>
      <c r="AK616" s="4"/>
      <c r="AL616" s="4"/>
    </row>
    <row r="617" spans="1:121" s="1" customFormat="1" ht="12.6" customHeight="1" x14ac:dyDescent="0.2">
      <c r="A617" s="21"/>
      <c r="B617" s="700" t="s">
        <v>666</v>
      </c>
      <c r="C617" s="701"/>
      <c r="D617" s="701"/>
      <c r="E617" s="702"/>
      <c r="F617" s="403">
        <v>20824</v>
      </c>
      <c r="G617" s="349">
        <f t="shared" si="1564"/>
        <v>20824</v>
      </c>
      <c r="H617" s="669">
        <f>F617+2200</f>
        <v>23024</v>
      </c>
      <c r="I617" s="349">
        <f t="shared" ref="I617" si="1591">+H617*$X$1</f>
        <v>23024</v>
      </c>
      <c r="J617" s="94">
        <f>F617+500</f>
        <v>21324</v>
      </c>
      <c r="K617" s="349">
        <f>+J617*$X$1</f>
        <v>21324</v>
      </c>
      <c r="L617" s="669">
        <f>F617+250</f>
        <v>21074</v>
      </c>
      <c r="M617" s="349">
        <f t="shared" ref="M617" si="1592">+L617*$X$1</f>
        <v>21074</v>
      </c>
      <c r="N617" s="669">
        <f>F617+100</f>
        <v>20924</v>
      </c>
      <c r="O617" s="349">
        <f t="shared" ref="O617" si="1593">+N617*$X$1</f>
        <v>20924</v>
      </c>
      <c r="P617" s="669">
        <f>F617+80</f>
        <v>20904</v>
      </c>
      <c r="Q617" s="349">
        <f t="shared" ref="Q617" si="1594">+P617*$X$1</f>
        <v>20904</v>
      </c>
      <c r="R617" s="669">
        <f>F617+60</f>
        <v>20884</v>
      </c>
      <c r="S617" s="349">
        <f t="shared" ref="S617" si="1595">+R617*$X$1</f>
        <v>20884</v>
      </c>
      <c r="T617" s="669">
        <f>F617+50</f>
        <v>20874</v>
      </c>
      <c r="U617" s="349">
        <f t="shared" ref="U617" si="1596">+T617*$X$1</f>
        <v>20874</v>
      </c>
      <c r="V617" s="669">
        <f>F617+44</f>
        <v>20868</v>
      </c>
      <c r="W617" s="349">
        <f t="shared" ref="W617" si="1597">+V617*$X$1</f>
        <v>20868</v>
      </c>
      <c r="X617" s="877"/>
      <c r="Y617" s="816"/>
      <c r="Z617" s="816"/>
      <c r="AA617" s="817"/>
      <c r="AB617" s="209">
        <v>1011</v>
      </c>
      <c r="AC617" s="4"/>
      <c r="AD617" s="4"/>
      <c r="AE617" s="4"/>
      <c r="AF617" s="4"/>
      <c r="AG617" s="4"/>
      <c r="AH617" s="139"/>
      <c r="AI617" s="4"/>
      <c r="AJ617" s="4"/>
      <c r="AK617" s="4"/>
      <c r="AL617" s="4"/>
    </row>
    <row r="618" spans="1:121" ht="12.6" customHeight="1" x14ac:dyDescent="0.2">
      <c r="A618" s="220"/>
      <c r="B618" s="791" t="s">
        <v>414</v>
      </c>
      <c r="C618" s="792"/>
      <c r="D618" s="792"/>
      <c r="E618" s="792"/>
      <c r="F618" s="348"/>
      <c r="G618" s="421"/>
      <c r="H618" s="646"/>
      <c r="I618" s="647"/>
      <c r="J618" s="106"/>
      <c r="K618" s="421"/>
      <c r="L618" s="646"/>
      <c r="M618" s="421"/>
      <c r="N618" s="646"/>
      <c r="O618" s="421"/>
      <c r="P618" s="646"/>
      <c r="Q618" s="421"/>
      <c r="R618" s="648"/>
      <c r="S618" s="421"/>
      <c r="T618" s="648"/>
      <c r="U618" s="421"/>
      <c r="V618" s="315"/>
      <c r="W618" s="660"/>
      <c r="X618" s="166"/>
      <c r="Y618" s="166"/>
      <c r="Z618" s="166"/>
      <c r="AA618" s="166"/>
      <c r="AB618" s="251"/>
    </row>
    <row r="619" spans="1:121" ht="12.6" customHeight="1" x14ac:dyDescent="0.2">
      <c r="A619" s="220"/>
      <c r="B619" s="775" t="s">
        <v>415</v>
      </c>
      <c r="C619" s="748"/>
      <c r="D619" s="748"/>
      <c r="E619" s="748"/>
      <c r="F619" s="349"/>
      <c r="G619" s="419"/>
      <c r="H619" s="646"/>
      <c r="I619" s="646"/>
      <c r="J619" s="106"/>
      <c r="K619" s="419"/>
      <c r="L619" s="646"/>
      <c r="M619" s="419"/>
      <c r="N619" s="646"/>
      <c r="O619" s="419"/>
      <c r="P619" s="646"/>
      <c r="Q619" s="419"/>
      <c r="R619" s="649"/>
      <c r="S619" s="419"/>
      <c r="T619" s="649"/>
      <c r="U619" s="419"/>
      <c r="V619" s="312"/>
      <c r="W619" s="663"/>
      <c r="X619" s="166"/>
      <c r="Y619" s="166"/>
      <c r="Z619" s="166"/>
      <c r="AA619" s="166"/>
      <c r="AB619" s="226"/>
    </row>
    <row r="620" spans="1:121" ht="12.6" customHeight="1" x14ac:dyDescent="0.2">
      <c r="A620" s="220"/>
      <c r="B620" s="791" t="s">
        <v>416</v>
      </c>
      <c r="C620" s="792"/>
      <c r="D620" s="792"/>
      <c r="E620" s="792"/>
      <c r="F620" s="348"/>
      <c r="G620" s="421"/>
      <c r="H620" s="646"/>
      <c r="I620" s="647"/>
      <c r="J620" s="106"/>
      <c r="K620" s="421"/>
      <c r="L620" s="646"/>
      <c r="M620" s="421"/>
      <c r="N620" s="646"/>
      <c r="O620" s="421"/>
      <c r="P620" s="646"/>
      <c r="Q620" s="421"/>
      <c r="R620" s="648"/>
      <c r="S620" s="421"/>
      <c r="T620" s="648"/>
      <c r="U620" s="421"/>
      <c r="V620" s="315"/>
      <c r="W620" s="660"/>
      <c r="X620" s="166"/>
      <c r="Y620" s="166"/>
      <c r="Z620" s="166"/>
      <c r="AA620" s="166"/>
      <c r="AB620" s="226"/>
    </row>
    <row r="621" spans="1:121" ht="12.6" customHeight="1" x14ac:dyDescent="0.2">
      <c r="A621" s="220"/>
      <c r="B621" s="775" t="s">
        <v>413</v>
      </c>
      <c r="C621" s="748"/>
      <c r="D621" s="748"/>
      <c r="E621" s="748"/>
      <c r="F621" s="349"/>
      <c r="G621" s="419"/>
      <c r="H621" s="646"/>
      <c r="I621" s="646"/>
      <c r="J621" s="106"/>
      <c r="K621" s="419"/>
      <c r="L621" s="646"/>
      <c r="M621" s="419"/>
      <c r="N621" s="646"/>
      <c r="O621" s="419"/>
      <c r="P621" s="646"/>
      <c r="Q621" s="419"/>
      <c r="R621" s="649"/>
      <c r="S621" s="419"/>
      <c r="T621" s="649"/>
      <c r="U621" s="419"/>
      <c r="V621" s="312"/>
      <c r="W621" s="663"/>
      <c r="X621" s="166"/>
      <c r="Y621" s="166"/>
      <c r="Z621" s="166"/>
      <c r="AA621" s="166"/>
      <c r="AB621" s="226"/>
    </row>
    <row r="622" spans="1:121" ht="12.6" customHeight="1" x14ac:dyDescent="0.2">
      <c r="B622" s="690" t="s">
        <v>791</v>
      </c>
      <c r="C622" s="690"/>
      <c r="D622" s="690"/>
      <c r="E622" s="690"/>
      <c r="F622" s="487">
        <f>3.054*X2</f>
        <v>2773.0319999999997</v>
      </c>
      <c r="G622" s="348">
        <f>+F622*$X$1</f>
        <v>2773.0319999999997</v>
      </c>
      <c r="H622" s="107"/>
      <c r="I622" s="107"/>
      <c r="J622" s="19"/>
      <c r="K622" s="19"/>
      <c r="L622" s="386">
        <f>F622+250</f>
        <v>3023.0319999999997</v>
      </c>
      <c r="M622" s="348">
        <f t="shared" ref="M622" si="1598">+L622*$X$1</f>
        <v>3023.0319999999997</v>
      </c>
      <c r="N622" s="386">
        <f>F622+100</f>
        <v>2873.0319999999997</v>
      </c>
      <c r="O622" s="348">
        <f t="shared" ref="O622" si="1599">+N622*$X$1</f>
        <v>2873.0319999999997</v>
      </c>
      <c r="P622" s="386">
        <f>F622+80</f>
        <v>2853.0319999999997</v>
      </c>
      <c r="Q622" s="348">
        <f t="shared" ref="Q622" si="1600">+P622*$X$1</f>
        <v>2853.0319999999997</v>
      </c>
      <c r="R622" s="386">
        <f>F622+60</f>
        <v>2833.0319999999997</v>
      </c>
      <c r="S622" s="348">
        <f t="shared" ref="S622" si="1601">+R622*$X$1</f>
        <v>2833.0319999999997</v>
      </c>
      <c r="T622" s="386">
        <f>F622+50</f>
        <v>2823.0319999999997</v>
      </c>
      <c r="U622" s="348">
        <f t="shared" ref="U622" si="1602">+T622*$X$1</f>
        <v>2823.0319999999997</v>
      </c>
      <c r="V622" s="386">
        <f>F622+44</f>
        <v>2817.0319999999997</v>
      </c>
      <c r="W622" s="348">
        <f t="shared" ref="W622" si="1603">+V622*$X$1</f>
        <v>2817.0319999999997</v>
      </c>
      <c r="X622" s="566"/>
      <c r="Y622" s="148"/>
      <c r="Z622" s="146"/>
      <c r="AA622" s="149"/>
      <c r="AB622" s="564" t="s">
        <v>792</v>
      </c>
    </row>
    <row r="623" spans="1:121" ht="12.6" customHeight="1" x14ac:dyDescent="0.2">
      <c r="B623" s="690" t="s">
        <v>802</v>
      </c>
      <c r="C623" s="690"/>
      <c r="D623" s="690"/>
      <c r="E623" s="690"/>
      <c r="F623" s="488">
        <f>11.3*X2</f>
        <v>10260.400000000001</v>
      </c>
      <c r="G623" s="349">
        <f>+F623*$X$1</f>
        <v>10260.400000000001</v>
      </c>
      <c r="H623" s="113"/>
      <c r="I623" s="113"/>
      <c r="J623" s="312"/>
      <c r="K623" s="312"/>
      <c r="L623" s="641">
        <f>F623+250</f>
        <v>10510.400000000001</v>
      </c>
      <c r="M623" s="349">
        <f t="shared" ref="M623" si="1604">+L623*$X$1</f>
        <v>10510.400000000001</v>
      </c>
      <c r="N623" s="641">
        <f>F623+100</f>
        <v>10360.400000000001</v>
      </c>
      <c r="O623" s="349">
        <f t="shared" ref="O623" si="1605">+N623*$X$1</f>
        <v>10360.400000000001</v>
      </c>
      <c r="P623" s="641">
        <f>F623+80</f>
        <v>10340.400000000001</v>
      </c>
      <c r="Q623" s="349">
        <f t="shared" ref="Q623" si="1606">+P623*$X$1</f>
        <v>10340.400000000001</v>
      </c>
      <c r="R623" s="641">
        <f>F623+60</f>
        <v>10320.400000000001</v>
      </c>
      <c r="S623" s="349">
        <f t="shared" ref="S623" si="1607">+R623*$X$1</f>
        <v>10320.400000000001</v>
      </c>
      <c r="T623" s="641">
        <f>F623+50</f>
        <v>10310.400000000001</v>
      </c>
      <c r="U623" s="349">
        <f t="shared" ref="U623" si="1608">+T623*$X$1</f>
        <v>10310.400000000001</v>
      </c>
      <c r="V623" s="641">
        <f>F623+44</f>
        <v>10304.400000000001</v>
      </c>
      <c r="W623" s="349">
        <f t="shared" ref="W623" si="1609">+V623*$X$1</f>
        <v>10304.400000000001</v>
      </c>
      <c r="X623" s="567"/>
      <c r="Y623" s="148"/>
      <c r="Z623" s="146"/>
      <c r="AA623" s="149"/>
      <c r="AB623" s="564" t="s">
        <v>803</v>
      </c>
    </row>
    <row r="624" spans="1:121" ht="12.6" customHeight="1" x14ac:dyDescent="0.2">
      <c r="B624" s="793" t="s">
        <v>591</v>
      </c>
      <c r="C624" s="793"/>
      <c r="D624" s="793"/>
      <c r="E624" s="793"/>
      <c r="F624" s="487">
        <f>4.5*X2</f>
        <v>4086</v>
      </c>
      <c r="G624" s="348">
        <f>+F624*$X$1</f>
        <v>4086</v>
      </c>
      <c r="H624" s="107"/>
      <c r="I624" s="107"/>
      <c r="J624" s="19"/>
      <c r="K624" s="19"/>
      <c r="L624" s="386">
        <f>F624+250</f>
        <v>4336</v>
      </c>
      <c r="M624" s="348">
        <f t="shared" ref="M624" si="1610">+L624*$X$1</f>
        <v>4336</v>
      </c>
      <c r="N624" s="386">
        <f>F624+100</f>
        <v>4186</v>
      </c>
      <c r="O624" s="348">
        <f t="shared" ref="O624" si="1611">+N624*$X$1</f>
        <v>4186</v>
      </c>
      <c r="P624" s="386">
        <f>F624+80</f>
        <v>4166</v>
      </c>
      <c r="Q624" s="348">
        <f t="shared" ref="Q624" si="1612">+P624*$X$1</f>
        <v>4166</v>
      </c>
      <c r="R624" s="386">
        <f>F624+60</f>
        <v>4146</v>
      </c>
      <c r="S624" s="348">
        <f t="shared" ref="S624" si="1613">+R624*$X$1</f>
        <v>4146</v>
      </c>
      <c r="T624" s="386">
        <f>F624+50</f>
        <v>4136</v>
      </c>
      <c r="U624" s="348">
        <f t="shared" ref="U624" si="1614">+T624*$X$1</f>
        <v>4136</v>
      </c>
      <c r="V624" s="386">
        <f>F624+44</f>
        <v>4130</v>
      </c>
      <c r="W624" s="348">
        <f t="shared" ref="W624" si="1615">+V624*$X$1</f>
        <v>4130</v>
      </c>
      <c r="X624" s="264"/>
      <c r="Y624" s="148"/>
      <c r="Z624" s="146"/>
      <c r="AA624" s="149"/>
      <c r="AB624" s="564" t="s">
        <v>507</v>
      </c>
    </row>
    <row r="625" spans="1:34" ht="12.6" customHeight="1" x14ac:dyDescent="0.2">
      <c r="B625" s="774" t="s">
        <v>804</v>
      </c>
      <c r="C625" s="774"/>
      <c r="D625" s="774"/>
      <c r="E625" s="774"/>
      <c r="F625" s="488"/>
      <c r="G625" s="349"/>
      <c r="H625" s="641"/>
      <c r="I625" s="349"/>
      <c r="J625" s="312"/>
      <c r="K625" s="312"/>
      <c r="L625" s="641"/>
      <c r="M625" s="349"/>
      <c r="N625" s="641"/>
      <c r="O625" s="349"/>
      <c r="P625" s="641"/>
      <c r="Q625" s="349"/>
      <c r="R625" s="641"/>
      <c r="S625" s="349"/>
      <c r="T625" s="641"/>
      <c r="U625" s="349"/>
      <c r="V625" s="641"/>
      <c r="W625" s="349"/>
      <c r="X625" s="303"/>
      <c r="Y625" s="148"/>
      <c r="Z625" s="146"/>
      <c r="AA625" s="149"/>
      <c r="AB625" s="564" t="s">
        <v>805</v>
      </c>
    </row>
    <row r="626" spans="1:34" ht="12.6" customHeight="1" x14ac:dyDescent="0.2">
      <c r="A626" s="12"/>
      <c r="B626" s="864" t="s">
        <v>360</v>
      </c>
      <c r="C626" s="864"/>
      <c r="D626" s="864"/>
      <c r="E626" s="864"/>
      <c r="F626" s="487">
        <f>35.44*X2</f>
        <v>32179.519999999997</v>
      </c>
      <c r="G626" s="348">
        <f t="shared" ref="G626" si="1616">+F626*$X$1</f>
        <v>32179.519999999997</v>
      </c>
      <c r="H626" s="107"/>
      <c r="I626" s="107"/>
      <c r="J626" s="19"/>
      <c r="K626" s="19"/>
      <c r="L626" s="386">
        <f>F626+220</f>
        <v>32399.519999999997</v>
      </c>
      <c r="M626" s="348">
        <f t="shared" ref="M626" si="1617">+L626*$X$1</f>
        <v>32399.519999999997</v>
      </c>
      <c r="N626" s="386">
        <f>F626+100</f>
        <v>32279.519999999997</v>
      </c>
      <c r="O626" s="348">
        <f t="shared" ref="O626" si="1618">+N626*$X$1</f>
        <v>32279.519999999997</v>
      </c>
      <c r="P626" s="386">
        <f>F626+80</f>
        <v>32259.519999999997</v>
      </c>
      <c r="Q626" s="348">
        <f t="shared" ref="Q626" si="1619">+P626*$X$1</f>
        <v>32259.519999999997</v>
      </c>
      <c r="R626" s="386">
        <f>F626+60</f>
        <v>32239.519999999997</v>
      </c>
      <c r="S626" s="348">
        <f t="shared" ref="S626" si="1620">+R626*$X$1</f>
        <v>32239.519999999997</v>
      </c>
      <c r="T626" s="386">
        <f>F626+50</f>
        <v>32229.519999999997</v>
      </c>
      <c r="U626" s="348">
        <f t="shared" ref="U626" si="1621">+T626*$X$1</f>
        <v>32229.519999999997</v>
      </c>
      <c r="V626" s="386"/>
      <c r="W626" s="348"/>
      <c r="X626" s="146"/>
      <c r="Y626" s="150"/>
      <c r="Z626" s="146"/>
      <c r="AA626" s="149"/>
      <c r="AB626" s="564" t="s">
        <v>529</v>
      </c>
    </row>
    <row r="627" spans="1:34" ht="12.6" customHeight="1" x14ac:dyDescent="0.2">
      <c r="A627" s="12"/>
      <c r="B627" s="876" t="s">
        <v>528</v>
      </c>
      <c r="C627" s="876"/>
      <c r="D627" s="876"/>
      <c r="E627" s="876"/>
      <c r="F627" s="349"/>
      <c r="G627" s="349"/>
      <c r="H627" s="113"/>
      <c r="I627" s="113"/>
      <c r="J627" s="641"/>
      <c r="K627" s="349"/>
      <c r="L627" s="641"/>
      <c r="M627" s="349"/>
      <c r="N627" s="641"/>
      <c r="O627" s="349"/>
      <c r="P627" s="641"/>
      <c r="Q627" s="349"/>
      <c r="R627" s="641"/>
      <c r="S627" s="349"/>
      <c r="T627" s="641"/>
      <c r="U627" s="349"/>
      <c r="V627" s="661"/>
      <c r="W627" s="662"/>
      <c r="X627" s="146"/>
      <c r="Y627" s="150"/>
      <c r="Z627" s="146"/>
      <c r="AA627" s="149"/>
      <c r="AB627" s="564" t="s">
        <v>361</v>
      </c>
    </row>
    <row r="628" spans="1:34" ht="12.6" customHeight="1" x14ac:dyDescent="0.2">
      <c r="A628" s="220"/>
      <c r="B628" s="791" t="s">
        <v>645</v>
      </c>
      <c r="C628" s="792"/>
      <c r="D628" s="792"/>
      <c r="E628" s="792"/>
      <c r="F628" s="348">
        <v>9418</v>
      </c>
      <c r="G628" s="375">
        <f t="shared" ref="G628" si="1622">+F628*$X$1</f>
        <v>9418</v>
      </c>
      <c r="H628" s="645"/>
      <c r="I628" s="645"/>
      <c r="J628" s="109">
        <f t="shared" ref="J628:J635" si="1623">F628+500</f>
        <v>9918</v>
      </c>
      <c r="K628" s="375">
        <f t="shared" ref="K628:K630" si="1624">+J628*$X$1</f>
        <v>9918</v>
      </c>
      <c r="L628" s="109">
        <f>F628+410</f>
        <v>9828</v>
      </c>
      <c r="M628" s="375">
        <f>+L628*$X$1</f>
        <v>9828</v>
      </c>
      <c r="N628" s="109">
        <f>F628+370</f>
        <v>9788</v>
      </c>
      <c r="O628" s="375">
        <f>+N628*$X$1</f>
        <v>9788</v>
      </c>
      <c r="P628" s="109">
        <f>F628+330</f>
        <v>9748</v>
      </c>
      <c r="Q628" s="375">
        <f>+P628*$X$1</f>
        <v>9748</v>
      </c>
      <c r="R628" s="109">
        <f>F628+290</f>
        <v>9708</v>
      </c>
      <c r="S628" s="375">
        <f>+R628*$X$1</f>
        <v>9708</v>
      </c>
      <c r="T628" s="109">
        <f>F628+240</f>
        <v>9658</v>
      </c>
      <c r="U628" s="375">
        <f t="shared" ref="U628" si="1625">+T628*$X$1</f>
        <v>9658</v>
      </c>
      <c r="V628" s="379"/>
      <c r="W628" s="375"/>
      <c r="X628" s="377"/>
      <c r="Y628" s="377"/>
      <c r="Z628" s="377"/>
      <c r="AA628" s="377"/>
      <c r="AB628" s="564" t="s">
        <v>806</v>
      </c>
    </row>
    <row r="629" spans="1:34" ht="12.6" customHeight="1" x14ac:dyDescent="0.2">
      <c r="A629" s="220"/>
      <c r="B629" s="775" t="s">
        <v>503</v>
      </c>
      <c r="C629" s="748"/>
      <c r="D629" s="748"/>
      <c r="E629" s="748"/>
      <c r="F629" s="349">
        <v>10553</v>
      </c>
      <c r="G629" s="349">
        <f t="shared" ref="G629:G633" si="1626">+F629*$X$1</f>
        <v>10553</v>
      </c>
      <c r="H629" s="312"/>
      <c r="I629" s="312"/>
      <c r="J629" s="641">
        <f t="shared" si="1623"/>
        <v>11053</v>
      </c>
      <c r="K629" s="349">
        <f t="shared" si="1624"/>
        <v>11053</v>
      </c>
      <c r="L629" s="641">
        <f>F629+250</f>
        <v>10803</v>
      </c>
      <c r="M629" s="349">
        <f t="shared" ref="M629" si="1627">+L629*$X$1</f>
        <v>10803</v>
      </c>
      <c r="N629" s="641">
        <f>F629+100</f>
        <v>10653</v>
      </c>
      <c r="O629" s="349">
        <f t="shared" ref="O629" si="1628">+N629*$X$1</f>
        <v>10653</v>
      </c>
      <c r="P629" s="641">
        <f>F629+80</f>
        <v>10633</v>
      </c>
      <c r="Q629" s="349">
        <f t="shared" ref="Q629" si="1629">+P629*$X$1</f>
        <v>10633</v>
      </c>
      <c r="R629" s="641">
        <f>F629+60</f>
        <v>10613</v>
      </c>
      <c r="S629" s="349">
        <f t="shared" ref="S629" si="1630">+R629*$X$1</f>
        <v>10613</v>
      </c>
      <c r="T629" s="641">
        <f>F629+50</f>
        <v>10603</v>
      </c>
      <c r="U629" s="349">
        <f t="shared" ref="U629" si="1631">+T629*$X$1</f>
        <v>10603</v>
      </c>
      <c r="V629" s="641"/>
      <c r="W629" s="349"/>
      <c r="X629" s="166"/>
      <c r="Y629" s="166"/>
      <c r="Z629" s="166"/>
      <c r="AA629" s="166"/>
      <c r="AB629" s="564" t="s">
        <v>506</v>
      </c>
    </row>
    <row r="630" spans="1:34" ht="12.6" customHeight="1" x14ac:dyDescent="0.2">
      <c r="A630" s="220"/>
      <c r="B630" s="791" t="s">
        <v>644</v>
      </c>
      <c r="C630" s="792"/>
      <c r="D630" s="792"/>
      <c r="E630" s="792"/>
      <c r="F630" s="348">
        <v>10553</v>
      </c>
      <c r="G630" s="348">
        <f t="shared" ref="G630" si="1632">+F630*$X$1</f>
        <v>10553</v>
      </c>
      <c r="H630" s="19"/>
      <c r="I630" s="19"/>
      <c r="J630" s="386">
        <f t="shared" si="1623"/>
        <v>11053</v>
      </c>
      <c r="K630" s="348">
        <f t="shared" si="1624"/>
        <v>11053</v>
      </c>
      <c r="L630" s="386">
        <f>F630+250</f>
        <v>10803</v>
      </c>
      <c r="M630" s="348">
        <f t="shared" ref="M630" si="1633">+L630*$X$1</f>
        <v>10803</v>
      </c>
      <c r="N630" s="386">
        <f>F630+100</f>
        <v>10653</v>
      </c>
      <c r="O630" s="348">
        <f t="shared" ref="O630" si="1634">+N630*$X$1</f>
        <v>10653</v>
      </c>
      <c r="P630" s="386">
        <f>F630+80</f>
        <v>10633</v>
      </c>
      <c r="Q630" s="348">
        <f t="shared" ref="Q630" si="1635">+P630*$X$1</f>
        <v>10633</v>
      </c>
      <c r="R630" s="386">
        <f>F630+60</f>
        <v>10613</v>
      </c>
      <c r="S630" s="348">
        <f t="shared" ref="S630" si="1636">+R630*$X$1</f>
        <v>10613</v>
      </c>
      <c r="T630" s="386">
        <f>F630+50</f>
        <v>10603</v>
      </c>
      <c r="U630" s="348">
        <f t="shared" ref="U630:U635" si="1637">+T630*$X$1</f>
        <v>10603</v>
      </c>
      <c r="V630" s="386"/>
      <c r="W630" s="348"/>
      <c r="X630" s="377"/>
      <c r="Y630" s="377"/>
      <c r="Z630" s="377"/>
      <c r="AA630" s="377"/>
      <c r="AB630" s="564" t="s">
        <v>646</v>
      </c>
    </row>
    <row r="631" spans="1:34" ht="12.6" customHeight="1" x14ac:dyDescent="0.2">
      <c r="A631" s="220"/>
      <c r="B631" s="775" t="s">
        <v>502</v>
      </c>
      <c r="C631" s="748"/>
      <c r="D631" s="748"/>
      <c r="E631" s="748"/>
      <c r="F631" s="349">
        <v>11693</v>
      </c>
      <c r="G631" s="349">
        <f t="shared" si="1626"/>
        <v>11693</v>
      </c>
      <c r="H631" s="312"/>
      <c r="I631" s="312"/>
      <c r="J631" s="641">
        <f t="shared" si="1623"/>
        <v>12193</v>
      </c>
      <c r="K631" s="349">
        <f t="shared" ref="K631:K635" si="1638">+J631*$X$1</f>
        <v>12193</v>
      </c>
      <c r="L631" s="108">
        <f>F631+410</f>
        <v>12103</v>
      </c>
      <c r="M631" s="391">
        <f>+L631*$X$1</f>
        <v>12103</v>
      </c>
      <c r="N631" s="108">
        <f>F631+370</f>
        <v>12063</v>
      </c>
      <c r="O631" s="391">
        <f>+N631*$X$1</f>
        <v>12063</v>
      </c>
      <c r="P631" s="108">
        <f>F631+330</f>
        <v>12023</v>
      </c>
      <c r="Q631" s="391">
        <f>+P631*$X$1</f>
        <v>12023</v>
      </c>
      <c r="R631" s="108">
        <f>F631+290</f>
        <v>11983</v>
      </c>
      <c r="S631" s="391">
        <f>+R631*$X$1</f>
        <v>11983</v>
      </c>
      <c r="T631" s="641">
        <f>F631+240</f>
        <v>11933</v>
      </c>
      <c r="U631" s="349">
        <f t="shared" si="1637"/>
        <v>11933</v>
      </c>
      <c r="V631" s="343"/>
      <c r="W631" s="349"/>
      <c r="X631" s="166"/>
      <c r="Y631" s="166"/>
      <c r="Z631" s="166"/>
      <c r="AA631" s="166"/>
      <c r="AB631" s="564" t="s">
        <v>505</v>
      </c>
    </row>
    <row r="632" spans="1:34" ht="12.6" customHeight="1" x14ac:dyDescent="0.2">
      <c r="A632" s="220"/>
      <c r="B632" s="791" t="s">
        <v>647</v>
      </c>
      <c r="C632" s="792"/>
      <c r="D632" s="792"/>
      <c r="E632" s="792"/>
      <c r="F632" s="487">
        <f>15.3*X2</f>
        <v>13892.400000000001</v>
      </c>
      <c r="G632" s="348">
        <f t="shared" ref="G632" si="1639">+F632*$X$1</f>
        <v>13892.400000000001</v>
      </c>
      <c r="H632" s="19"/>
      <c r="I632" s="19"/>
      <c r="J632" s="386">
        <f t="shared" si="1623"/>
        <v>14392.400000000001</v>
      </c>
      <c r="K632" s="348">
        <f t="shared" si="1638"/>
        <v>14392.400000000001</v>
      </c>
      <c r="L632" s="109">
        <f>F632+410</f>
        <v>14302.400000000001</v>
      </c>
      <c r="M632" s="375">
        <f>+L632*$X$1</f>
        <v>14302.400000000001</v>
      </c>
      <c r="N632" s="109">
        <f>F632+370</f>
        <v>14262.400000000001</v>
      </c>
      <c r="O632" s="375">
        <f>+N632*$X$1</f>
        <v>14262.400000000001</v>
      </c>
      <c r="P632" s="109">
        <f>F632+330</f>
        <v>14222.400000000001</v>
      </c>
      <c r="Q632" s="375">
        <f>+P632*$X$1</f>
        <v>14222.400000000001</v>
      </c>
      <c r="R632" s="109">
        <f>F632+290</f>
        <v>14182.400000000001</v>
      </c>
      <c r="S632" s="375">
        <f>+R632*$X$1</f>
        <v>14182.400000000001</v>
      </c>
      <c r="T632" s="386">
        <f>F632+240</f>
        <v>14132.400000000001</v>
      </c>
      <c r="U632" s="348">
        <f t="shared" si="1637"/>
        <v>14132.400000000001</v>
      </c>
      <c r="V632" s="379"/>
      <c r="W632" s="348"/>
      <c r="X632" s="380"/>
      <c r="Y632" s="380"/>
      <c r="Z632" s="380"/>
      <c r="AA632" s="380"/>
      <c r="AB632" s="564" t="s">
        <v>807</v>
      </c>
    </row>
    <row r="633" spans="1:34" ht="12.6" customHeight="1" x14ac:dyDescent="0.2">
      <c r="A633" s="220"/>
      <c r="B633" s="775" t="s">
        <v>559</v>
      </c>
      <c r="C633" s="748"/>
      <c r="D633" s="748"/>
      <c r="E633" s="748"/>
      <c r="F633" s="488">
        <f>8.7*X2</f>
        <v>7899.5999999999995</v>
      </c>
      <c r="G633" s="349">
        <f t="shared" si="1626"/>
        <v>7899.5999999999995</v>
      </c>
      <c r="H633" s="312"/>
      <c r="I633" s="312"/>
      <c r="J633" s="641">
        <f t="shared" si="1623"/>
        <v>8399.5999999999985</v>
      </c>
      <c r="K633" s="349">
        <f t="shared" si="1638"/>
        <v>8399.5999999999985</v>
      </c>
      <c r="L633" s="108">
        <f>F633+410</f>
        <v>8309.5999999999985</v>
      </c>
      <c r="M633" s="391">
        <f>+L633*$X$1</f>
        <v>8309.5999999999985</v>
      </c>
      <c r="N633" s="108">
        <f>F633+370</f>
        <v>8269.5999999999985</v>
      </c>
      <c r="O633" s="391">
        <f>+N633*$X$1</f>
        <v>8269.5999999999985</v>
      </c>
      <c r="P633" s="108">
        <f>F633+330</f>
        <v>8229.5999999999985</v>
      </c>
      <c r="Q633" s="391">
        <f>+P633*$X$1</f>
        <v>8229.5999999999985</v>
      </c>
      <c r="R633" s="108">
        <f>F633+290</f>
        <v>8189.5999999999995</v>
      </c>
      <c r="S633" s="391">
        <f>+R633*$X$1</f>
        <v>8189.5999999999995</v>
      </c>
      <c r="T633" s="641">
        <f>F633+240</f>
        <v>8139.5999999999995</v>
      </c>
      <c r="U633" s="349">
        <f t="shared" si="1637"/>
        <v>8139.5999999999995</v>
      </c>
      <c r="V633" s="641"/>
      <c r="W633" s="349"/>
      <c r="X633" s="166"/>
      <c r="Y633" s="166"/>
      <c r="Z633" s="166"/>
      <c r="AA633" s="166"/>
      <c r="AB633" s="564" t="s">
        <v>775</v>
      </c>
    </row>
    <row r="634" spans="1:34" ht="12.6" customHeight="1" x14ac:dyDescent="0.2">
      <c r="A634" s="220"/>
      <c r="B634" s="791" t="s">
        <v>810</v>
      </c>
      <c r="C634" s="792"/>
      <c r="D634" s="792"/>
      <c r="E634" s="792"/>
      <c r="F634" s="487">
        <f>14.53*X2</f>
        <v>13193.24</v>
      </c>
      <c r="G634" s="348">
        <f t="shared" ref="G634" si="1640">+F634*$X$1</f>
        <v>13193.24</v>
      </c>
      <c r="H634" s="19"/>
      <c r="I634" s="19"/>
      <c r="J634" s="386">
        <f t="shared" si="1623"/>
        <v>13693.24</v>
      </c>
      <c r="K634" s="348">
        <f t="shared" si="1638"/>
        <v>13693.24</v>
      </c>
      <c r="L634" s="109">
        <f>F634+410</f>
        <v>13603.24</v>
      </c>
      <c r="M634" s="375">
        <f>+L634*$X$1</f>
        <v>13603.24</v>
      </c>
      <c r="N634" s="109">
        <f>F634+370</f>
        <v>13563.24</v>
      </c>
      <c r="O634" s="375">
        <f>+N634*$X$1</f>
        <v>13563.24</v>
      </c>
      <c r="P634" s="109">
        <f>F634+330</f>
        <v>13523.24</v>
      </c>
      <c r="Q634" s="375">
        <f>+P634*$X$1</f>
        <v>13523.24</v>
      </c>
      <c r="R634" s="109">
        <f>F634+290</f>
        <v>13483.24</v>
      </c>
      <c r="S634" s="375">
        <f>+R634*$X$1</f>
        <v>13483.24</v>
      </c>
      <c r="T634" s="386">
        <f>F634+240</f>
        <v>13433.24</v>
      </c>
      <c r="U634" s="348">
        <f t="shared" si="1637"/>
        <v>13433.24</v>
      </c>
      <c r="V634" s="386"/>
      <c r="W634" s="348"/>
      <c r="X634" s="511"/>
      <c r="Y634" s="511"/>
      <c r="Z634" s="511"/>
      <c r="AA634" s="511"/>
      <c r="AB634" s="564" t="s">
        <v>776</v>
      </c>
    </row>
    <row r="635" spans="1:34" ht="12.6" customHeight="1" x14ac:dyDescent="0.2">
      <c r="A635" s="220"/>
      <c r="B635" s="775" t="s">
        <v>558</v>
      </c>
      <c r="C635" s="748"/>
      <c r="D635" s="748"/>
      <c r="E635" s="748"/>
      <c r="F635" s="488">
        <f>10.53*X2</f>
        <v>9561.24</v>
      </c>
      <c r="G635" s="349">
        <f t="shared" ref="G635" si="1641">+F635*$X$1</f>
        <v>9561.24</v>
      </c>
      <c r="H635" s="312"/>
      <c r="I635" s="312"/>
      <c r="J635" s="641">
        <f t="shared" si="1623"/>
        <v>10061.24</v>
      </c>
      <c r="K635" s="349">
        <f t="shared" si="1638"/>
        <v>10061.24</v>
      </c>
      <c r="L635" s="108">
        <f>F635+410</f>
        <v>9971.24</v>
      </c>
      <c r="M635" s="391">
        <f>+L635*$X$1</f>
        <v>9971.24</v>
      </c>
      <c r="N635" s="108">
        <f>F635+370</f>
        <v>9931.24</v>
      </c>
      <c r="O635" s="391">
        <f>+N635*$X$1</f>
        <v>9931.24</v>
      </c>
      <c r="P635" s="108">
        <f>F635+330</f>
        <v>9891.24</v>
      </c>
      <c r="Q635" s="391">
        <f>+P635*$X$1</f>
        <v>9891.24</v>
      </c>
      <c r="R635" s="108">
        <f>F635+290</f>
        <v>9851.24</v>
      </c>
      <c r="S635" s="391">
        <f>+R635*$X$1</f>
        <v>9851.24</v>
      </c>
      <c r="T635" s="641">
        <f>F635+240</f>
        <v>9801.24</v>
      </c>
      <c r="U635" s="349">
        <f t="shared" si="1637"/>
        <v>9801.24</v>
      </c>
      <c r="V635" s="641"/>
      <c r="W635" s="349"/>
      <c r="X635" s="166"/>
      <c r="Y635" s="166"/>
      <c r="Z635" s="166"/>
      <c r="AA635" s="166"/>
      <c r="AB635" s="564" t="s">
        <v>777</v>
      </c>
    </row>
    <row r="636" spans="1:34" ht="12.6" customHeight="1" x14ac:dyDescent="0.2">
      <c r="A636" s="220"/>
      <c r="B636" s="116"/>
      <c r="C636" s="570"/>
      <c r="D636" s="570"/>
      <c r="E636" s="570"/>
      <c r="F636" s="576"/>
      <c r="G636" s="409"/>
      <c r="H636" s="128"/>
      <c r="I636" s="409"/>
      <c r="J636" s="128"/>
      <c r="K636" s="409"/>
      <c r="L636" s="128"/>
      <c r="M636" s="409"/>
      <c r="N636" s="128"/>
      <c r="O636" s="409"/>
      <c r="P636" s="128"/>
      <c r="Q636" s="409"/>
      <c r="R636" s="128"/>
      <c r="S636" s="409"/>
      <c r="T636" s="128"/>
      <c r="U636" s="409"/>
      <c r="V636" s="79"/>
      <c r="W636" s="573"/>
      <c r="X636" s="571"/>
      <c r="Y636" s="571"/>
      <c r="Z636" s="571"/>
      <c r="AA636" s="571"/>
      <c r="AB636" s="577"/>
    </row>
    <row r="637" spans="1:34" ht="12.6" customHeight="1" x14ac:dyDescent="0.2">
      <c r="A637" s="220"/>
      <c r="B637" s="116"/>
      <c r="C637" s="570"/>
      <c r="D637" s="570"/>
      <c r="E637" s="570"/>
      <c r="F637" s="576"/>
      <c r="G637" s="409"/>
      <c r="H637" s="128"/>
      <c r="I637" s="409"/>
      <c r="J637" s="128"/>
      <c r="K637" s="409"/>
      <c r="L637" s="128"/>
      <c r="M637" s="409"/>
      <c r="N637" s="128"/>
      <c r="O637" s="409"/>
      <c r="P637" s="128"/>
      <c r="Q637" s="409"/>
      <c r="R637" s="128"/>
      <c r="S637" s="409"/>
      <c r="T637" s="128"/>
      <c r="U637" s="409"/>
      <c r="V637" s="79"/>
      <c r="W637" s="573"/>
      <c r="X637" s="571"/>
      <c r="Y637" s="571"/>
      <c r="Z637" s="571"/>
      <c r="AA637" s="571"/>
      <c r="AB637" s="577"/>
    </row>
    <row r="638" spans="1:34" ht="12.6" customHeight="1" thickBot="1" x14ac:dyDescent="0.25">
      <c r="A638" s="220"/>
      <c r="B638" s="116"/>
      <c r="C638" s="570"/>
      <c r="D638" s="570"/>
      <c r="E638" s="570"/>
      <c r="F638" s="576"/>
      <c r="G638" s="409"/>
      <c r="H638" s="128"/>
      <c r="I638" s="409"/>
      <c r="J638" s="128"/>
      <c r="K638" s="409"/>
      <c r="L638" s="128"/>
      <c r="M638" s="409"/>
      <c r="N638" s="128"/>
      <c r="O638" s="409"/>
      <c r="P638" s="128"/>
      <c r="Q638" s="409"/>
      <c r="R638" s="128"/>
      <c r="S638" s="409"/>
      <c r="T638" s="128"/>
      <c r="U638" s="409"/>
      <c r="V638" s="79"/>
      <c r="W638" s="573"/>
      <c r="X638" s="571"/>
      <c r="Y638" s="571"/>
      <c r="Z638" s="571"/>
      <c r="AA638" s="571"/>
      <c r="AB638" s="577"/>
    </row>
    <row r="639" spans="1:34" ht="20.25" customHeight="1" thickBot="1" x14ac:dyDescent="0.25">
      <c r="A639" s="30"/>
      <c r="B639" s="878" t="s">
        <v>362</v>
      </c>
      <c r="C639" s="879"/>
      <c r="D639" s="879"/>
      <c r="E639" s="879"/>
      <c r="F639" s="879"/>
      <c r="G639" s="879"/>
      <c r="H639" s="879"/>
      <c r="I639" s="879"/>
      <c r="J639" s="879"/>
      <c r="K639" s="879"/>
      <c r="L639" s="879"/>
      <c r="M639" s="879"/>
      <c r="N639" s="879"/>
      <c r="O639" s="879"/>
      <c r="P639" s="879"/>
      <c r="Q639" s="879"/>
      <c r="R639" s="879"/>
      <c r="S639" s="879"/>
      <c r="T639" s="879"/>
      <c r="U639" s="879"/>
      <c r="V639" s="879"/>
      <c r="W639" s="880"/>
      <c r="AF639" s="828"/>
      <c r="AG639" s="829"/>
      <c r="AH639" s="829"/>
    </row>
    <row r="640" spans="1:34" ht="12.6" customHeight="1" x14ac:dyDescent="0.2">
      <c r="A640" s="20"/>
      <c r="B640" s="1184"/>
      <c r="C640" s="1185"/>
      <c r="D640" s="1185"/>
      <c r="E640" s="1185"/>
      <c r="F640" s="1185"/>
      <c r="G640" s="1186"/>
      <c r="H640" s="359"/>
      <c r="I640" s="360" t="s">
        <v>312</v>
      </c>
      <c r="J640" s="360"/>
      <c r="K640" s="360" t="s">
        <v>18</v>
      </c>
      <c r="L640" s="360"/>
      <c r="M640" s="360" t="s">
        <v>19</v>
      </c>
      <c r="N640" s="360"/>
      <c r="O640" s="360" t="s">
        <v>20</v>
      </c>
      <c r="P640" s="360"/>
      <c r="Q640" s="360" t="s">
        <v>314</v>
      </c>
      <c r="R640" s="360"/>
      <c r="S640" s="360" t="s">
        <v>21</v>
      </c>
      <c r="T640" s="360"/>
      <c r="U640" s="360" t="s">
        <v>22</v>
      </c>
      <c r="V640" s="360"/>
      <c r="W640" s="361" t="s">
        <v>23</v>
      </c>
    </row>
    <row r="641" spans="1:35" ht="12.6" customHeight="1" x14ac:dyDescent="0.2">
      <c r="A641" s="1177"/>
      <c r="B641" s="859" t="s">
        <v>610</v>
      </c>
      <c r="C641" s="860"/>
      <c r="D641" s="860"/>
      <c r="E641" s="860"/>
      <c r="F641" s="860"/>
      <c r="G641" s="861"/>
      <c r="H641" s="357"/>
      <c r="I641" s="514"/>
      <c r="J641" s="515"/>
      <c r="K641" s="460"/>
      <c r="L641" s="356">
        <v>50</v>
      </c>
      <c r="M641" s="460">
        <f>+L641*$X$1</f>
        <v>50</v>
      </c>
      <c r="N641" s="513">
        <v>40</v>
      </c>
      <c r="O641" s="460">
        <f>+N641*$X$1</f>
        <v>40</v>
      </c>
      <c r="P641" s="513">
        <v>35</v>
      </c>
      <c r="Q641" s="460">
        <f>+P641*$X$1</f>
        <v>35</v>
      </c>
      <c r="R641" s="513">
        <v>31</v>
      </c>
      <c r="S641" s="460">
        <f>+R641*$X$1</f>
        <v>31</v>
      </c>
      <c r="T641" s="513">
        <v>28</v>
      </c>
      <c r="U641" s="461">
        <f>+T641*$X$1</f>
        <v>28</v>
      </c>
      <c r="V641" s="513">
        <v>25</v>
      </c>
      <c r="W641" s="462">
        <f>+V641*$X$1</f>
        <v>25</v>
      </c>
    </row>
    <row r="642" spans="1:35" ht="12.6" customHeight="1" x14ac:dyDescent="0.2">
      <c r="A642" s="1177"/>
      <c r="B642" s="1100" t="s">
        <v>363</v>
      </c>
      <c r="C642" s="1101"/>
      <c r="D642" s="1101"/>
      <c r="E642" s="1101"/>
      <c r="F642" s="1101"/>
      <c r="G642" s="1102"/>
      <c r="H642" s="79"/>
      <c r="I642" s="516"/>
      <c r="J642" s="517">
        <v>120</v>
      </c>
      <c r="K642" s="463">
        <f>+J642*$X$1</f>
        <v>120</v>
      </c>
      <c r="L642" s="518">
        <v>90</v>
      </c>
      <c r="M642" s="519">
        <f>+L642*$X$1</f>
        <v>90</v>
      </c>
      <c r="N642" s="121">
        <v>70</v>
      </c>
      <c r="O642" s="519">
        <f>+N642*$X$1</f>
        <v>70</v>
      </c>
      <c r="P642" s="121">
        <v>60</v>
      </c>
      <c r="Q642" s="519">
        <f>+P642*$X$1</f>
        <v>60</v>
      </c>
      <c r="R642" s="121">
        <v>50</v>
      </c>
      <c r="S642" s="519">
        <f>+R642*$X$1</f>
        <v>50</v>
      </c>
      <c r="T642" s="121">
        <v>45</v>
      </c>
      <c r="U642" s="519">
        <f>+T642*$X$1</f>
        <v>45</v>
      </c>
      <c r="V642" s="121">
        <v>40</v>
      </c>
      <c r="W642" s="520">
        <f>+V642*$X$1</f>
        <v>40</v>
      </c>
    </row>
    <row r="643" spans="1:35" ht="12.6" customHeight="1" x14ac:dyDescent="0.2">
      <c r="A643" s="1177"/>
      <c r="B643" s="859" t="s">
        <v>611</v>
      </c>
      <c r="C643" s="860"/>
      <c r="D643" s="860"/>
      <c r="E643" s="860"/>
      <c r="F643" s="860"/>
      <c r="G643" s="861"/>
      <c r="H643" s="356"/>
      <c r="I643" s="460"/>
      <c r="J643" s="356"/>
      <c r="K643" s="460"/>
      <c r="L643" s="356">
        <v>75</v>
      </c>
      <c r="M643" s="460">
        <f>+L643*$X$1</f>
        <v>75</v>
      </c>
      <c r="N643" s="513">
        <v>60</v>
      </c>
      <c r="O643" s="460">
        <f>+N643*$X$1</f>
        <v>60</v>
      </c>
      <c r="P643" s="513">
        <v>55</v>
      </c>
      <c r="Q643" s="460">
        <f>+P643*$X$1</f>
        <v>55</v>
      </c>
      <c r="R643" s="513">
        <v>50</v>
      </c>
      <c r="S643" s="460">
        <f>+R643*$X$1</f>
        <v>50</v>
      </c>
      <c r="T643" s="513">
        <v>46</v>
      </c>
      <c r="U643" s="461">
        <f>+T643*$X$1</f>
        <v>46</v>
      </c>
      <c r="V643" s="513">
        <v>42</v>
      </c>
      <c r="W643" s="462">
        <f>+V643*$X$1</f>
        <v>42</v>
      </c>
    </row>
    <row r="644" spans="1:35" ht="12.6" customHeight="1" x14ac:dyDescent="0.2">
      <c r="A644" s="1177"/>
      <c r="B644" s="870" t="s">
        <v>609</v>
      </c>
      <c r="C644" s="871"/>
      <c r="D644" s="871"/>
      <c r="E644" s="871"/>
      <c r="F644" s="871"/>
      <c r="G644" s="872"/>
      <c r="H644" s="521">
        <v>290</v>
      </c>
      <c r="I644" s="463">
        <f>+H644*$X$1</f>
        <v>290</v>
      </c>
      <c r="J644" s="521">
        <v>150</v>
      </c>
      <c r="K644" s="463">
        <f>+J644*$X$1</f>
        <v>150</v>
      </c>
      <c r="L644" s="521">
        <v>120</v>
      </c>
      <c r="M644" s="463">
        <f>+L644*$X$1</f>
        <v>120</v>
      </c>
      <c r="N644" s="386">
        <v>100</v>
      </c>
      <c r="O644" s="463">
        <f>+N644*$X$1</f>
        <v>100</v>
      </c>
      <c r="P644" s="386">
        <v>85</v>
      </c>
      <c r="Q644" s="463">
        <f>+P644*$X$1</f>
        <v>85</v>
      </c>
      <c r="R644" s="386">
        <v>78</v>
      </c>
      <c r="S644" s="463">
        <f>+R644*$X$1</f>
        <v>78</v>
      </c>
      <c r="T644" s="386">
        <v>73</v>
      </c>
      <c r="U644" s="519">
        <f>+T644*$X$1</f>
        <v>73</v>
      </c>
      <c r="V644" s="386">
        <v>68</v>
      </c>
      <c r="W644" s="522">
        <f>+V644*$X$1</f>
        <v>68</v>
      </c>
    </row>
    <row r="645" spans="1:35" ht="12.75" customHeight="1" thickBot="1" x14ac:dyDescent="0.25">
      <c r="A645" s="1177"/>
      <c r="B645" s="903" t="s">
        <v>612</v>
      </c>
      <c r="C645" s="904"/>
      <c r="D645" s="904"/>
      <c r="E645" s="904"/>
      <c r="F645" s="904"/>
      <c r="G645" s="904"/>
      <c r="H645" s="904"/>
      <c r="I645" s="904"/>
      <c r="J645" s="904"/>
      <c r="K645" s="904"/>
      <c r="L645" s="904"/>
      <c r="M645" s="904"/>
      <c r="N645" s="904"/>
      <c r="O645" s="904"/>
      <c r="P645" s="904"/>
      <c r="Q645" s="904"/>
      <c r="R645" s="904"/>
      <c r="S645" s="904"/>
      <c r="T645" s="904"/>
      <c r="U645" s="904"/>
      <c r="V645" s="904"/>
      <c r="W645" s="905"/>
    </row>
    <row r="646" spans="1:35" ht="13.5" customHeight="1" x14ac:dyDescent="0.2">
      <c r="A646" s="1177"/>
      <c r="B646" s="881" t="s">
        <v>692</v>
      </c>
      <c r="C646" s="882"/>
      <c r="D646" s="882"/>
      <c r="E646" s="882"/>
      <c r="F646" s="882"/>
      <c r="G646" s="883"/>
      <c r="H646" s="865"/>
      <c r="I646" s="862" t="s">
        <v>312</v>
      </c>
      <c r="J646" s="865"/>
      <c r="K646" s="862" t="s">
        <v>18</v>
      </c>
      <c r="L646" s="862"/>
      <c r="M646" s="862" t="s">
        <v>19</v>
      </c>
      <c r="N646" s="862"/>
      <c r="O646" s="862" t="s">
        <v>20</v>
      </c>
      <c r="P646" s="862"/>
      <c r="Q646" s="862" t="s">
        <v>314</v>
      </c>
      <c r="R646" s="862"/>
      <c r="S646" s="862" t="s">
        <v>21</v>
      </c>
      <c r="T646" s="862"/>
      <c r="U646" s="862" t="s">
        <v>22</v>
      </c>
      <c r="V646" s="862"/>
      <c r="W646" s="867" t="s">
        <v>23</v>
      </c>
    </row>
    <row r="647" spans="1:35" ht="11.25" customHeight="1" x14ac:dyDescent="0.2">
      <c r="A647" s="1177"/>
      <c r="B647" s="884"/>
      <c r="C647" s="885"/>
      <c r="D647" s="885"/>
      <c r="E647" s="885"/>
      <c r="F647" s="885"/>
      <c r="G647" s="886"/>
      <c r="H647" s="866"/>
      <c r="I647" s="869"/>
      <c r="J647" s="866"/>
      <c r="K647" s="869"/>
      <c r="L647" s="863"/>
      <c r="M647" s="863"/>
      <c r="N647" s="863"/>
      <c r="O647" s="863"/>
      <c r="P647" s="863"/>
      <c r="Q647" s="863"/>
      <c r="R647" s="863"/>
      <c r="S647" s="863"/>
      <c r="T647" s="863"/>
      <c r="U647" s="863"/>
      <c r="V647" s="863"/>
      <c r="W647" s="868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1177"/>
      <c r="B648" s="1097" t="s">
        <v>690</v>
      </c>
      <c r="C648" s="1098"/>
      <c r="D648" s="1098"/>
      <c r="E648" s="1098"/>
      <c r="F648" s="1098"/>
      <c r="G648" s="1099"/>
      <c r="H648" s="358">
        <v>510</v>
      </c>
      <c r="I648" s="464">
        <f>+H648*$X$1</f>
        <v>510</v>
      </c>
      <c r="J648" s="94">
        <v>410</v>
      </c>
      <c r="K648" s="464">
        <f>+J648*$X$1</f>
        <v>410</v>
      </c>
      <c r="L648" s="513">
        <v>360</v>
      </c>
      <c r="M648" s="460">
        <f>+L648*$X$1</f>
        <v>360</v>
      </c>
      <c r="N648" s="513">
        <v>320</v>
      </c>
      <c r="O648" s="460">
        <f>+N648*$X$1</f>
        <v>320</v>
      </c>
      <c r="P648" s="513">
        <v>270</v>
      </c>
      <c r="Q648" s="460">
        <f>+P648*$X$1</f>
        <v>270</v>
      </c>
      <c r="R648" s="513">
        <v>250</v>
      </c>
      <c r="S648" s="460">
        <f>+R648*$X$1</f>
        <v>250</v>
      </c>
      <c r="T648" s="513">
        <v>230</v>
      </c>
      <c r="U648" s="460">
        <f>+T648*$X$1</f>
        <v>230</v>
      </c>
      <c r="V648" s="513">
        <v>220</v>
      </c>
      <c r="W648" s="462">
        <f>+V648*$X$1</f>
        <v>220</v>
      </c>
    </row>
    <row r="649" spans="1:35" ht="12.6" customHeight="1" x14ac:dyDescent="0.2">
      <c r="A649" s="1177"/>
      <c r="B649" s="1178" t="s">
        <v>687</v>
      </c>
      <c r="C649" s="1179"/>
      <c r="D649" s="1179"/>
      <c r="E649" s="1179"/>
      <c r="F649" s="1179"/>
      <c r="G649" s="1180"/>
      <c r="H649" s="97">
        <v>570</v>
      </c>
      <c r="I649" s="524">
        <f>+H649*$X$1</f>
        <v>570</v>
      </c>
      <c r="J649" s="75">
        <v>480</v>
      </c>
      <c r="K649" s="524">
        <f>+J649*$X$1</f>
        <v>480</v>
      </c>
      <c r="L649" s="386">
        <v>450</v>
      </c>
      <c r="M649" s="463">
        <f>+L649*$X$1</f>
        <v>450</v>
      </c>
      <c r="N649" s="386">
        <v>410</v>
      </c>
      <c r="O649" s="463">
        <f>+N649*$X$1</f>
        <v>410</v>
      </c>
      <c r="P649" s="386">
        <v>380</v>
      </c>
      <c r="Q649" s="463">
        <f>+P649*$X$1</f>
        <v>380</v>
      </c>
      <c r="R649" s="386">
        <v>350</v>
      </c>
      <c r="S649" s="463">
        <f>+R649*$X$1</f>
        <v>350</v>
      </c>
      <c r="T649" s="386">
        <v>330</v>
      </c>
      <c r="U649" s="463">
        <f>+T649*$X$1</f>
        <v>330</v>
      </c>
      <c r="V649" s="386">
        <v>310</v>
      </c>
      <c r="W649" s="522">
        <f>+V649*$X$1</f>
        <v>310</v>
      </c>
    </row>
    <row r="650" spans="1:35" ht="12.6" customHeight="1" x14ac:dyDescent="0.2">
      <c r="A650" s="1177"/>
      <c r="B650" s="1097" t="s">
        <v>689</v>
      </c>
      <c r="C650" s="1098"/>
      <c r="D650" s="1098"/>
      <c r="E650" s="1098"/>
      <c r="F650" s="1098"/>
      <c r="G650" s="1099"/>
      <c r="H650" s="358">
        <v>780</v>
      </c>
      <c r="I650" s="464">
        <f>+H650*$X$1</f>
        <v>780</v>
      </c>
      <c r="J650" s="94">
        <v>700</v>
      </c>
      <c r="K650" s="464">
        <f>+J650*$X$1</f>
        <v>700</v>
      </c>
      <c r="L650" s="513">
        <v>600</v>
      </c>
      <c r="M650" s="460">
        <f>+L650*$X$1</f>
        <v>600</v>
      </c>
      <c r="N650" s="513">
        <v>550</v>
      </c>
      <c r="O650" s="460">
        <f>+N650*$X$1</f>
        <v>550</v>
      </c>
      <c r="P650" s="513">
        <v>510</v>
      </c>
      <c r="Q650" s="460">
        <f>+P650*$X$1</f>
        <v>510</v>
      </c>
      <c r="R650" s="513">
        <v>490</v>
      </c>
      <c r="S650" s="460">
        <f>+R650*$X$1</f>
        <v>490</v>
      </c>
      <c r="T650" s="513">
        <v>480</v>
      </c>
      <c r="U650" s="460">
        <f>+T650*$X$1</f>
        <v>480</v>
      </c>
      <c r="V650" s="513">
        <v>460</v>
      </c>
      <c r="W650" s="462">
        <f>+V650*$X$1</f>
        <v>460</v>
      </c>
    </row>
    <row r="651" spans="1:35" ht="12.6" customHeight="1" thickBot="1" x14ac:dyDescent="0.25">
      <c r="A651" s="1177"/>
      <c r="B651" s="1181" t="s">
        <v>688</v>
      </c>
      <c r="C651" s="1182"/>
      <c r="D651" s="1182"/>
      <c r="E651" s="1182"/>
      <c r="F651" s="1182"/>
      <c r="G651" s="1183"/>
      <c r="H651" s="523">
        <v>1060</v>
      </c>
      <c r="I651" s="525">
        <f>+H651*$X$1</f>
        <v>1060</v>
      </c>
      <c r="J651" s="526">
        <v>920</v>
      </c>
      <c r="K651" s="527">
        <f>+J651*$X$1</f>
        <v>920</v>
      </c>
      <c r="L651" s="528">
        <v>800</v>
      </c>
      <c r="M651" s="529">
        <f>+L651*$X$1</f>
        <v>800</v>
      </c>
      <c r="N651" s="528">
        <v>740</v>
      </c>
      <c r="O651" s="529">
        <f>+N651*$X$1</f>
        <v>740</v>
      </c>
      <c r="P651" s="528">
        <v>710</v>
      </c>
      <c r="Q651" s="529">
        <f>+P651*$X$1</f>
        <v>710</v>
      </c>
      <c r="R651" s="528">
        <v>690</v>
      </c>
      <c r="S651" s="529">
        <f>+R651*$X$1</f>
        <v>690</v>
      </c>
      <c r="T651" s="528">
        <v>670</v>
      </c>
      <c r="U651" s="529">
        <f>+T651*$X$1</f>
        <v>670</v>
      </c>
      <c r="V651" s="528">
        <v>650</v>
      </c>
      <c r="W651" s="530">
        <f>+V651*$X$1</f>
        <v>650</v>
      </c>
    </row>
    <row r="652" spans="1:35" ht="8.25" customHeight="1" x14ac:dyDescent="0.2">
      <c r="A652" s="220"/>
      <c r="B652" s="221"/>
      <c r="C652" s="221"/>
      <c r="D652" s="221"/>
      <c r="E652" s="221"/>
      <c r="F652" s="222"/>
      <c r="G652" s="222"/>
      <c r="H652" s="79"/>
      <c r="I652" s="223"/>
      <c r="J652" s="223"/>
      <c r="K652" s="223"/>
      <c r="L652" s="223"/>
      <c r="M652" s="223"/>
      <c r="N652" s="223"/>
      <c r="O652" s="223"/>
      <c r="P652" s="223"/>
      <c r="Q652" s="223"/>
      <c r="R652" s="223"/>
      <c r="S652" s="223"/>
      <c r="T652" s="223"/>
      <c r="U652" s="223"/>
      <c r="V652" s="79"/>
      <c r="W652" s="215"/>
      <c r="X652" s="214"/>
      <c r="Y652" s="214"/>
      <c r="Z652" s="214"/>
      <c r="AA652" s="214"/>
      <c r="AB652" s="224"/>
    </row>
    <row r="653" spans="1:35" ht="13.5" customHeight="1" x14ac:dyDescent="0.2">
      <c r="B653" s="1095" t="s">
        <v>620</v>
      </c>
      <c r="C653" s="1096"/>
      <c r="D653" s="1096"/>
      <c r="E653" s="1096"/>
      <c r="F653" s="1096"/>
      <c r="G653" s="1096"/>
      <c r="H653" s="1096"/>
      <c r="I653" s="1096"/>
      <c r="J653" s="1096"/>
      <c r="K653" s="73" t="s">
        <v>613</v>
      </c>
      <c r="L653" s="74">
        <v>22</v>
      </c>
      <c r="M653" s="459">
        <f>+L653*$X$1</f>
        <v>22</v>
      </c>
      <c r="N653" s="72"/>
      <c r="O653" s="73" t="s">
        <v>614</v>
      </c>
      <c r="P653" s="74">
        <v>20</v>
      </c>
      <c r="Q653" s="459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8"/>
      <c r="D654" s="188"/>
      <c r="E654" s="188"/>
      <c r="F654" s="188"/>
      <c r="G654" s="188"/>
      <c r="H654" s="188"/>
      <c r="I654" s="188"/>
      <c r="J654" s="188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93" t="s">
        <v>364</v>
      </c>
      <c r="D655" s="1094"/>
      <c r="E655" s="1094"/>
      <c r="F655" s="1094"/>
      <c r="G655" s="1094"/>
      <c r="H655" s="1094"/>
      <c r="I655" s="1094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168" t="s">
        <v>365</v>
      </c>
      <c r="D656" s="1169"/>
      <c r="E656" s="1169"/>
      <c r="F656" s="1169"/>
      <c r="G656" s="1170"/>
      <c r="H656" s="578"/>
      <c r="I656" s="572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90" t="s">
        <v>366</v>
      </c>
      <c r="D657" s="1091"/>
      <c r="E657" s="1091"/>
      <c r="F657" s="1091"/>
      <c r="G657" s="1092"/>
      <c r="H657" s="45"/>
      <c r="I657" s="579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90" t="s">
        <v>367</v>
      </c>
      <c r="D658" s="1091"/>
      <c r="E658" s="1091"/>
      <c r="F658" s="1091"/>
      <c r="G658" s="1092"/>
      <c r="H658" s="47"/>
      <c r="I658" s="458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82" t="s">
        <v>685</v>
      </c>
      <c r="D659" s="1083"/>
      <c r="E659" s="1083"/>
      <c r="F659" s="1083"/>
      <c r="G659" s="1083"/>
      <c r="H659" s="1084"/>
      <c r="I659" s="1085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86"/>
      <c r="D660" s="885"/>
      <c r="E660" s="885"/>
      <c r="F660" s="885"/>
      <c r="G660" s="885"/>
      <c r="H660" s="1087"/>
      <c r="I660" s="1088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20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887" t="s">
        <v>668</v>
      </c>
      <c r="C662" s="888"/>
      <c r="D662" s="888"/>
      <c r="E662" s="888"/>
      <c r="F662" s="888"/>
      <c r="G662" s="888"/>
      <c r="H662" s="888"/>
      <c r="I662" s="888"/>
      <c r="J662" s="888"/>
      <c r="K662" s="888"/>
      <c r="L662" s="888"/>
      <c r="M662" s="888"/>
      <c r="N662" s="888"/>
      <c r="O662" s="888"/>
      <c r="P662" s="888"/>
      <c r="Q662" s="888"/>
      <c r="R662" s="888"/>
      <c r="S662" s="888"/>
      <c r="T662" s="888"/>
      <c r="U662" s="888"/>
      <c r="V662" s="888"/>
      <c r="W662" s="889"/>
    </row>
    <row r="663" spans="2:34" ht="13.5" customHeight="1" x14ac:dyDescent="0.2">
      <c r="B663" s="890"/>
      <c r="C663" s="891"/>
      <c r="D663" s="891"/>
      <c r="E663" s="891"/>
      <c r="F663" s="891"/>
      <c r="G663" s="891"/>
      <c r="H663" s="891"/>
      <c r="I663" s="891"/>
      <c r="J663" s="891"/>
      <c r="K663" s="891"/>
      <c r="L663" s="891"/>
      <c r="M663" s="891"/>
      <c r="N663" s="891"/>
      <c r="O663" s="891"/>
      <c r="P663" s="891"/>
      <c r="Q663" s="891"/>
      <c r="R663" s="891"/>
      <c r="S663" s="891"/>
      <c r="T663" s="891"/>
      <c r="U663" s="891"/>
      <c r="V663" s="891"/>
      <c r="W663" s="892"/>
    </row>
    <row r="664" spans="2:34" ht="13.5" customHeight="1" thickBot="1" x14ac:dyDescent="0.25">
      <c r="B664" s="893"/>
      <c r="C664" s="894"/>
      <c r="D664" s="894"/>
      <c r="E664" s="894"/>
      <c r="F664" s="894"/>
      <c r="G664" s="894"/>
      <c r="H664" s="894"/>
      <c r="I664" s="894"/>
      <c r="J664" s="894"/>
      <c r="K664" s="894"/>
      <c r="L664" s="894"/>
      <c r="M664" s="894"/>
      <c r="N664" s="894"/>
      <c r="O664" s="894"/>
      <c r="P664" s="894"/>
      <c r="Q664" s="894"/>
      <c r="R664" s="894"/>
      <c r="S664" s="894"/>
      <c r="T664" s="894"/>
      <c r="U664" s="894"/>
      <c r="V664" s="894"/>
      <c r="W664" s="895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896" t="s">
        <v>808</v>
      </c>
      <c r="D666" s="897"/>
      <c r="E666" s="897"/>
      <c r="F666" s="897"/>
      <c r="G666" s="897"/>
      <c r="H666" s="897"/>
      <c r="I666" s="89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828" t="s">
        <v>3</v>
      </c>
      <c r="AG666" s="829"/>
      <c r="AH666" s="829"/>
    </row>
    <row r="667" spans="2:34" ht="12.95" customHeight="1" x14ac:dyDescent="0.2">
      <c r="B667" s="3"/>
      <c r="C667" s="1073"/>
      <c r="D667" s="1074"/>
      <c r="E667" s="1074"/>
      <c r="F667" s="1074"/>
      <c r="G667" s="1074"/>
      <c r="H667" s="1074"/>
      <c r="I667" s="1075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76"/>
      <c r="D668" s="1077"/>
      <c r="E668" s="1077"/>
      <c r="F668" s="1077"/>
      <c r="G668" s="1077"/>
      <c r="H668" s="1077"/>
      <c r="I668" s="1078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76"/>
      <c r="D669" s="1077"/>
      <c r="E669" s="1077"/>
      <c r="F669" s="1077"/>
      <c r="G669" s="1077"/>
      <c r="H669" s="1077"/>
      <c r="I669" s="107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76"/>
      <c r="D670" s="1077"/>
      <c r="E670" s="1077"/>
      <c r="F670" s="1077"/>
      <c r="G670" s="1077"/>
      <c r="H670" s="1077"/>
      <c r="I670" s="107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76"/>
      <c r="D671" s="1077"/>
      <c r="E671" s="1077"/>
      <c r="F671" s="1077"/>
      <c r="G671" s="1077"/>
      <c r="H671" s="1077"/>
      <c r="I671" s="107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76"/>
      <c r="D672" s="1077"/>
      <c r="E672" s="1077"/>
      <c r="F672" s="1077"/>
      <c r="G672" s="1077"/>
      <c r="H672" s="1077"/>
      <c r="I672" s="107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79"/>
      <c r="D673" s="1080"/>
      <c r="E673" s="1080"/>
      <c r="F673" s="1080"/>
      <c r="G673" s="1080"/>
      <c r="H673" s="1080"/>
      <c r="I673" s="1081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899" t="s">
        <v>489</v>
      </c>
      <c r="D674" s="899"/>
      <c r="E674" s="900"/>
      <c r="F674" s="900"/>
      <c r="G674" s="901"/>
      <c r="H674" s="47">
        <v>800</v>
      </c>
      <c r="I674" s="463">
        <f>+H674*$X$1</f>
        <v>800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899" t="s">
        <v>809</v>
      </c>
      <c r="D675" s="899"/>
      <c r="E675" s="900"/>
      <c r="F675" s="900"/>
      <c r="G675" s="901"/>
      <c r="H675" s="47">
        <v>760</v>
      </c>
      <c r="I675" s="463">
        <f>+H675*$X$1</f>
        <v>760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1118" t="s">
        <v>686</v>
      </c>
      <c r="C677" s="1119"/>
      <c r="D677" s="1119"/>
      <c r="E677" s="1119"/>
      <c r="F677" s="1119"/>
      <c r="G677" s="1119"/>
      <c r="H677" s="1119"/>
      <c r="I677" s="1119"/>
      <c r="J677" s="1119"/>
      <c r="K677" s="1119"/>
      <c r="L677" s="1119"/>
      <c r="M677" s="1119"/>
      <c r="N677" s="1119"/>
      <c r="O677" s="1119"/>
      <c r="P677" s="1119"/>
      <c r="Q677" s="1119"/>
      <c r="R677" s="1119"/>
      <c r="S677" s="1119"/>
      <c r="T677" s="1119"/>
      <c r="U677" s="1119"/>
      <c r="V677" s="1119"/>
      <c r="W677" s="1120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1115" t="s">
        <v>368</v>
      </c>
      <c r="C679" s="1116"/>
      <c r="D679" s="1116"/>
      <c r="E679" s="1116"/>
      <c r="F679" s="1116"/>
      <c r="G679" s="1116"/>
      <c r="H679" s="1116"/>
      <c r="I679" s="1116"/>
      <c r="J679" s="1116"/>
      <c r="K679" s="1116"/>
      <c r="L679" s="1116"/>
      <c r="M679" s="1116"/>
      <c r="N679" s="1116"/>
      <c r="O679" s="1116"/>
      <c r="P679" s="1116"/>
      <c r="Q679" s="1116"/>
      <c r="R679" s="1116"/>
      <c r="S679" s="1116"/>
      <c r="T679" s="1116"/>
      <c r="U679" s="1116"/>
      <c r="V679" s="1116"/>
      <c r="W679" s="1117"/>
    </row>
    <row r="680" spans="2:34" ht="15.75" customHeight="1" x14ac:dyDescent="0.2">
      <c r="B680" s="1137" t="s">
        <v>369</v>
      </c>
      <c r="C680" s="1138"/>
      <c r="D680" s="1138"/>
      <c r="E680" s="1138"/>
      <c r="F680" s="1138"/>
      <c r="G680" s="1138"/>
      <c r="H680" s="1138"/>
      <c r="I680" s="1138"/>
      <c r="J680" s="1138"/>
      <c r="K680" s="1138"/>
      <c r="L680" s="1138"/>
      <c r="M680" s="1138"/>
      <c r="N680" s="1138"/>
      <c r="O680" s="1138"/>
      <c r="P680" s="1138"/>
      <c r="Q680" s="1138"/>
      <c r="R680" s="1138"/>
      <c r="S680" s="1138"/>
      <c r="T680" s="1138"/>
      <c r="U680" s="1138"/>
      <c r="V680" s="1138"/>
      <c r="W680" s="1139"/>
      <c r="AF680" s="828"/>
      <c r="AG680" s="829"/>
      <c r="AH680" s="829"/>
    </row>
    <row r="681" spans="2:34" ht="15.75" customHeight="1" thickBot="1" x14ac:dyDescent="0.25">
      <c r="B681" s="1165" t="s">
        <v>370</v>
      </c>
      <c r="C681" s="1166"/>
      <c r="D681" s="1166"/>
      <c r="E681" s="1166"/>
      <c r="F681" s="1166"/>
      <c r="G681" s="1166"/>
      <c r="H681" s="1166"/>
      <c r="I681" s="1166"/>
      <c r="J681" s="1166"/>
      <c r="K681" s="1166"/>
      <c r="L681" s="1166"/>
      <c r="M681" s="1166"/>
      <c r="N681" s="1166"/>
      <c r="O681" s="1166"/>
      <c r="P681" s="1166"/>
      <c r="Q681" s="1166"/>
      <c r="R681" s="1166"/>
      <c r="S681" s="1166"/>
      <c r="T681" s="1166"/>
      <c r="U681" s="1166"/>
      <c r="V681" s="1166"/>
      <c r="W681" s="1167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162" t="s">
        <v>371</v>
      </c>
      <c r="C683" s="1163"/>
      <c r="D683" s="1163"/>
      <c r="E683" s="1163"/>
      <c r="F683" s="1163"/>
      <c r="G683" s="1163"/>
      <c r="H683" s="1163"/>
      <c r="I683" s="1163"/>
      <c r="J683" s="1163"/>
      <c r="K683" s="1163"/>
      <c r="L683" s="1163"/>
      <c r="M683" s="1163"/>
      <c r="N683" s="1163"/>
      <c r="O683" s="1163"/>
      <c r="P683" s="1163"/>
      <c r="Q683" s="1163"/>
      <c r="R683" s="1163"/>
      <c r="S683" s="1163"/>
      <c r="T683" s="1163"/>
      <c r="U683" s="1163"/>
      <c r="V683" s="1163"/>
      <c r="W683" s="1164"/>
    </row>
    <row r="684" spans="2:34" x14ac:dyDescent="0.2">
      <c r="B684" s="1147" t="s">
        <v>372</v>
      </c>
      <c r="C684" s="1148"/>
      <c r="D684" s="1148"/>
      <c r="E684" s="1148"/>
      <c r="F684" s="1148"/>
      <c r="G684" s="1148"/>
      <c r="H684" s="1148"/>
      <c r="I684" s="1148"/>
      <c r="J684" s="1148"/>
      <c r="K684" s="1148"/>
      <c r="L684" s="1148"/>
      <c r="M684" s="1148"/>
      <c r="N684" s="1149"/>
      <c r="O684" s="1149"/>
      <c r="P684" s="1149"/>
      <c r="Q684" s="1149"/>
      <c r="R684" s="1149"/>
      <c r="S684" s="1149"/>
      <c r="T684" s="1149"/>
      <c r="U684" s="1149"/>
      <c r="V684" s="1149"/>
      <c r="W684" s="1150"/>
    </row>
    <row r="685" spans="2:34" ht="12.75" customHeight="1" x14ac:dyDescent="0.2">
      <c r="B685" s="1151"/>
      <c r="C685" s="1148"/>
      <c r="D685" s="1148"/>
      <c r="E685" s="1148"/>
      <c r="F685" s="1148"/>
      <c r="G685" s="1148"/>
      <c r="H685" s="1148"/>
      <c r="I685" s="1148"/>
      <c r="J685" s="1148"/>
      <c r="K685" s="1148"/>
      <c r="L685" s="1148"/>
      <c r="M685" s="1148"/>
      <c r="N685" s="1149"/>
      <c r="O685" s="1149"/>
      <c r="P685" s="1149"/>
      <c r="Q685" s="1149"/>
      <c r="R685" s="1149"/>
      <c r="S685" s="1149"/>
      <c r="T685" s="1149"/>
      <c r="U685" s="1149"/>
      <c r="V685" s="1149"/>
      <c r="W685" s="1150"/>
    </row>
    <row r="686" spans="2:34" x14ac:dyDescent="0.2">
      <c r="B686" s="1151"/>
      <c r="C686" s="1148"/>
      <c r="D686" s="1148"/>
      <c r="E686" s="1148"/>
      <c r="F686" s="1148"/>
      <c r="G686" s="1148"/>
      <c r="H686" s="1148"/>
      <c r="I686" s="1148"/>
      <c r="J686" s="1148"/>
      <c r="K686" s="1148"/>
      <c r="L686" s="1148"/>
      <c r="M686" s="1148"/>
      <c r="N686" s="1149"/>
      <c r="O686" s="1149"/>
      <c r="P686" s="1149"/>
      <c r="Q686" s="1149"/>
      <c r="R686" s="1149"/>
      <c r="S686" s="1149"/>
      <c r="T686" s="1149"/>
      <c r="U686" s="1149"/>
      <c r="V686" s="1149"/>
      <c r="W686" s="1150"/>
    </row>
    <row r="687" spans="2:34" ht="13.5" thickBot="1" x14ac:dyDescent="0.25">
      <c r="B687" s="1152"/>
      <c r="C687" s="1153"/>
      <c r="D687" s="1153"/>
      <c r="E687" s="1153"/>
      <c r="F687" s="1153"/>
      <c r="G687" s="1153"/>
      <c r="H687" s="1153"/>
      <c r="I687" s="1153"/>
      <c r="J687" s="1153"/>
      <c r="K687" s="1153"/>
      <c r="L687" s="1153"/>
      <c r="M687" s="1153"/>
      <c r="N687" s="1154"/>
      <c r="O687" s="1154"/>
      <c r="P687" s="1154"/>
      <c r="Q687" s="1154"/>
      <c r="R687" s="1154"/>
      <c r="S687" s="1154"/>
      <c r="T687" s="1154"/>
      <c r="U687" s="1154"/>
      <c r="V687" s="1154"/>
      <c r="W687" s="1155"/>
    </row>
    <row r="688" spans="2:34" ht="12.6" customHeight="1" thickBot="1" x14ac:dyDescent="0.25">
      <c r="B688" s="227"/>
      <c r="C688" s="227"/>
      <c r="D688" s="227"/>
      <c r="E688" s="227"/>
      <c r="F688" s="227"/>
      <c r="G688" s="227"/>
      <c r="H688" s="227"/>
      <c r="I688" s="227"/>
      <c r="J688" s="227"/>
      <c r="K688" s="227"/>
      <c r="L688" s="227"/>
      <c r="M688" s="228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156" t="s">
        <v>373</v>
      </c>
      <c r="C689" s="1157"/>
      <c r="D689" s="1157"/>
      <c r="E689" s="1157"/>
      <c r="F689" s="1157"/>
      <c r="G689" s="1157"/>
      <c r="H689" s="1157"/>
      <c r="I689" s="1157"/>
      <c r="J689" s="1157"/>
      <c r="K689" s="1157"/>
      <c r="L689" s="1157"/>
      <c r="M689" s="1157"/>
      <c r="N689" s="1157"/>
      <c r="O689" s="1157"/>
      <c r="P689" s="1157"/>
      <c r="Q689" s="1157"/>
      <c r="R689" s="1157"/>
      <c r="S689" s="1157"/>
      <c r="T689" s="1157"/>
      <c r="U689" s="1157"/>
      <c r="V689" s="1157"/>
      <c r="W689" s="1158"/>
    </row>
    <row r="690" spans="2:26" ht="13.5" thickBot="1" x14ac:dyDescent="0.25">
      <c r="B690" s="1159"/>
      <c r="C690" s="1160"/>
      <c r="D690" s="1160"/>
      <c r="E690" s="1160"/>
      <c r="F690" s="1160"/>
      <c r="G690" s="1160"/>
      <c r="H690" s="1160"/>
      <c r="I690" s="1160"/>
      <c r="J690" s="1160"/>
      <c r="K690" s="1160"/>
      <c r="L690" s="1160"/>
      <c r="M690" s="1160"/>
      <c r="N690" s="1160"/>
      <c r="O690" s="1160"/>
      <c r="P690" s="1160"/>
      <c r="Q690" s="1160"/>
      <c r="R690" s="1160"/>
      <c r="S690" s="1160"/>
      <c r="T690" s="1160"/>
      <c r="U690" s="1160"/>
      <c r="V690" s="1160"/>
      <c r="W690" s="1161"/>
    </row>
    <row r="691" spans="2:26" ht="13.5" thickBot="1" x14ac:dyDescent="0.25">
      <c r="B691" s="1140" t="s">
        <v>374</v>
      </c>
      <c r="C691" s="1141"/>
      <c r="D691" s="1141"/>
      <c r="E691" s="1141"/>
      <c r="F691" s="1141"/>
      <c r="G691" s="1141"/>
      <c r="H691" s="1141"/>
      <c r="I691" s="1141"/>
      <c r="J691" s="1141"/>
      <c r="K691" s="1141"/>
      <c r="L691" s="1141"/>
      <c r="M691" s="1141"/>
      <c r="N691" s="1141"/>
      <c r="O691" s="1141"/>
      <c r="P691" s="1141"/>
      <c r="Q691" s="1141"/>
      <c r="R691" s="1141"/>
      <c r="S691" s="1141"/>
      <c r="T691" s="1141"/>
      <c r="U691" s="1141"/>
      <c r="V691" s="1141"/>
      <c r="W691" s="1142"/>
    </row>
    <row r="692" spans="2:26" ht="12.6" customHeight="1" thickBot="1" x14ac:dyDescent="0.25">
      <c r="B692" s="265"/>
      <c r="C692" s="265"/>
      <c r="D692" s="265"/>
      <c r="E692" s="265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69"/>
    </row>
    <row r="693" spans="2:26" ht="12.75" customHeight="1" thickBot="1" x14ac:dyDescent="0.25">
      <c r="B693" s="1112" t="s">
        <v>375</v>
      </c>
      <c r="C693" s="1113"/>
      <c r="D693" s="1113"/>
      <c r="E693" s="1113"/>
      <c r="F693" s="1113"/>
      <c r="G693" s="1113"/>
      <c r="H693" s="1113"/>
      <c r="I693" s="1113"/>
      <c r="J693" s="1113"/>
      <c r="K693" s="1113"/>
      <c r="L693" s="1113"/>
      <c r="M693" s="1113"/>
      <c r="N693" s="1113"/>
      <c r="O693" s="1113"/>
      <c r="P693" s="1113"/>
      <c r="Q693" s="1113"/>
      <c r="R693" s="1113"/>
      <c r="S693" s="1113"/>
      <c r="T693" s="1113"/>
      <c r="U693" s="1113"/>
      <c r="V693" s="1113"/>
      <c r="W693" s="1114"/>
    </row>
    <row r="694" spans="2:26" ht="15" customHeight="1" thickBot="1" x14ac:dyDescent="0.25">
      <c r="B694" s="1112" t="s">
        <v>446</v>
      </c>
      <c r="C694" s="1113"/>
      <c r="D694" s="1113"/>
      <c r="E694" s="1113"/>
      <c r="F694" s="1113"/>
      <c r="G694" s="1113"/>
      <c r="H694" s="1113"/>
      <c r="I694" s="1113"/>
      <c r="J694" s="1113"/>
      <c r="K694" s="1113"/>
      <c r="L694" s="1113"/>
      <c r="M694" s="1113"/>
      <c r="N694" s="1113"/>
      <c r="O694" s="1113"/>
      <c r="P694" s="1113"/>
      <c r="Q694" s="1113"/>
      <c r="R694" s="1113"/>
      <c r="S694" s="1113"/>
      <c r="T694" s="1113"/>
      <c r="U694" s="1113"/>
      <c r="V694" s="1113"/>
      <c r="W694" s="1114"/>
    </row>
    <row r="695" spans="2:26" ht="90" customHeight="1" thickBot="1" x14ac:dyDescent="0.25">
      <c r="B695" s="1143"/>
      <c r="C695" s="1144"/>
      <c r="D695" s="1144"/>
      <c r="E695" s="1144"/>
      <c r="F695" s="1144"/>
      <c r="G695" s="1144"/>
      <c r="H695" s="1144"/>
      <c r="I695" s="1144"/>
      <c r="J695" s="1144"/>
      <c r="K695" s="1145"/>
      <c r="L695" s="1145"/>
      <c r="M695" s="1145"/>
      <c r="N695" s="1145"/>
      <c r="O695" s="1145"/>
      <c r="P695" s="1145"/>
      <c r="Q695" s="1145"/>
      <c r="R695" s="1145"/>
      <c r="S695" s="1145"/>
      <c r="T695" s="1145"/>
      <c r="U695" s="1145"/>
      <c r="V695" s="1145"/>
      <c r="W695" s="1146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1121" t="s">
        <v>376</v>
      </c>
      <c r="C697" s="1122"/>
      <c r="D697" s="1122"/>
      <c r="E697" s="1122"/>
      <c r="F697" s="1122"/>
      <c r="G697" s="1122"/>
      <c r="H697" s="1122"/>
      <c r="I697" s="1122"/>
      <c r="J697" s="1122"/>
      <c r="K697" s="1123"/>
      <c r="L697" s="1123"/>
      <c r="M697" s="1123"/>
      <c r="N697" s="1123"/>
      <c r="O697" s="1123"/>
      <c r="P697" s="1123"/>
      <c r="Q697" s="1123"/>
      <c r="R697" s="1123"/>
      <c r="S697" s="1123"/>
      <c r="T697" s="1123"/>
      <c r="U697" s="1123"/>
      <c r="V697" s="1123"/>
      <c r="W697" s="1124"/>
    </row>
    <row r="698" spans="2:26" ht="12.75" customHeight="1" x14ac:dyDescent="0.2">
      <c r="B698" s="1125"/>
      <c r="C698" s="1126"/>
      <c r="D698" s="1126"/>
      <c r="E698" s="1126"/>
      <c r="F698" s="1126"/>
      <c r="G698" s="1126"/>
      <c r="H698" s="1126"/>
      <c r="I698" s="1126"/>
      <c r="J698" s="1126"/>
      <c r="K698" s="1127"/>
      <c r="L698" s="1127"/>
      <c r="M698" s="1127"/>
      <c r="N698" s="1127"/>
      <c r="O698" s="1127"/>
      <c r="P698" s="1127"/>
      <c r="Q698" s="1127"/>
      <c r="R698" s="1127"/>
      <c r="S698" s="1127"/>
      <c r="T698" s="1127"/>
      <c r="U698" s="1127"/>
      <c r="V698" s="1127"/>
      <c r="W698" s="1128"/>
    </row>
    <row r="699" spans="2:26" x14ac:dyDescent="0.2">
      <c r="B699" s="1129"/>
      <c r="C699" s="1130"/>
      <c r="D699" s="1130"/>
      <c r="E699" s="1130"/>
      <c r="F699" s="1130"/>
      <c r="G699" s="1130"/>
      <c r="H699" s="1130"/>
      <c r="I699" s="1130"/>
      <c r="J699" s="1130"/>
      <c r="K699" s="1127"/>
      <c r="L699" s="1127"/>
      <c r="M699" s="1127"/>
      <c r="N699" s="1127"/>
      <c r="O699" s="1127"/>
      <c r="P699" s="1127"/>
      <c r="Q699" s="1127"/>
      <c r="R699" s="1127"/>
      <c r="S699" s="1127"/>
      <c r="T699" s="1127"/>
      <c r="U699" s="1127"/>
      <c r="V699" s="1127"/>
      <c r="W699" s="1128"/>
    </row>
    <row r="700" spans="2:26" x14ac:dyDescent="0.2">
      <c r="B700" s="1129"/>
      <c r="C700" s="1130"/>
      <c r="D700" s="1130"/>
      <c r="E700" s="1130"/>
      <c r="F700" s="1130"/>
      <c r="G700" s="1130"/>
      <c r="H700" s="1130"/>
      <c r="I700" s="1130"/>
      <c r="J700" s="1130"/>
      <c r="K700" s="1127"/>
      <c r="L700" s="1127"/>
      <c r="M700" s="1127"/>
      <c r="N700" s="1127"/>
      <c r="O700" s="1127"/>
      <c r="P700" s="1127"/>
      <c r="Q700" s="1127"/>
      <c r="R700" s="1127"/>
      <c r="S700" s="1127"/>
      <c r="T700" s="1127"/>
      <c r="U700" s="1127"/>
      <c r="V700" s="1127"/>
      <c r="W700" s="1128"/>
    </row>
    <row r="701" spans="2:26" x14ac:dyDescent="0.2">
      <c r="B701" s="1129"/>
      <c r="C701" s="1130"/>
      <c r="D701" s="1130"/>
      <c r="E701" s="1130"/>
      <c r="F701" s="1130"/>
      <c r="G701" s="1130"/>
      <c r="H701" s="1130"/>
      <c r="I701" s="1130"/>
      <c r="J701" s="1130"/>
      <c r="K701" s="1127"/>
      <c r="L701" s="1127"/>
      <c r="M701" s="1127"/>
      <c r="N701" s="1127"/>
      <c r="O701" s="1127"/>
      <c r="P701" s="1127"/>
      <c r="Q701" s="1127"/>
      <c r="R701" s="1127"/>
      <c r="S701" s="1127"/>
      <c r="T701" s="1127"/>
      <c r="U701" s="1127"/>
      <c r="V701" s="1127"/>
      <c r="W701" s="1128"/>
    </row>
    <row r="702" spans="2:26" x14ac:dyDescent="0.2">
      <c r="B702" s="1129"/>
      <c r="C702" s="1130"/>
      <c r="D702" s="1130"/>
      <c r="E702" s="1130"/>
      <c r="F702" s="1130"/>
      <c r="G702" s="1130"/>
      <c r="H702" s="1130"/>
      <c r="I702" s="1130"/>
      <c r="J702" s="1130"/>
      <c r="K702" s="1127"/>
      <c r="L702" s="1127"/>
      <c r="M702" s="1127"/>
      <c r="N702" s="1127"/>
      <c r="O702" s="1127"/>
      <c r="P702" s="1127"/>
      <c r="Q702" s="1127"/>
      <c r="R702" s="1127"/>
      <c r="S702" s="1127"/>
      <c r="T702" s="1127"/>
      <c r="U702" s="1127"/>
      <c r="V702" s="1127"/>
      <c r="W702" s="1128"/>
    </row>
    <row r="703" spans="2:26" x14ac:dyDescent="0.2">
      <c r="B703" s="1131"/>
      <c r="C703" s="1132"/>
      <c r="D703" s="1132"/>
      <c r="E703" s="1132"/>
      <c r="F703" s="1132"/>
      <c r="G703" s="1132"/>
      <c r="H703" s="1132"/>
      <c r="I703" s="1132"/>
      <c r="J703" s="1132"/>
      <c r="K703" s="1132"/>
      <c r="L703" s="1132"/>
      <c r="M703" s="1132"/>
      <c r="N703" s="1132"/>
      <c r="O703" s="1132"/>
      <c r="P703" s="1132"/>
      <c r="Q703" s="1132"/>
      <c r="R703" s="1132"/>
      <c r="S703" s="1132"/>
      <c r="T703" s="1132"/>
      <c r="U703" s="1132"/>
      <c r="V703" s="1132"/>
      <c r="W703" s="1133"/>
    </row>
    <row r="704" spans="2:26" ht="13.5" thickBot="1" x14ac:dyDescent="0.25">
      <c r="B704" s="1134"/>
      <c r="C704" s="1135"/>
      <c r="D704" s="1135"/>
      <c r="E704" s="1135"/>
      <c r="F704" s="1135"/>
      <c r="G704" s="1135"/>
      <c r="H704" s="1135"/>
      <c r="I704" s="1135"/>
      <c r="J704" s="1135"/>
      <c r="K704" s="1135"/>
      <c r="L704" s="1135"/>
      <c r="M704" s="1135"/>
      <c r="N704" s="1135"/>
      <c r="O704" s="1135"/>
      <c r="P704" s="1135"/>
      <c r="Q704" s="1135"/>
      <c r="R704" s="1135"/>
      <c r="S704" s="1135"/>
      <c r="T704" s="1135"/>
      <c r="U704" s="1135"/>
      <c r="V704" s="1135"/>
      <c r="W704" s="1136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1109" t="s">
        <v>377</v>
      </c>
      <c r="C706" s="1110"/>
      <c r="D706" s="1110"/>
      <c r="E706" s="1110"/>
      <c r="F706" s="1110"/>
      <c r="G706" s="1110"/>
      <c r="H706" s="1110"/>
      <c r="I706" s="1110"/>
      <c r="J706" s="1110"/>
      <c r="K706" s="1110"/>
      <c r="L706" s="1110"/>
      <c r="M706" s="1110"/>
      <c r="N706" s="1110"/>
      <c r="O706" s="1110"/>
      <c r="P706" s="1110"/>
      <c r="Q706" s="1110"/>
      <c r="R706" s="1110"/>
      <c r="S706" s="1110"/>
      <c r="T706" s="1110"/>
      <c r="U706" s="1110"/>
      <c r="V706" s="1110"/>
      <c r="W706" s="1111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34">
    <mergeCell ref="B525:E525"/>
    <mergeCell ref="AF15:AI15"/>
    <mergeCell ref="B486:E486"/>
    <mergeCell ref="B31:E31"/>
    <mergeCell ref="B499:E499"/>
    <mergeCell ref="X367:AA367"/>
    <mergeCell ref="X180:AA180"/>
    <mergeCell ref="X307:AA307"/>
    <mergeCell ref="B197:E197"/>
    <mergeCell ref="B207:E207"/>
    <mergeCell ref="B204:E204"/>
    <mergeCell ref="B194:E194"/>
    <mergeCell ref="B200:E200"/>
    <mergeCell ref="X258:AA258"/>
    <mergeCell ref="B192:E192"/>
    <mergeCell ref="B233:E233"/>
    <mergeCell ref="B206:E206"/>
    <mergeCell ref="B214:E214"/>
    <mergeCell ref="X254:AA254"/>
    <mergeCell ref="X278:AA278"/>
    <mergeCell ref="B227:E227"/>
    <mergeCell ref="B202:E202"/>
    <mergeCell ref="B210:E210"/>
    <mergeCell ref="X225:AA225"/>
    <mergeCell ref="X245:AA245"/>
    <mergeCell ref="X234:AA234"/>
    <mergeCell ref="X232:AA232"/>
    <mergeCell ref="B239:B240"/>
    <mergeCell ref="B232:E232"/>
    <mergeCell ref="B473:E473"/>
    <mergeCell ref="X473:AA473"/>
    <mergeCell ref="B246:E246"/>
    <mergeCell ref="B18:E18"/>
    <mergeCell ref="C8:E9"/>
    <mergeCell ref="B13:E13"/>
    <mergeCell ref="B42:E42"/>
    <mergeCell ref="X116:AA116"/>
    <mergeCell ref="X246:AA246"/>
    <mergeCell ref="AF399:AH399"/>
    <mergeCell ref="AB399:AB400"/>
    <mergeCell ref="AF319:AH319"/>
    <mergeCell ref="AF239:AH239"/>
    <mergeCell ref="AB319:AB320"/>
    <mergeCell ref="X319:AA320"/>
    <mergeCell ref="X298:AA298"/>
    <mergeCell ref="B269:E269"/>
    <mergeCell ref="B259:E259"/>
    <mergeCell ref="X268:AA268"/>
    <mergeCell ref="B267:E267"/>
    <mergeCell ref="X266:AA266"/>
    <mergeCell ref="X264:AA264"/>
    <mergeCell ref="AB239:AB240"/>
    <mergeCell ref="B275:E275"/>
    <mergeCell ref="B313:E313"/>
    <mergeCell ref="H239:W239"/>
    <mergeCell ref="B388:E388"/>
    <mergeCell ref="B81:E81"/>
    <mergeCell ref="B86:E86"/>
    <mergeCell ref="C79:E80"/>
    <mergeCell ref="B74:E74"/>
    <mergeCell ref="B123:E123"/>
    <mergeCell ref="B102:E102"/>
    <mergeCell ref="B284:E284"/>
    <mergeCell ref="B133:E133"/>
    <mergeCell ref="B616:E616"/>
    <mergeCell ref="X366:AA366"/>
    <mergeCell ref="X339:AA339"/>
    <mergeCell ref="B15:E15"/>
    <mergeCell ref="AF79:AH79"/>
    <mergeCell ref="B251:E251"/>
    <mergeCell ref="X275:AA275"/>
    <mergeCell ref="B72:E72"/>
    <mergeCell ref="X128:AA128"/>
    <mergeCell ref="F81:I91"/>
    <mergeCell ref="B257:E257"/>
    <mergeCell ref="X27:AA27"/>
    <mergeCell ref="X84:Z84"/>
    <mergeCell ref="B84:E84"/>
    <mergeCell ref="AC135:AF135"/>
    <mergeCell ref="AB159:AB160"/>
    <mergeCell ref="H112:M113"/>
    <mergeCell ref="X111:AA111"/>
    <mergeCell ref="X110:AA110"/>
    <mergeCell ref="B107:E107"/>
    <mergeCell ref="B108:E108"/>
    <mergeCell ref="X113:AA113"/>
    <mergeCell ref="B88:E88"/>
    <mergeCell ref="B114:E114"/>
    <mergeCell ref="B94:E94"/>
    <mergeCell ref="B92:E92"/>
    <mergeCell ref="B139:E139"/>
    <mergeCell ref="B163:E163"/>
    <mergeCell ref="X127:AA127"/>
    <mergeCell ref="B231:E231"/>
    <mergeCell ref="X231:AA231"/>
    <mergeCell ref="H273:M278"/>
    <mergeCell ref="B113:E113"/>
    <mergeCell ref="B99:E99"/>
    <mergeCell ref="B95:E95"/>
    <mergeCell ref="B162:E162"/>
    <mergeCell ref="B161:E161"/>
    <mergeCell ref="X50:AA50"/>
    <mergeCell ref="B56:E56"/>
    <mergeCell ref="B153:E153"/>
    <mergeCell ref="B75:E75"/>
    <mergeCell ref="X72:AA72"/>
    <mergeCell ref="X155:AA155"/>
    <mergeCell ref="X174:AA174"/>
    <mergeCell ref="X143:AA143"/>
    <mergeCell ref="B167:E167"/>
    <mergeCell ref="B111:E111"/>
    <mergeCell ref="X83:Z83"/>
    <mergeCell ref="X108:AA108"/>
    <mergeCell ref="G79:G80"/>
    <mergeCell ref="B82:E82"/>
    <mergeCell ref="G122:K122"/>
    <mergeCell ref="G119:K119"/>
    <mergeCell ref="B89:E89"/>
    <mergeCell ref="B73:E73"/>
    <mergeCell ref="X71:AA71"/>
    <mergeCell ref="I72:M72"/>
    <mergeCell ref="B65:E65"/>
    <mergeCell ref="X15:AA15"/>
    <mergeCell ref="G120:K120"/>
    <mergeCell ref="I70:M70"/>
    <mergeCell ref="X125:AA125"/>
    <mergeCell ref="X112:AA112"/>
    <mergeCell ref="B93:E93"/>
    <mergeCell ref="B103:E103"/>
    <mergeCell ref="B83:E83"/>
    <mergeCell ref="B120:E120"/>
    <mergeCell ref="X79:AA80"/>
    <mergeCell ref="I114:W115"/>
    <mergeCell ref="B112:E112"/>
    <mergeCell ref="X123:AA123"/>
    <mergeCell ref="X121:AA121"/>
    <mergeCell ref="X118:AA118"/>
    <mergeCell ref="X114:AA114"/>
    <mergeCell ref="B117:E117"/>
    <mergeCell ref="B122:E122"/>
    <mergeCell ref="B119:E119"/>
    <mergeCell ref="G117:K117"/>
    <mergeCell ref="X115:AA115"/>
    <mergeCell ref="B101:E101"/>
    <mergeCell ref="X122:AA122"/>
    <mergeCell ref="X120:AA120"/>
    <mergeCell ref="G116:K116"/>
    <mergeCell ref="G118:K118"/>
    <mergeCell ref="G110:M110"/>
    <mergeCell ref="B105:E105"/>
    <mergeCell ref="O96:W96"/>
    <mergeCell ref="B118:E118"/>
    <mergeCell ref="B109:E109"/>
    <mergeCell ref="H36:K36"/>
    <mergeCell ref="AJ1:AJ2"/>
    <mergeCell ref="AE1:AI1"/>
    <mergeCell ref="Y1:AD1"/>
    <mergeCell ref="AF11:AH11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2:AA22"/>
    <mergeCell ref="B22:E22"/>
    <mergeCell ref="X20:AA20"/>
    <mergeCell ref="X16:AA16"/>
    <mergeCell ref="X8:AA9"/>
    <mergeCell ref="B14:E14"/>
    <mergeCell ref="Q18:W18"/>
    <mergeCell ref="E3:W3"/>
    <mergeCell ref="E4:W4"/>
    <mergeCell ref="Y2:AD2"/>
    <mergeCell ref="G8:G9"/>
    <mergeCell ref="B19:E19"/>
    <mergeCell ref="B2:W2"/>
    <mergeCell ref="X17:AA17"/>
    <mergeCell ref="Q17:W17"/>
    <mergeCell ref="F8:F9"/>
    <mergeCell ref="X21:AA21"/>
    <mergeCell ref="AF22:AJ22"/>
    <mergeCell ref="B491:E491"/>
    <mergeCell ref="H8:W8"/>
    <mergeCell ref="B10:E10"/>
    <mergeCell ref="B8:B9"/>
    <mergeCell ref="G111:M111"/>
    <mergeCell ref="B137:E137"/>
    <mergeCell ref="B97:E97"/>
    <mergeCell ref="B87:E87"/>
    <mergeCell ref="B64:E64"/>
    <mergeCell ref="B20:E20"/>
    <mergeCell ref="B59:E59"/>
    <mergeCell ref="B288:E288"/>
    <mergeCell ref="X261:AA261"/>
    <mergeCell ref="X273:AA273"/>
    <mergeCell ref="X274:AA274"/>
    <mergeCell ref="X270:AA270"/>
    <mergeCell ref="B264:E264"/>
    <mergeCell ref="B272:E272"/>
    <mergeCell ref="B299:E299"/>
    <mergeCell ref="B311:E311"/>
    <mergeCell ref="B363:E363"/>
    <mergeCell ref="B462:E462"/>
    <mergeCell ref="B470:E470"/>
    <mergeCell ref="B468:E468"/>
    <mergeCell ref="B469:E469"/>
    <mergeCell ref="B145:E145"/>
    <mergeCell ref="H319:W319"/>
    <mergeCell ref="X295:AA295"/>
    <mergeCell ref="X263:AA263"/>
    <mergeCell ref="B100:E100"/>
    <mergeCell ref="X469:AA469"/>
    <mergeCell ref="X306:AA306"/>
    <mergeCell ref="X305:AA305"/>
    <mergeCell ref="X303:AA303"/>
    <mergeCell ref="X296:AA296"/>
    <mergeCell ref="X260:AA260"/>
    <mergeCell ref="X257:AA257"/>
    <mergeCell ref="X87:Z87"/>
    <mergeCell ref="X109:AA109"/>
    <mergeCell ref="B285:E285"/>
    <mergeCell ref="B617:E617"/>
    <mergeCell ref="B281:E281"/>
    <mergeCell ref="B292:E292"/>
    <mergeCell ref="B303:E303"/>
    <mergeCell ref="B258:E258"/>
    <mergeCell ref="B110:E110"/>
    <mergeCell ref="B270:E270"/>
    <mergeCell ref="B249:E249"/>
    <mergeCell ref="G108:O108"/>
    <mergeCell ref="G109:O109"/>
    <mergeCell ref="B293:E293"/>
    <mergeCell ref="B291:E291"/>
    <mergeCell ref="B315:E315"/>
    <mergeCell ref="B416:E416"/>
    <mergeCell ref="B485:E485"/>
    <mergeCell ref="B274:E274"/>
    <mergeCell ref="B263:E263"/>
    <mergeCell ref="B271:E271"/>
    <mergeCell ref="B265:E265"/>
    <mergeCell ref="B116:E116"/>
    <mergeCell ref="B104:E104"/>
    <mergeCell ref="B266:E266"/>
    <mergeCell ref="B131:E131"/>
    <mergeCell ref="AF20:AJ20"/>
    <mergeCell ref="B21:E21"/>
    <mergeCell ref="B7:W7"/>
    <mergeCell ref="AE5:AI7"/>
    <mergeCell ref="AF13:AH13"/>
    <mergeCell ref="AC8:AI9"/>
    <mergeCell ref="B11:E11"/>
    <mergeCell ref="B12:E12"/>
    <mergeCell ref="AF16:AH16"/>
    <mergeCell ref="B17:E17"/>
    <mergeCell ref="H34:K34"/>
    <mergeCell ref="X138:AA138"/>
    <mergeCell ref="X139:AA139"/>
    <mergeCell ref="B221:E221"/>
    <mergeCell ref="B203:E203"/>
    <mergeCell ref="B212:E212"/>
    <mergeCell ref="B140:E140"/>
    <mergeCell ref="X175:AA175"/>
    <mergeCell ref="B178:E178"/>
    <mergeCell ref="X172:AA172"/>
    <mergeCell ref="B184:E184"/>
    <mergeCell ref="AB79:AB80"/>
    <mergeCell ref="F79:F80"/>
    <mergeCell ref="X45:AA45"/>
    <mergeCell ref="AF159:AH159"/>
    <mergeCell ref="B121:E121"/>
    <mergeCell ref="B69:E69"/>
    <mergeCell ref="X37:AA37"/>
    <mergeCell ref="B58:E58"/>
    <mergeCell ref="B79:B80"/>
    <mergeCell ref="B6:W6"/>
    <mergeCell ref="AF21:AI21"/>
    <mergeCell ref="B260:E260"/>
    <mergeCell ref="B24:E24"/>
    <mergeCell ref="X88:Z88"/>
    <mergeCell ref="B91:E91"/>
    <mergeCell ref="B98:E98"/>
    <mergeCell ref="B90:E90"/>
    <mergeCell ref="B125:E125"/>
    <mergeCell ref="A641:A651"/>
    <mergeCell ref="B649:G649"/>
    <mergeCell ref="B629:E629"/>
    <mergeCell ref="B650:G650"/>
    <mergeCell ref="B630:E630"/>
    <mergeCell ref="B632:E632"/>
    <mergeCell ref="B651:G651"/>
    <mergeCell ref="B640:G640"/>
    <mergeCell ref="B563:E563"/>
    <mergeCell ref="B568:E568"/>
    <mergeCell ref="X300:AA300"/>
    <mergeCell ref="B295:E295"/>
    <mergeCell ref="B298:E298"/>
    <mergeCell ref="X291:AA291"/>
    <mergeCell ref="X304:AA304"/>
    <mergeCell ref="X301:AA301"/>
    <mergeCell ref="B287:E287"/>
    <mergeCell ref="B290:E290"/>
    <mergeCell ref="X292:AA292"/>
    <mergeCell ref="X290:AA290"/>
    <mergeCell ref="B345:E345"/>
    <mergeCell ref="B306:E306"/>
    <mergeCell ref="X460:AA460"/>
    <mergeCell ref="B268:E268"/>
    <mergeCell ref="F399:F400"/>
    <mergeCell ref="N646:N647"/>
    <mergeCell ref="X345:AA345"/>
    <mergeCell ref="B489:E489"/>
    <mergeCell ref="B494:E494"/>
    <mergeCell ref="B522:E522"/>
    <mergeCell ref="G480:G481"/>
    <mergeCell ref="B430:E430"/>
    <mergeCell ref="B432:E432"/>
    <mergeCell ref="C399:E400"/>
    <mergeCell ref="B537:E537"/>
    <mergeCell ref="B536:E536"/>
    <mergeCell ref="B528:E528"/>
    <mergeCell ref="B524:E524"/>
    <mergeCell ref="B461:E461"/>
    <mergeCell ref="F589:F590"/>
    <mergeCell ref="G589:G590"/>
    <mergeCell ref="B538:E538"/>
    <mergeCell ref="B550:E550"/>
    <mergeCell ref="C560:E561"/>
    <mergeCell ref="B570:E570"/>
    <mergeCell ref="B564:E564"/>
    <mergeCell ref="B566:E566"/>
    <mergeCell ref="B492:E492"/>
    <mergeCell ref="B529:E529"/>
    <mergeCell ref="B493:E493"/>
    <mergeCell ref="B551:E551"/>
    <mergeCell ref="B547:E547"/>
    <mergeCell ref="B572:E572"/>
    <mergeCell ref="B578:E578"/>
    <mergeCell ref="B583:E583"/>
    <mergeCell ref="C589:E590"/>
    <mergeCell ref="X363:AA363"/>
    <mergeCell ref="B544:E544"/>
    <mergeCell ref="B600:E600"/>
    <mergeCell ref="B601:E601"/>
    <mergeCell ref="B602:E602"/>
    <mergeCell ref="B613:E613"/>
    <mergeCell ref="B614:E614"/>
    <mergeCell ref="B615:E615"/>
    <mergeCell ref="H589:W589"/>
    <mergeCell ref="B512:E512"/>
    <mergeCell ref="V646:V647"/>
    <mergeCell ref="B620:E620"/>
    <mergeCell ref="B603:E603"/>
    <mergeCell ref="Q646:Q647"/>
    <mergeCell ref="B301:E301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5:E625"/>
    <mergeCell ref="B628:E628"/>
    <mergeCell ref="H399:W399"/>
    <mergeCell ref="C667:I673"/>
    <mergeCell ref="C659:I660"/>
    <mergeCell ref="B542:E542"/>
    <mergeCell ref="B577:E577"/>
    <mergeCell ref="B585:E585"/>
    <mergeCell ref="B552:E552"/>
    <mergeCell ref="B509:E509"/>
    <mergeCell ref="B497:E497"/>
    <mergeCell ref="B533:E533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11:E611"/>
    <mergeCell ref="B582:E582"/>
    <mergeCell ref="B592:E592"/>
    <mergeCell ref="B621:E621"/>
    <mergeCell ref="B606:E606"/>
    <mergeCell ref="B642:G642"/>
    <mergeCell ref="B605:E605"/>
    <mergeCell ref="H646:H647"/>
    <mergeCell ref="B574:E574"/>
    <mergeCell ref="B555:E555"/>
    <mergeCell ref="B541:E541"/>
    <mergeCell ref="B507:E507"/>
    <mergeCell ref="B548:E548"/>
    <mergeCell ref="B549:E549"/>
    <mergeCell ref="X73:AA73"/>
    <mergeCell ref="I73:K73"/>
    <mergeCell ref="B622:E622"/>
    <mergeCell ref="B124:E124"/>
    <mergeCell ref="B126:E126"/>
    <mergeCell ref="B136:E136"/>
    <mergeCell ref="B213:E213"/>
    <mergeCell ref="B244:E244"/>
    <mergeCell ref="B226:E226"/>
    <mergeCell ref="B277:E277"/>
    <mergeCell ref="B247:E247"/>
    <mergeCell ref="B255:E255"/>
    <mergeCell ref="B225:E225"/>
    <mergeCell ref="B217:E217"/>
    <mergeCell ref="B154:E154"/>
    <mergeCell ref="B155:E155"/>
    <mergeCell ref="B135:E135"/>
    <mergeCell ref="B168:E168"/>
    <mergeCell ref="B149:E149"/>
    <mergeCell ref="B171:E171"/>
    <mergeCell ref="B261:E261"/>
    <mergeCell ref="B146:E146"/>
    <mergeCell ref="B248:E248"/>
    <mergeCell ref="B228:E228"/>
    <mergeCell ref="B169:E169"/>
    <mergeCell ref="B208:E208"/>
    <mergeCell ref="B243:E243"/>
    <mergeCell ref="B276:E276"/>
    <mergeCell ref="B215:E215"/>
    <mergeCell ref="X168:AA168"/>
    <mergeCell ref="C239:E240"/>
    <mergeCell ref="X75:AA75"/>
    <mergeCell ref="B57:E57"/>
    <mergeCell ref="X47:AA47"/>
    <mergeCell ref="B48:E48"/>
    <mergeCell ref="H48:K48"/>
    <mergeCell ref="X48:AA48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96:E96"/>
    <mergeCell ref="B68:E68"/>
    <mergeCell ref="B63:E63"/>
    <mergeCell ref="B61:E61"/>
    <mergeCell ref="B70:E70"/>
    <mergeCell ref="H79:W79"/>
    <mergeCell ref="B106:E106"/>
    <mergeCell ref="B151:E151"/>
    <mergeCell ref="B175:E175"/>
    <mergeCell ref="B144:E144"/>
    <mergeCell ref="B128:E128"/>
    <mergeCell ref="X129:AA129"/>
    <mergeCell ref="B46:E46"/>
    <mergeCell ref="H46:K46"/>
    <mergeCell ref="X46:AA46"/>
    <mergeCell ref="H44:K44"/>
    <mergeCell ref="H42:K42"/>
    <mergeCell ref="H41:K41"/>
    <mergeCell ref="B66:E66"/>
    <mergeCell ref="B62:E62"/>
    <mergeCell ref="B50:E50"/>
    <mergeCell ref="B45:E45"/>
    <mergeCell ref="H49:K49"/>
    <mergeCell ref="X44:AA44"/>
    <mergeCell ref="X51:AA51"/>
    <mergeCell ref="B51:E51"/>
    <mergeCell ref="B54:E54"/>
    <mergeCell ref="H45:K45"/>
    <mergeCell ref="B38:E38"/>
    <mergeCell ref="B55:E55"/>
    <mergeCell ref="F52:I55"/>
    <mergeCell ref="H40:K40"/>
    <mergeCell ref="H38:K38"/>
    <mergeCell ref="B39:E39"/>
    <mergeCell ref="X41:AA41"/>
    <mergeCell ref="B44:E44"/>
    <mergeCell ref="H37:K37"/>
    <mergeCell ref="X40:AA40"/>
    <mergeCell ref="B53:E53"/>
    <mergeCell ref="B67:E67"/>
    <mergeCell ref="AF23:AI23"/>
    <mergeCell ref="AF26:AI26"/>
    <mergeCell ref="H32:K32"/>
    <mergeCell ref="AF30:AJ30"/>
    <mergeCell ref="I71:M71"/>
    <mergeCell ref="B52:E52"/>
    <mergeCell ref="H33:K33"/>
    <mergeCell ref="AF24:AI24"/>
    <mergeCell ref="AF27:AJ27"/>
    <mergeCell ref="X32:AA32"/>
    <mergeCell ref="B32:E32"/>
    <mergeCell ref="B29:E29"/>
    <mergeCell ref="B28:E28"/>
    <mergeCell ref="H39:K39"/>
    <mergeCell ref="AF32:AJ32"/>
    <mergeCell ref="X35:AA35"/>
    <mergeCell ref="H47:K47"/>
    <mergeCell ref="B60:E60"/>
    <mergeCell ref="H43:K43"/>
    <mergeCell ref="B34:E34"/>
    <mergeCell ref="X29:AA29"/>
    <mergeCell ref="B27:E27"/>
    <mergeCell ref="B35:E35"/>
    <mergeCell ref="H51:K51"/>
    <mergeCell ref="B37:E37"/>
    <mergeCell ref="B47:E47"/>
    <mergeCell ref="X70:AA70"/>
    <mergeCell ref="X42:AA42"/>
    <mergeCell ref="X169:AA169"/>
    <mergeCell ref="Q217:W217"/>
    <mergeCell ref="B179:E179"/>
    <mergeCell ref="X142:AA142"/>
    <mergeCell ref="X233:AA233"/>
    <mergeCell ref="B127:E127"/>
    <mergeCell ref="B134:E134"/>
    <mergeCell ref="X131:AA131"/>
    <mergeCell ref="B174:E174"/>
    <mergeCell ref="X130:AA130"/>
    <mergeCell ref="B218:E218"/>
    <mergeCell ref="X183:AA183"/>
    <mergeCell ref="X159:AA160"/>
    <mergeCell ref="B152:E152"/>
    <mergeCell ref="G159:G160"/>
    <mergeCell ref="B172:E172"/>
    <mergeCell ref="B205:E205"/>
    <mergeCell ref="X163:AA163"/>
    <mergeCell ref="B209:E209"/>
    <mergeCell ref="B223:E223"/>
    <mergeCell ref="B166:E166"/>
    <mergeCell ref="B165:E165"/>
    <mergeCell ref="B193:E193"/>
    <mergeCell ref="X228:AA228"/>
    <mergeCell ref="B147:E147"/>
    <mergeCell ref="H201:M201"/>
    <mergeCell ref="X170:AA170"/>
    <mergeCell ref="X145:AA145"/>
    <mergeCell ref="B71:E71"/>
    <mergeCell ref="B129:E129"/>
    <mergeCell ref="X185:AA185"/>
    <mergeCell ref="X133:AA133"/>
    <mergeCell ref="B130:E130"/>
    <mergeCell ref="B187:E187"/>
    <mergeCell ref="B196:E196"/>
    <mergeCell ref="AK13:AM13"/>
    <mergeCell ref="B25:E25"/>
    <mergeCell ref="AF31:AJ31"/>
    <mergeCell ref="X43:AA43"/>
    <mergeCell ref="X36:AA36"/>
    <mergeCell ref="X38:AA38"/>
    <mergeCell ref="X39:AA39"/>
    <mergeCell ref="X34:AA34"/>
    <mergeCell ref="AF29:AJ29"/>
    <mergeCell ref="AF28:AI28"/>
    <mergeCell ref="AF25:AI25"/>
    <mergeCell ref="B41:E41"/>
    <mergeCell ref="B30:E30"/>
    <mergeCell ref="B16:E16"/>
    <mergeCell ref="B40:E40"/>
    <mergeCell ref="B43:E43"/>
    <mergeCell ref="X119:AA119"/>
    <mergeCell ref="H50:K50"/>
    <mergeCell ref="B49:E49"/>
    <mergeCell ref="B181:E181"/>
    <mergeCell ref="X181:AA181"/>
    <mergeCell ref="I176:M179"/>
    <mergeCell ref="B33:E33"/>
    <mergeCell ref="X49:AA49"/>
    <mergeCell ref="X33:AA33"/>
    <mergeCell ref="H35:K35"/>
    <mergeCell ref="B26:E26"/>
    <mergeCell ref="B23:E23"/>
    <mergeCell ref="AF19:AJ19"/>
    <mergeCell ref="B36:E36"/>
    <mergeCell ref="B235:E235"/>
    <mergeCell ref="B143:E143"/>
    <mergeCell ref="C159:E160"/>
    <mergeCell ref="B177:E177"/>
    <mergeCell ref="B185:E185"/>
    <mergeCell ref="B180:E180"/>
    <mergeCell ref="X164:AA164"/>
    <mergeCell ref="X166:AA166"/>
    <mergeCell ref="X146:AA146"/>
    <mergeCell ref="B219:E219"/>
    <mergeCell ref="X161:AA161"/>
    <mergeCell ref="X173:AA173"/>
    <mergeCell ref="X137:AA137"/>
    <mergeCell ref="B188:E188"/>
    <mergeCell ref="B190:E190"/>
    <mergeCell ref="B138:E138"/>
    <mergeCell ref="B234:E234"/>
    <mergeCell ref="B220:E220"/>
    <mergeCell ref="B216:E216"/>
    <mergeCell ref="X132:AA132"/>
    <mergeCell ref="B142:E142"/>
    <mergeCell ref="B150:E150"/>
    <mergeCell ref="X136:AA136"/>
    <mergeCell ref="B183:E183"/>
    <mergeCell ref="B195:E195"/>
    <mergeCell ref="B176:E176"/>
    <mergeCell ref="X165:AA165"/>
    <mergeCell ref="B252:E252"/>
    <mergeCell ref="B279:E279"/>
    <mergeCell ref="B256:E256"/>
    <mergeCell ref="B245:E245"/>
    <mergeCell ref="B253:E253"/>
    <mergeCell ref="B170:E170"/>
    <mergeCell ref="F159:F160"/>
    <mergeCell ref="X167:AA167"/>
    <mergeCell ref="B173:E173"/>
    <mergeCell ref="X227:AA227"/>
    <mergeCell ref="B250:E250"/>
    <mergeCell ref="F238:J238"/>
    <mergeCell ref="B211:E211"/>
    <mergeCell ref="B189:E189"/>
    <mergeCell ref="B229:E229"/>
    <mergeCell ref="B191:E191"/>
    <mergeCell ref="X247:AA247"/>
    <mergeCell ref="X226:AA226"/>
    <mergeCell ref="G191:S196"/>
    <mergeCell ref="X182:AA182"/>
    <mergeCell ref="G239:G240"/>
    <mergeCell ref="B230:E230"/>
    <mergeCell ref="X230:AA230"/>
    <mergeCell ref="B254:E254"/>
    <mergeCell ref="B278:E278"/>
    <mergeCell ref="B273:E273"/>
    <mergeCell ref="X269:AA269"/>
    <mergeCell ref="B201:E201"/>
    <mergeCell ref="X242:AA242"/>
    <mergeCell ref="B242:E242"/>
    <mergeCell ref="X250:AA250"/>
    <mergeCell ref="X241:AA241"/>
    <mergeCell ref="I431:M436"/>
    <mergeCell ref="B384:E384"/>
    <mergeCell ref="X276:AA276"/>
    <mergeCell ref="X255:AA255"/>
    <mergeCell ref="B186:E186"/>
    <mergeCell ref="X184:AA184"/>
    <mergeCell ref="X344:AA344"/>
    <mergeCell ref="X256:AA256"/>
    <mergeCell ref="B310:E310"/>
    <mergeCell ref="B309:E309"/>
    <mergeCell ref="X239:AA240"/>
    <mergeCell ref="B321:E321"/>
    <mergeCell ref="X293:AA293"/>
    <mergeCell ref="X616:AA616"/>
    <mergeCell ref="F239:F240"/>
    <mergeCell ref="X297:AA297"/>
    <mergeCell ref="X214:AA214"/>
    <mergeCell ref="X294:AA294"/>
    <mergeCell ref="X309:AA309"/>
    <mergeCell ref="X271:AA271"/>
    <mergeCell ref="X308:AA308"/>
    <mergeCell ref="B305:E305"/>
    <mergeCell ref="X277:AA277"/>
    <mergeCell ref="B283:E283"/>
    <mergeCell ref="B319:B320"/>
    <mergeCell ref="X267:AA267"/>
    <mergeCell ref="X338:AA338"/>
    <mergeCell ref="B325:E325"/>
    <mergeCell ref="B326:E326"/>
    <mergeCell ref="X244:AA244"/>
    <mergeCell ref="X289:AA289"/>
    <mergeCell ref="X248:AA248"/>
    <mergeCell ref="Q345:W345"/>
    <mergeCell ref="B440:E440"/>
    <mergeCell ref="X439:AA439"/>
    <mergeCell ref="B423:E423"/>
    <mergeCell ref="X458:AA458"/>
    <mergeCell ref="B438:E438"/>
    <mergeCell ref="B439:E439"/>
    <mergeCell ref="B379:E379"/>
    <mergeCell ref="B141:E141"/>
    <mergeCell ref="B224:E224"/>
    <mergeCell ref="Q206:W206"/>
    <mergeCell ref="X243:AA243"/>
    <mergeCell ref="X141:AA141"/>
    <mergeCell ref="B182:E182"/>
    <mergeCell ref="B159:B160"/>
    <mergeCell ref="B198:E198"/>
    <mergeCell ref="X186:AA186"/>
    <mergeCell ref="X144:AA144"/>
    <mergeCell ref="H181:K186"/>
    <mergeCell ref="B164:E164"/>
    <mergeCell ref="B199:E199"/>
    <mergeCell ref="B241:E241"/>
    <mergeCell ref="B222:E222"/>
    <mergeCell ref="X235:AA235"/>
    <mergeCell ref="X229:AA229"/>
    <mergeCell ref="B280:E280"/>
    <mergeCell ref="B294:E294"/>
    <mergeCell ref="B354:E354"/>
    <mergeCell ref="B373:E373"/>
    <mergeCell ref="X368:AA368"/>
    <mergeCell ref="G319:G320"/>
    <mergeCell ref="F319:F320"/>
    <mergeCell ref="X459:AA459"/>
    <mergeCell ref="X362:AA362"/>
    <mergeCell ref="B357:E357"/>
    <mergeCell ref="B378:E378"/>
    <mergeCell ref="B368:E368"/>
    <mergeCell ref="X389:AA389"/>
    <mergeCell ref="B437:E437"/>
    <mergeCell ref="B434:E434"/>
    <mergeCell ref="B463:E463"/>
    <mergeCell ref="B433:E433"/>
    <mergeCell ref="B421:E421"/>
    <mergeCell ref="B393:E393"/>
    <mergeCell ref="X394:AA394"/>
    <mergeCell ref="B427:E427"/>
    <mergeCell ref="B412:E412"/>
    <mergeCell ref="B409:E409"/>
    <mergeCell ref="B359:E359"/>
    <mergeCell ref="X365:AA365"/>
    <mergeCell ref="B428:E428"/>
    <mergeCell ref="B405:E405"/>
    <mergeCell ref="B404:E404"/>
    <mergeCell ref="B425:E425"/>
    <mergeCell ref="B449:E449"/>
    <mergeCell ref="X449:AA449"/>
    <mergeCell ref="B450:E450"/>
    <mergeCell ref="X450:AA450"/>
    <mergeCell ref="X443:AA443"/>
    <mergeCell ref="B442:E442"/>
    <mergeCell ref="X442:AA442"/>
    <mergeCell ref="B446:E446"/>
    <mergeCell ref="X446:AA446"/>
    <mergeCell ref="B443:E443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B610:E610"/>
    <mergeCell ref="M646:M647"/>
    <mergeCell ref="B635:E635"/>
    <mergeCell ref="B633:E633"/>
    <mergeCell ref="B645:W645"/>
    <mergeCell ref="B618:E618"/>
    <mergeCell ref="B619:E619"/>
    <mergeCell ref="B595:E595"/>
    <mergeCell ref="AF594:AJ594"/>
    <mergeCell ref="AF589:AH589"/>
    <mergeCell ref="X589:AA590"/>
    <mergeCell ref="AB589:AB590"/>
    <mergeCell ref="B608:E608"/>
    <mergeCell ref="B597:E597"/>
    <mergeCell ref="AF639:AH639"/>
    <mergeCell ref="B575:E575"/>
    <mergeCell ref="B596:E596"/>
    <mergeCell ref="B598:E598"/>
    <mergeCell ref="B586:E586"/>
    <mergeCell ref="B567:E567"/>
    <mergeCell ref="B641:G641"/>
    <mergeCell ref="R646:R647"/>
    <mergeCell ref="B562:E562"/>
    <mergeCell ref="B634:E634"/>
    <mergeCell ref="X560:AA561"/>
    <mergeCell ref="B560:B561"/>
    <mergeCell ref="F560:F561"/>
    <mergeCell ref="G560:G561"/>
    <mergeCell ref="B626:E626"/>
    <mergeCell ref="B565:E565"/>
    <mergeCell ref="B589:B590"/>
    <mergeCell ref="B579:E579"/>
    <mergeCell ref="B604:E604"/>
    <mergeCell ref="B599:E599"/>
    <mergeCell ref="B624:E624"/>
    <mergeCell ref="B594:E594"/>
    <mergeCell ref="B607:E607"/>
    <mergeCell ref="J646:J647"/>
    <mergeCell ref="B593:E593"/>
    <mergeCell ref="W646:W647"/>
    <mergeCell ref="K646:K647"/>
    <mergeCell ref="B631:E631"/>
    <mergeCell ref="I646:I647"/>
    <mergeCell ref="B643:G643"/>
    <mergeCell ref="B644:G644"/>
    <mergeCell ref="H560:W560"/>
    <mergeCell ref="B623:E623"/>
    <mergeCell ref="B627:E627"/>
    <mergeCell ref="B609:E609"/>
    <mergeCell ref="X617:AA617"/>
    <mergeCell ref="AF560:AH560"/>
    <mergeCell ref="B559:W559"/>
    <mergeCell ref="B516:W516"/>
    <mergeCell ref="AF516:AH516"/>
    <mergeCell ref="B517:B518"/>
    <mergeCell ref="AB517:AB518"/>
    <mergeCell ref="AF517:AH517"/>
    <mergeCell ref="B540:E540"/>
    <mergeCell ref="B519:E519"/>
    <mergeCell ref="B545:E545"/>
    <mergeCell ref="B543:E543"/>
    <mergeCell ref="B546:E546"/>
    <mergeCell ref="B514:E514"/>
    <mergeCell ref="B556:E556"/>
    <mergeCell ref="B513:E513"/>
    <mergeCell ref="B531:E531"/>
    <mergeCell ref="B532:E532"/>
    <mergeCell ref="B530:E530"/>
    <mergeCell ref="B526:E526"/>
    <mergeCell ref="B534:E534"/>
    <mergeCell ref="B535:E535"/>
    <mergeCell ref="F517:F518"/>
    <mergeCell ref="G517:G518"/>
    <mergeCell ref="H517:W517"/>
    <mergeCell ref="B523:E523"/>
    <mergeCell ref="B521:E521"/>
    <mergeCell ref="B520:E520"/>
    <mergeCell ref="C517:E518"/>
    <mergeCell ref="X517:AA518"/>
    <mergeCell ref="B553:E553"/>
    <mergeCell ref="B554:E554"/>
    <mergeCell ref="AB560:AB561"/>
    <mergeCell ref="AF559:AH559"/>
    <mergeCell ref="B508:E508"/>
    <mergeCell ref="AF479:AH479"/>
    <mergeCell ref="B456:E456"/>
    <mergeCell ref="B460:E460"/>
    <mergeCell ref="X441:AA441"/>
    <mergeCell ref="X461:AA461"/>
    <mergeCell ref="X463:AA463"/>
    <mergeCell ref="B490:E490"/>
    <mergeCell ref="B504:E504"/>
    <mergeCell ref="B505:E505"/>
    <mergeCell ref="B488:E488"/>
    <mergeCell ref="B455:E455"/>
    <mergeCell ref="B471:E471"/>
    <mergeCell ref="B457:E457"/>
    <mergeCell ref="B452:E452"/>
    <mergeCell ref="X471:AA471"/>
    <mergeCell ref="B503:E503"/>
    <mergeCell ref="B496:E496"/>
    <mergeCell ref="F480:F481"/>
    <mergeCell ref="B464:E464"/>
    <mergeCell ref="B466:E466"/>
    <mergeCell ref="B465:E465"/>
    <mergeCell ref="H480:W480"/>
    <mergeCell ref="B506:E506"/>
    <mergeCell ref="AB480:AB481"/>
    <mergeCell ref="AF480:AH480"/>
    <mergeCell ref="B444:E444"/>
    <mergeCell ref="B441:E441"/>
    <mergeCell ref="B539:E539"/>
    <mergeCell ref="B510:E510"/>
    <mergeCell ref="B511:E511"/>
    <mergeCell ref="B495:E495"/>
    <mergeCell ref="B467:E467"/>
    <mergeCell ref="B501:E501"/>
    <mergeCell ref="B502:E502"/>
    <mergeCell ref="B459:E459"/>
    <mergeCell ref="X472:AA472"/>
    <mergeCell ref="X470:AA470"/>
    <mergeCell ref="X412:AA412"/>
    <mergeCell ref="X417:AA417"/>
    <mergeCell ref="B417:E417"/>
    <mergeCell ref="I426:M428"/>
    <mergeCell ref="B451:W451"/>
    <mergeCell ref="B429:E429"/>
    <mergeCell ref="B431:E431"/>
    <mergeCell ref="X430:AA430"/>
    <mergeCell ref="X418:AA418"/>
    <mergeCell ref="B422:E422"/>
    <mergeCell ref="B479:W479"/>
    <mergeCell ref="B435:E435"/>
    <mergeCell ref="B445:E445"/>
    <mergeCell ref="X429:AA429"/>
    <mergeCell ref="X451:AA451"/>
    <mergeCell ref="X440:AA440"/>
    <mergeCell ref="X444:AA444"/>
    <mergeCell ref="X438:AA438"/>
    <mergeCell ref="X420:AA420"/>
    <mergeCell ref="X437:AA437"/>
    <mergeCell ref="X423:AA423"/>
    <mergeCell ref="X419:AA419"/>
    <mergeCell ref="X422:AA422"/>
    <mergeCell ref="B480:B481"/>
    <mergeCell ref="C480:E481"/>
    <mergeCell ref="X480:AA481"/>
    <mergeCell ref="X364:AA364"/>
    <mergeCell ref="B500:E500"/>
    <mergeCell ref="B498:E498"/>
    <mergeCell ref="B454:E454"/>
    <mergeCell ref="B382:E382"/>
    <mergeCell ref="X395:AA395"/>
    <mergeCell ref="B381:E381"/>
    <mergeCell ref="X391:AA391"/>
    <mergeCell ref="B387:E387"/>
    <mergeCell ref="X390:AA390"/>
    <mergeCell ref="B390:E390"/>
    <mergeCell ref="B383:E383"/>
    <mergeCell ref="X393:AA393"/>
    <mergeCell ref="B385:E385"/>
    <mergeCell ref="G399:G400"/>
    <mergeCell ref="B458:E458"/>
    <mergeCell ref="B415:E415"/>
    <mergeCell ref="B367:E367"/>
    <mergeCell ref="X413:AA413"/>
    <mergeCell ref="B453:E453"/>
    <mergeCell ref="X421:AA421"/>
    <mergeCell ref="X399:AA400"/>
    <mergeCell ref="B370:E370"/>
    <mergeCell ref="B376:E376"/>
    <mergeCell ref="B377:E377"/>
    <mergeCell ref="B426:E426"/>
    <mergeCell ref="B436:E436"/>
    <mergeCell ref="B487:E487"/>
    <mergeCell ref="B472:E472"/>
    <mergeCell ref="X462:AA462"/>
    <mergeCell ref="B424:E424"/>
    <mergeCell ref="B297:E297"/>
    <mergeCell ref="B364:E364"/>
    <mergeCell ref="B366:E366"/>
    <mergeCell ref="B375:E375"/>
    <mergeCell ref="B394:E394"/>
    <mergeCell ref="B419:E419"/>
    <mergeCell ref="B362:E362"/>
    <mergeCell ref="B420:E420"/>
    <mergeCell ref="B365:E365"/>
    <mergeCell ref="B413:E413"/>
    <mergeCell ref="B380:E380"/>
    <mergeCell ref="B371:E371"/>
    <mergeCell ref="B389:E389"/>
    <mergeCell ref="B350:E350"/>
    <mergeCell ref="B411:E411"/>
    <mergeCell ref="B410:E410"/>
    <mergeCell ref="B418:E418"/>
    <mergeCell ref="B395:E395"/>
    <mergeCell ref="B402:E402"/>
    <mergeCell ref="B360:E360"/>
    <mergeCell ref="B353:E353"/>
    <mergeCell ref="B391:E391"/>
    <mergeCell ref="B399:B400"/>
    <mergeCell ref="B406:E406"/>
    <mergeCell ref="B347:E347"/>
    <mergeCell ref="B348:E348"/>
    <mergeCell ref="B327:E327"/>
    <mergeCell ref="B352:E352"/>
    <mergeCell ref="B341:E341"/>
    <mergeCell ref="X401:AA401"/>
    <mergeCell ref="B403:E403"/>
    <mergeCell ref="B296:E296"/>
    <mergeCell ref="B346:E346"/>
    <mergeCell ref="B401:E401"/>
    <mergeCell ref="B289:E289"/>
    <mergeCell ref="B349:E349"/>
    <mergeCell ref="B414:E414"/>
    <mergeCell ref="B329:E329"/>
    <mergeCell ref="B314:E314"/>
    <mergeCell ref="B322:E322"/>
    <mergeCell ref="B333:E333"/>
    <mergeCell ref="B324:E324"/>
    <mergeCell ref="B282:E282"/>
    <mergeCell ref="B304:E304"/>
    <mergeCell ref="B336:E336"/>
    <mergeCell ref="B344:E344"/>
    <mergeCell ref="B330:E330"/>
    <mergeCell ref="B308:E308"/>
    <mergeCell ref="B300:E300"/>
    <mergeCell ref="B342:E342"/>
    <mergeCell ref="B339:E339"/>
    <mergeCell ref="B335:E335"/>
    <mergeCell ref="B312:E312"/>
    <mergeCell ref="C319:E320"/>
    <mergeCell ref="B307:E307"/>
    <mergeCell ref="B302:E302"/>
    <mergeCell ref="B332:E332"/>
    <mergeCell ref="B323:E323"/>
    <mergeCell ref="B331:E331"/>
    <mergeCell ref="B338:E338"/>
    <mergeCell ref="B527:E527"/>
    <mergeCell ref="B591:E591"/>
    <mergeCell ref="B482:E482"/>
    <mergeCell ref="B483:E483"/>
    <mergeCell ref="B588:W588"/>
    <mergeCell ref="B612:E612"/>
    <mergeCell ref="B286:E286"/>
    <mergeCell ref="B407:E407"/>
    <mergeCell ref="B408:E408"/>
    <mergeCell ref="B337:E337"/>
    <mergeCell ref="B484:E484"/>
    <mergeCell ref="B392:E392"/>
    <mergeCell ref="X392:AA392"/>
    <mergeCell ref="B262:E262"/>
    <mergeCell ref="X445:AA445"/>
    <mergeCell ref="B447:E447"/>
    <mergeCell ref="X447:AA447"/>
    <mergeCell ref="B448:E448"/>
    <mergeCell ref="X448:AA448"/>
    <mergeCell ref="B361:E361"/>
    <mergeCell ref="B369:E369"/>
    <mergeCell ref="B334:E334"/>
    <mergeCell ref="B372:E372"/>
    <mergeCell ref="B356:E356"/>
    <mergeCell ref="B343:E343"/>
    <mergeCell ref="B374:E374"/>
    <mergeCell ref="B386:E386"/>
    <mergeCell ref="B355:E355"/>
    <mergeCell ref="B351:E351"/>
    <mergeCell ref="B358:E358"/>
    <mergeCell ref="B328:E328"/>
    <mergeCell ref="B340:E340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9" r:id="rId3" display="https://www.jivi.com.ar/ficha.php?id=660"/>
    <hyperlink ref="AB36" r:id="rId4"/>
    <hyperlink ref="AB35" r:id="rId5"/>
    <hyperlink ref="AB34" r:id="rId6"/>
    <hyperlink ref="AB33" r:id="rId7"/>
    <hyperlink ref="AB32" r:id="rId8"/>
    <hyperlink ref="AB52" r:id="rId9"/>
    <hyperlink ref="AB53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3" r:id="rId63" display="https://www.jivi.com.ar/ficha.php?id=187"/>
    <hyperlink ref="AB315" r:id="rId64" display="https://www.jivi.com.ar/ficha.php?id=4"/>
    <hyperlink ref="AB332" r:id="rId65" display="https://www.jivi.com.ar/ficha.php?id=55"/>
    <hyperlink ref="AB335" r:id="rId66" display="https://www.jivi.com.ar/ficha.php?id=209"/>
    <hyperlink ref="AB336" r:id="rId67"/>
    <hyperlink ref="AB343" r:id="rId68" display="https://www.jivi.com.ar/ficha.php?id=60"/>
    <hyperlink ref="AB345" r:id="rId69" display="https://www.jivi.com.ar/ficha.php?id=380"/>
    <hyperlink ref="AB349" r:id="rId70" display="https://www.jivi.com.ar/ficha.php?id=548"/>
    <hyperlink ref="AB350" r:id="rId71"/>
    <hyperlink ref="AB351" r:id="rId72" display="https://www.jivi.com.ar/ficha.php?id=719"/>
    <hyperlink ref="AB102" r:id="rId73" display="https://www.jivi.com.ar/ficha.php?id=326"/>
    <hyperlink ref="AB105" r:id="rId74" display="https://www.jivi.com.ar/ficha.php?id=211"/>
    <hyperlink ref="AB107" r:id="rId75" display="https://www.jivi.com.ar/ficha.php?id=134"/>
    <hyperlink ref="AB112" r:id="rId76" display="https://www.jivi.com.ar/ficha.php?id=10"/>
    <hyperlink ref="AB113" r:id="rId77" display="https://www.jivi.com.ar/ficha.php?id=11"/>
    <hyperlink ref="AB133" r:id="rId78" display="https://www.jivi.com.ar/ficha.php?id=394"/>
    <hyperlink ref="AB134" r:id="rId79" display="https://www.jivi.com.ar/ficha.php?id=145"/>
    <hyperlink ref="AB137" r:id="rId80" display="https://www.jivi.com.ar/ficha.php?id=18"/>
    <hyperlink ref="AB141" r:id="rId81" display="https://www.jivi.com.ar/ficha.php?id=19"/>
    <hyperlink ref="AB148" r:id="rId82" display="https://www.jivi.com.ar/ficha.php?id=140"/>
    <hyperlink ref="AB149" r:id="rId83" display="https://www.jivi.com.ar/ficha.php?id=142"/>
    <hyperlink ref="AB150" r:id="rId84" display="https://www.jivi.com.ar/ficha.php?id=392"/>
    <hyperlink ref="AB151" r:id="rId85" display="https://www.jivi.com.ar/ficha.php?id=393"/>
    <hyperlink ref="AB176" r:id="rId86" display="https://www.jivi.com.ar/ficha.php?id=135"/>
    <hyperlink ref="AB177" r:id="rId87" display="https://www.jivi.com.ar/ficha.php?id=136"/>
    <hyperlink ref="AB178" r:id="rId88" display="https://www.jivi.com.ar/ficha.php?id=137"/>
    <hyperlink ref="AB179" r:id="rId89" display="https://www.jivi.com.ar/ficha.php?id=138"/>
    <hyperlink ref="AB187" r:id="rId90" display="https://www.jivi.com.ar/ficha.php?id=245"/>
    <hyperlink ref="AB201" r:id="rId91" display="https://www.jivi.com.ar/ficha.php?id=166"/>
    <hyperlink ref="AB202" r:id="rId92" display="https://www.jivi.com.ar/ficha.php?id=171"/>
    <hyperlink ref="AB206" r:id="rId93" display="https://www.jivi.com.ar/ficha.php?id=168"/>
    <hyperlink ref="AB212" r:id="rId94" display="https://www.jivi.com.ar/ficha.php?id=169"/>
    <hyperlink ref="AB216" r:id="rId95" display="https://www.jivi.com.ar/ficha.php?id=148"/>
    <hyperlink ref="AB217" r:id="rId96" display="https://www.jivi.com.ar/ficha.php?id=158"/>
    <hyperlink ref="AB266" r:id="rId97" display="https://www.jivi.com.ar/ficha.php?id=621"/>
    <hyperlink ref="AB267" r:id="rId98" display="https://www.jivi.com.ar/ficha.php?id=622"/>
    <hyperlink ref="AB96" r:id="rId99" display="https://www.jivi.com.ar/ficha.php?id=456"/>
    <hyperlink ref="AB272" r:id="rId100" display="https://www.jivi.com.ar/ficha.php?id=246"/>
    <hyperlink ref="AB421" r:id="rId101" display="https://www.jivi.com.ar/ficha.php?id=431"/>
    <hyperlink ref="AB425" r:id="rId102" display="https://www.jivi.com.ar/ficha.php?id=728"/>
    <hyperlink ref="AB431" r:id="rId103"/>
    <hyperlink ref="AB433" r:id="rId104"/>
    <hyperlink ref="AB452" r:id="rId105"/>
    <hyperlink ref="AB454" r:id="rId106"/>
    <hyperlink ref="AB456" r:id="rId107"/>
    <hyperlink ref="AB457" r:id="rId108"/>
    <hyperlink ref="AB458" r:id="rId109"/>
    <hyperlink ref="AB460" r:id="rId110"/>
    <hyperlink ref="AB461" r:id="rId111"/>
    <hyperlink ref="AB463" r:id="rId112"/>
    <hyperlink ref="AB466" r:id="rId113"/>
    <hyperlink ref="AB467" r:id="rId114"/>
    <hyperlink ref="AB468" r:id="rId115"/>
    <hyperlink ref="AB593" r:id="rId116"/>
    <hyperlink ref="AB594" r:id="rId117"/>
    <hyperlink ref="AB595" r:id="rId118"/>
    <hyperlink ref="AB598" r:id="rId119"/>
    <hyperlink ref="AB603" r:id="rId120"/>
    <hyperlink ref="AB604" r:id="rId121"/>
    <hyperlink ref="AB606" r:id="rId122"/>
    <hyperlink ref="AB607" r:id="rId123"/>
    <hyperlink ref="AB608" r:id="rId124"/>
    <hyperlink ref="AB98" r:id="rId125" display="https://www.jivi.com.ar/ficha.php?id=234"/>
    <hyperlink ref="AB326" r:id="rId126" display="https://www.jivi.com.ar/ficha.php?id=51"/>
    <hyperlink ref="AB337" r:id="rId127"/>
    <hyperlink ref="AB255" r:id="rId128" display="https://www.jivi.com.ar/ficha.php?id=783"/>
    <hyperlink ref="B7:V7" location="'Artículos Publicitarios'!A686" display="PARA IR A LOS RECARGOS POR IMPRESIONES ADICIONALES CLICK AQUÍ"/>
    <hyperlink ref="AB435" r:id="rId129"/>
    <hyperlink ref="AB64" r:id="rId130" display="https://www.jivi.com.ar/ficha.php?id=76"/>
    <hyperlink ref="AC54" r:id="rId131"/>
    <hyperlink ref="AD54" r:id="rId132"/>
    <hyperlink ref="AE54" r:id="rId133"/>
    <hyperlink ref="B7:W7" location="'Artículos Publicitarios'!A661" display="PARA IR A LOS RECARGOS POR IMPRESIONES ADICIONALES CLICK AQUÍ"/>
    <hyperlink ref="AB225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5" display="https://www.jivi.com.ar/ficha.php?id=846"/>
    <hyperlink ref="AB27" r:id="rId136" display="https://www.jivi.com.ar/ficha.php?id=848"/>
    <hyperlink ref="AB75" r:id="rId137"/>
    <hyperlink ref="AE2:AG2" location="'Artículos Publicitarios'!A707" display="CLICK AQUÍ"/>
    <hyperlink ref="B706:W706" location="'Artículos Publicitarios'!A3" display="PARA SUBIR AL PRINCIPIO DE LA LISTA CLICK AQUÍ"/>
    <hyperlink ref="AB252" r:id="rId138" display="https://www.jivi.com.ar/ficha.php?id=862"/>
    <hyperlink ref="AB45" r:id="rId139"/>
    <hyperlink ref="AB152" r:id="rId140" display="https://www.jivi.com.ar/ficha.php?id=882"/>
    <hyperlink ref="AB103" r:id="rId141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70" r:id="rId142" display="https://www.jivi.com.ar/ficha.php?id=903"/>
    <hyperlink ref="AB22" r:id="rId143"/>
    <hyperlink ref="AB331" r:id="rId144" display="https://www.jivi.com.ar/ficha.php?id=916"/>
    <hyperlink ref="AB263" r:id="rId145" display="https://www.jivi.com.ar/ficha.php?id=918"/>
    <hyperlink ref="AB321" r:id="rId146" display="https://www.jivi.com.ar/ficha.php?id=926"/>
    <hyperlink ref="AB66" r:id="rId147"/>
    <hyperlink ref="AB429" r:id="rId148"/>
    <hyperlink ref="AB180" r:id="rId149" display="https://www.jivi.com.ar/ficha.php?id=948"/>
    <hyperlink ref="AB333" r:id="rId150" display="https://www.jivi.com.ar/ficha.php?id=954"/>
    <hyperlink ref="AB128" r:id="rId151"/>
    <hyperlink ref="AB130" r:id="rId152"/>
    <hyperlink ref="AB129" r:id="rId153"/>
    <hyperlink ref="AB609" r:id="rId154"/>
    <hyperlink ref="AB436" r:id="rId155"/>
    <hyperlink ref="AB28" r:id="rId156"/>
    <hyperlink ref="AB327" r:id="rId157" display="https://www.jivi.com.ar/ficha.php?id=850"/>
    <hyperlink ref="AB131" r:id="rId158"/>
    <hyperlink ref="AB464" r:id="rId159"/>
    <hyperlink ref="AB465" r:id="rId160"/>
    <hyperlink ref="AB611" r:id="rId161"/>
    <hyperlink ref="AB352" r:id="rId162" display="https://www.jivi.com.ar/ficha.php?id=1023"/>
    <hyperlink ref="AB325" r:id="rId163" display="https://www.jivi.com.ar/ficha.php?id=1024"/>
    <hyperlink ref="AB322" r:id="rId164" display="https://www.jivi.com.ar/ficha.php?id=1025"/>
    <hyperlink ref="AF26" location="'Artículos Publicitarios'!A122" display="IR A PINES"/>
    <hyperlink ref="AB329" r:id="rId165" display="https://www.jivi.com.ar/ficha.php?id=647"/>
    <hyperlink ref="AB312" r:id="rId166" display="https://www.jivi.com.ar/ficha.php?id=1049"/>
    <hyperlink ref="AB440" r:id="rId167"/>
    <hyperlink ref="AB169" r:id="rId168"/>
    <hyperlink ref="AB191" r:id="rId169" display="https://www.jivi.com.ar/ficha.php?id=1059"/>
    <hyperlink ref="AB193" r:id="rId170" display="https://www.jivi.com.ar/ficha.php?id=1061"/>
    <hyperlink ref="AB194" r:id="rId171" display="https://www.jivi.com.ar/ficha.php?id=1062"/>
    <hyperlink ref="AB24" r:id="rId172" display="https://www.jivi.com.ar/ficha.php?id=364"/>
    <hyperlink ref="AF28:AI28" location="'Artículos Publicitarios'!A479" display="IR A GORROS"/>
    <hyperlink ref="AB26" r:id="rId173"/>
    <hyperlink ref="AB25" r:id="rId174"/>
    <hyperlink ref="AF24:AI24" location="'Artículos Publicitarios'!A567" display="IR A PROD. SUBLIMADOS"/>
    <hyperlink ref="AB576" r:id="rId175" display="https://www.jivi.com.ar/ficha.php?id=1088"/>
    <hyperlink ref="AB577" r:id="rId176" display="https://www.jivi.com.ar/ficha.php?id=1089"/>
    <hyperlink ref="AB578" r:id="rId177" display="https://www.jivi.com.ar/ficha.php?id=1090"/>
    <hyperlink ref="AB579" r:id="rId178" display="https://www.jivi.com.ar/ficha.php?id=1091"/>
    <hyperlink ref="AB341" r:id="rId179" display="https://www.jivi.com.ar/ficha.php?id=1095"/>
    <hyperlink ref="AB323" r:id="rId180" display="https://www.jivi.com.ar/ficha.php?id=1094"/>
    <hyperlink ref="AB314" r:id="rId181" display="https://www.jivi.com.ar/ficha.php?id=297"/>
    <hyperlink ref="AB354" r:id="rId182" display="https://www.jivi.com.ar/ficha.php?id=1097"/>
    <hyperlink ref="AB100" r:id="rId183" display="https://www.jivi.com.ar/ficha.php?id=1098"/>
    <hyperlink ref="AB21" r:id="rId184"/>
    <hyperlink ref="AB219" r:id="rId185"/>
    <hyperlink ref="AB311" r:id="rId186" display="https://www.jivi.com.ar/ficha.php?id=1108"/>
    <hyperlink ref="AB344" r:id="rId187" display="https://www.jivi.com.ar/ficha.php?id=1116"/>
    <hyperlink ref="AF589:AH589" location="'Artículos Publicitarios'!A3" display="IR A PAGINA 1"/>
    <hyperlink ref="AF26:AI26" location="'Artículos Publicitarios'!A91" display="IR A PINES"/>
    <hyperlink ref="AF25:AI25" location="'Artículos Publicitarios'!A159" display="IR A CARPITAS"/>
    <hyperlink ref="AF21:AI21" location="'Artículos Publicitarios'!A132" display="IR A CINTAS COLGANTES"/>
    <hyperlink ref="AF29:AI29" location="'Artículos Publicitarios'!A264" display="IR A PORTADOCUMENTOS"/>
    <hyperlink ref="AB173" r:id="rId188" display="https://www.jivi.com.ar/ficha.php?id=1119"/>
    <hyperlink ref="AB174" r:id="rId189"/>
    <hyperlink ref="AB257" r:id="rId190" display="https://www.jivi.com.ar/ficha.php?id=1154"/>
    <hyperlink ref="AB268" r:id="rId191" display="https://www.jivi.com.ar/ficha.php?id=1157"/>
    <hyperlink ref="AB269" r:id="rId192" display="https://www.jivi.com.ar/ficha.php?id=1158"/>
    <hyperlink ref="AB574" r:id="rId193"/>
    <hyperlink ref="AB580" r:id="rId194" display="hhttps://www.jivi.com.ar/ficha.php?id=1155"/>
    <hyperlink ref="AB582" r:id="rId195" display="https://www.jivi.com.ar/ficha.php?id=1156"/>
    <hyperlink ref="AB585" r:id="rId196"/>
    <hyperlink ref="AB592" r:id="rId197"/>
    <hyperlink ref="AB324" r:id="rId198"/>
    <hyperlink ref="AB55" r:id="rId199" display="https://www.jivi.com.ar/ficha.php?id=1172"/>
    <hyperlink ref="AB328" r:id="rId200"/>
    <hyperlink ref="AB99" r:id="rId201"/>
    <hyperlink ref="AB120" r:id="rId202"/>
    <hyperlink ref="AB330" r:id="rId203" display="https://www.jivi.com.ar/ficha.php?id=915"/>
    <hyperlink ref="AB110" r:id="rId204" display="https://www.jivi.com.ar/ficha.php?id=1182"/>
    <hyperlink ref="AB119" r:id="rId205" display="https://www.jivi.com.ar/ficha.php?id=1183"/>
    <hyperlink ref="AB121" r:id="rId206"/>
    <hyperlink ref="AB334" r:id="rId207" display="https://www.jivi.com.ar/ficha.php?id=349"/>
    <hyperlink ref="AB390" r:id="rId208" display="https://www.jivi.com.ar/ficha.php?id=1190"/>
    <hyperlink ref="AB389" r:id="rId209" display="https://www.jivi.com.ar/ficha.php?id=1192"/>
    <hyperlink ref="AB108" r:id="rId210" display="https://www.jivi.com.ar/ficha.php?id=1181"/>
    <hyperlink ref="AB339" r:id="rId211"/>
    <hyperlink ref="AB437" r:id="rId212"/>
    <hyperlink ref="AB391" r:id="rId213" display="https://www.jivi.com.ar/ficha.php?id=1219"/>
    <hyperlink ref="AB50" r:id="rId214"/>
    <hyperlink ref="AB49" r:id="rId215"/>
    <hyperlink ref="AB51" r:id="rId216"/>
    <hyperlink ref="AB271" r:id="rId217" display="https://www.jivi.com.ar/ficha.php?id=904"/>
    <hyperlink ref="AB62" r:id="rId218"/>
    <hyperlink ref="AB417" r:id="rId219" display="https://www.jivi.com.ar/ficha.php?id=1225"/>
    <hyperlink ref="AB44" r:id="rId220"/>
    <hyperlink ref="AB264" r:id="rId221" display="https://www.jivi.com.ar/ficha.php?id=919"/>
    <hyperlink ref="AB192" r:id="rId222" display="https://www.jivi.com.ar/ficha.php?id=1060"/>
    <hyperlink ref="AB43" r:id="rId223"/>
    <hyperlink ref="AB153" r:id="rId224" display="https://www.jivi.com.ar/ficha.php?id=883"/>
    <hyperlink ref="AB470" r:id="rId225"/>
    <hyperlink ref="AB125" r:id="rId226" display="https://www.jivi.com.ar/ficha.php?id=1055"/>
    <hyperlink ref="AB508" r:id="rId227" display="https://www.jivi.com.ar/ficha.php?id=1248"/>
    <hyperlink ref="AB342" r:id="rId228" display="https://www.jivi.com.ar/ficha.php?id=1253"/>
    <hyperlink ref="AF559:AH559" location="'Artículos Publicitarios'!A3" display="IR A PAGINA 1"/>
    <hyperlink ref="AB253" r:id="rId229" display="https://www.jivi.com.ar/ficha.php?id=1124"/>
    <hyperlink ref="AB154" r:id="rId230" display="https://www.jivi.com.ar/ficha.php?id=1261"/>
    <hyperlink ref="AB368" r:id="rId231" display="https://www.jivi.com.ar/ficha.php?id=1267"/>
    <hyperlink ref="AB418" r:id="rId232" display="https://www.jivi.com.ar/ficha.php?id=1268"/>
    <hyperlink ref="AB369" r:id="rId233" display="https://www.jivi.com.ar/ficha.php?id=1277"/>
    <hyperlink ref="AB370" r:id="rId234" display="https://www.jivi.com.ar/ficha.php?id=1278"/>
    <hyperlink ref="AB371" r:id="rId235" display="https://www.jivi.com.ar/ficha.php?id=1280"/>
    <hyperlink ref="AB626" r:id="rId236"/>
    <hyperlink ref="AB97" r:id="rId237" display="https://www.jivi.com.ar/ficha.php?id=378"/>
    <hyperlink ref="AB171" r:id="rId238"/>
    <hyperlink ref="AB109" r:id="rId239"/>
    <hyperlink ref="AB111" r:id="rId240"/>
    <hyperlink ref="AB116" r:id="rId241" display="https://www.jivi.com.ar/ficha.php?id=1305"/>
    <hyperlink ref="AB117" r:id="rId242"/>
    <hyperlink ref="AB214" r:id="rId243" display="https://www.jivi.com.ar/ficha.php?id=1295"/>
    <hyperlink ref="AB218" r:id="rId244" display="https://www.jivi.com.ar/ficha.php?id=1287"/>
    <hyperlink ref="AB584" r:id="rId245" display="https://www.jivi.com.ar/ficha.php?id=1290"/>
    <hyperlink ref="AB164" r:id="rId246" display="https://www.jivi.com.ar/ficha.php?id=1316"/>
    <hyperlink ref="AB104" r:id="rId247" display="https://www.jivi.com.ar/ficha.php?id=1314"/>
    <hyperlink ref="AJ1:AJ2" location="'Artículos Publicitarios'!A3" display="IR A PAGINA 1"/>
    <hyperlink ref="AB170" r:id="rId248"/>
    <hyperlink ref="AB356" r:id="rId249" display="https://www.jivi.com.ar/ficha.php?id=1344"/>
    <hyperlink ref="AB118" r:id="rId250"/>
    <hyperlink ref="AF666:AH666" location="'Artículos Publicitarios'!A3" display="IR A PAGINA 1"/>
    <hyperlink ref="AB162" r:id="rId251" display="https://www.jivi.com.ar/ficha.php?id=1346"/>
    <hyperlink ref="AB163" r:id="rId252" display="https://www.jivi.com.ar/ficha.php?id=1347"/>
    <hyperlink ref="AB190" r:id="rId253" display="https://www.jivi.com.ar/ficha.php?id=1348"/>
    <hyperlink ref="AB357" r:id="rId254" display="https://www.jivi.com.ar/ficha.php?id=1359"/>
    <hyperlink ref="AB372" r:id="rId255" display="https://www.jivi.com.ar/ficha.php?id=1360"/>
    <hyperlink ref="AB172" r:id="rId256"/>
    <hyperlink ref="AB106" r:id="rId257" display="https://www.jivi.com.ar/ficha.php?id=1366"/>
    <hyperlink ref="AC8:AI9" r:id="rId258" display="REGISTRATE EN NUESTRA WEB PARA BAJAR LISTA DE PRECIOS DESDE CUALQUIER PC"/>
    <hyperlink ref="AB254" r:id="rId259" display="https://www.jivi.com.ar/ficha.php?id=864"/>
    <hyperlink ref="AB376" r:id="rId260" display="https://www.jivi.com.ar/ficha.php?id=1372"/>
    <hyperlink ref="AB375" r:id="rId261" display="https://www.jivi.com.ar/ficha.php?id=1378"/>
    <hyperlink ref="AB377" r:id="rId262" display="https://www.jivi.com.ar/ficha.php?id=1382"/>
    <hyperlink ref="AB374" r:id="rId263" display="https://www.jivi.com.ar/ficha.php?id=1383"/>
    <hyperlink ref="AB395" r:id="rId264" display="https://www.jivi.com.ar/ficha.php?id=1384"/>
    <hyperlink ref="AB123" r:id="rId265" display="https://www.jivi.com.ar/ficha.php?id=1428"/>
    <hyperlink ref="AB401" r:id="rId266" display="https://www.jivi.com.ar/ficha.php?id=1385"/>
    <hyperlink ref="AB394" r:id="rId267" display="https://www.jivi.com.ar/ficha.php?id=1387"/>
    <hyperlink ref="AB402" r:id="rId268" display="https://www.jivi.com.ar/ficha.php?id=1389"/>
    <hyperlink ref="AB403" r:id="rId269" display="https://www.jivi.com.ar/ficha.php?id=1390"/>
    <hyperlink ref="AB146" r:id="rId270" display="https://www.jivi.com.ar/ficha.php?id=1391"/>
    <hyperlink ref="AB23" r:id="rId271" display="https://www.jivi.com.ar/ficha.php?id=363"/>
    <hyperlink ref="AF23" location="'Artículos Publicitarios'!A582" display="IR A REMERAS"/>
    <hyperlink ref="AF23:AI23" location="'Artículos Publicitarios'!A472" display="IR A REMERAS"/>
    <hyperlink ref="AF29:AJ29" location="'Artículos Publicitarios'!A223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12" display="IR A ART. DE CUERO - CUCHILLERIA"/>
    <hyperlink ref="AB61" r:id="rId272" display="https://www.jivi.com.ar/ficha.php?id=236"/>
    <hyperlink ref="AB165" r:id="rId273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8" r:id="rId274" display="https://www.jivi.com.ar/ficha.php?id=1394"/>
    <hyperlink ref="AB220" r:id="rId275" display="https://www.jivi.com.ar/ficha.php?id=872"/>
    <hyperlink ref="AB144" r:id="rId276" display="https://www.jivi.com.ar/ficha.php?id=1398"/>
    <hyperlink ref="AB143" r:id="rId277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31" display="IR A BOLIGRAFOS"/>
    <hyperlink ref="AB393" r:id="rId278" display="https://www.jivi.com.ar/ficha.php?id=1262"/>
    <hyperlink ref="AB373" r:id="rId279" display="https://www.jivi.com.ar/ficha.php?id=1400"/>
    <hyperlink ref="AB379" r:id="rId280" display="https://www.jivi.com.ar/ficha.php?id=1401"/>
    <hyperlink ref="AB155" r:id="rId281" display="https://www.jivi.com.ar/ficha.php?id=1392"/>
    <hyperlink ref="AB248" r:id="rId282" display="https://www.jivi.com.ar/ficha.php?id=1230"/>
    <hyperlink ref="AB358" r:id="rId283" display="https://www.jivi.com.ar/ficha.php?id=1110"/>
    <hyperlink ref="AB361" r:id="rId284" display="https://www.jivi.com.ar/ficha.php?id=1111"/>
    <hyperlink ref="AF22:AI22" location="'Artículos Publicitarios'!A325" display="IR A SET DE NOTAS"/>
    <hyperlink ref="AF22:AJ22" location="'Artículos Publicitarios'!A502" display="IR A PARAGUAS"/>
    <hyperlink ref="AB93" r:id="rId285" display="https://www.jivi.com.ar/ficha.php?id=477"/>
    <hyperlink ref="AB95" r:id="rId286" display="https://www.jivi.com.ar/ficha.php?id=376"/>
    <hyperlink ref="AB14" r:id="rId287" display="https://www.jivi.com.ar/ficha.php?id=1402"/>
    <hyperlink ref="AB502" r:id="rId288" display="https://www.jivi.com.ar/ficha.php?id=1393"/>
    <hyperlink ref="AB17" r:id="rId289" display="https://www.jivi.com.ar/ficha.php?id=1405"/>
    <hyperlink ref="AB122" r:id="rId290" display="https://www.jivi.com.ar/ficha.php?id=1413"/>
    <hyperlink ref="AB167" r:id="rId291" display="https://www.jivi.com.ar/ficha.php?id=1416"/>
    <hyperlink ref="AB168" r:id="rId292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8" r:id="rId293" display="https://www.jivi.com.ar/ficha.php?id=1356"/>
    <hyperlink ref="AB205" r:id="rId294" display="https://www.jivi.com.ar/ficha.php?id=1084"/>
    <hyperlink ref="AB305" r:id="rId295" display="https://www.jivi.com.ar/ficha.php?id=1353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651" display="IR A DELANTALES"/>
    <hyperlink ref="AB629" r:id="rId296"/>
    <hyperlink ref="AB631" r:id="rId297"/>
    <hyperlink ref="AB265" r:id="rId298" display="https://www.jivi.com.ar/ficha.php?id=1281"/>
    <hyperlink ref="AB624" r:id="rId299"/>
    <hyperlink ref="AB289" r:id="rId300" display="https://www.jivi.com.ar/ficha.php?id=1421"/>
    <hyperlink ref="AB292" r:id="rId301" display="https://www.jivi.com.ar/ficha.php?id=1422"/>
    <hyperlink ref="AB293" r:id="rId302" display="https://www.jivi.com.ar/ficha.php?id=1423"/>
    <hyperlink ref="AB303" r:id="rId303" display="https://www.jivi.com.ar/ficha.php?id=1425"/>
    <hyperlink ref="AB304" r:id="rId304" display="https://www.jivi.com.ar/ficha.php?id=1426"/>
    <hyperlink ref="AB415" r:id="rId305" display="https://www.jivi.com.ar/ficha.php?id=1429"/>
    <hyperlink ref="AB438" r:id="rId306"/>
    <hyperlink ref="AB439" r:id="rId307"/>
    <hyperlink ref="AB16" r:id="rId308" display="https://www.jivi.com.ar/ficha.php?id=1433"/>
    <hyperlink ref="AB496" r:id="rId309" display="https://www.jivi.com.ar/ficha.php?id=1436"/>
    <hyperlink ref="AB497" r:id="rId310" display="https://www.jivi.com.ar/ficha.php?id=1437"/>
    <hyperlink ref="AB498" r:id="rId311"/>
    <hyperlink ref="AB500" r:id="rId312" display="https://www.jivi.com.ar/ficha.php?id=1439"/>
    <hyperlink ref="AB291" r:id="rId313" display="https://www.jivi.com.ar/ficha.php?id=1442"/>
    <hyperlink ref="AB302" r:id="rId314" display="https://www.jivi.com.ar/ficha.php?id=1427"/>
    <hyperlink ref="AB605" r:id="rId315"/>
    <hyperlink ref="AB353" r:id="rId316" display="https://www.jivi.com.ar/ficha.php?id=1056"/>
    <hyperlink ref="AB247" r:id="rId317" display="https://www.jivi.com.ar/ficha.php?id=1334"/>
    <hyperlink ref="AB245" r:id="rId318" display="https://www.jivi.com.ar/ficha.php?id=1335"/>
    <hyperlink ref="AB299" r:id="rId319" display="https://www.jivi.com.ar/ficha.php?id=1443"/>
    <hyperlink ref="AB306" r:id="rId320" display="https://www.jivi.com.ar/ficha.php?id=1354"/>
    <hyperlink ref="AB298" r:id="rId321" display="https://www.jivi.com.ar/ficha.php?id=1446"/>
    <hyperlink ref="AB297" r:id="rId322" display="https://www.jivi.com.ar/ficha.php?id=1447"/>
    <hyperlink ref="AB301" r:id="rId323" display="https://www.jivi.com.ar/ficha.php?id=1448"/>
    <hyperlink ref="AB310" r:id="rId324" display="https://www.jivi.com.ar/ficha.php?id=1449"/>
    <hyperlink ref="AB309" r:id="rId325" display="https://www.jivi.com.ar/ficha.php?id=1450"/>
    <hyperlink ref="AB126" r:id="rId326" display="https://www.jivi.com.ar/ficha.php?id=1451"/>
    <hyperlink ref="AB188" r:id="rId327"/>
    <hyperlink ref="AB196" r:id="rId328" display="https://www.jivi.com.ar/ficha.php?id=1064"/>
    <hyperlink ref="AB195" r:id="rId329" display="https://www.jivi.com.ar/ficha.php?id=1063"/>
    <hyperlink ref="AB430" r:id="rId330"/>
    <hyperlink ref="AB627" r:id="rId331"/>
    <hyperlink ref="AB385" r:id="rId332" display="https://www.jivi.com.ar/ficha.php?id=1463"/>
    <hyperlink ref="AB386" r:id="rId333" display="https://www.jivi.com.ar/ficha.php?id=1464"/>
    <hyperlink ref="AB387" r:id="rId334" display="https://www.jivi.com.ar/ficha.php?id=1465"/>
    <hyperlink ref="AB406" r:id="rId335" display="https://www.jivi.com.ar/ficha.php?id=1466"/>
    <hyperlink ref="AB503" r:id="rId336" display="https://www.jivi.com.ar/ficha.php?id=1467"/>
    <hyperlink ref="AB501" r:id="rId337" display="https://www.jivi.com.ar/ficha.php?id=1468"/>
    <hyperlink ref="AB507" r:id="rId338" display="https://www.jivi.com.ar/ficha.php?id=1470"/>
    <hyperlink ref="AB511" r:id="rId339"/>
    <hyperlink ref="AB512" r:id="rId340" display="https://www.jivi.com.ar/ficha.php?id=1472"/>
    <hyperlink ref="AB459" r:id="rId341"/>
    <hyperlink ref="AB572" r:id="rId342"/>
    <hyperlink ref="AB573" r:id="rId343"/>
    <hyperlink ref="AB571" r:id="rId344"/>
    <hyperlink ref="AB209" r:id="rId345" display="https://www.jivi.com.ar/ficha.php?id=1478"/>
    <hyperlink ref="AB210" r:id="rId346"/>
    <hyperlink ref="AB211" r:id="rId347"/>
    <hyperlink ref="AB204" r:id="rId348" display="https://www.jivi.com.ar/ficha.php?id=1481"/>
    <hyperlink ref="AB221" r:id="rId349" display="https://www.jivi.com.ar/ficha.php?id=1483"/>
    <hyperlink ref="AB243" r:id="rId350" display="https://www.jivi.com.ar/ficha.php?id=1486"/>
    <hyperlink ref="AB244" r:id="rId351" display="https://www.jivi.com.ar/ficha.php?id=1488"/>
    <hyperlink ref="AB259" r:id="rId352" display="https://www.jivi.com.ar/ficha.php?id=1492"/>
    <hyperlink ref="AB260" r:id="rId353" display="https://www.jivi.com.ar/ficha.php?id=1493"/>
    <hyperlink ref="AB261" r:id="rId354" display="https://www.jivi.com.ar/ficha.php?id=1494"/>
    <hyperlink ref="AB262" r:id="rId355"/>
    <hyperlink ref="AB273" r:id="rId356" display="https://www.jivi.com.ar/ficha.php?id=1496"/>
    <hyperlink ref="AB274" r:id="rId357" display="https://www.jivi.com.ar/ficha.php?id=1497"/>
    <hyperlink ref="AB276" r:id="rId358" display="httphttps://www.jivi.com.ar/ficha.php?id=1498"/>
    <hyperlink ref="AB277" r:id="rId359" display="https://www.jivi.com.ar/ficha.php?id=1499"/>
    <hyperlink ref="AB278" r:id="rId360" display="https://www.jivi.com.ar/ficha.php?id=1500"/>
    <hyperlink ref="AB38" r:id="rId361"/>
    <hyperlink ref="AB287" r:id="rId362" display="https://www.jivi.com.ar/ficha.php?id=1503"/>
    <hyperlink ref="AB40" r:id="rId363"/>
    <hyperlink ref="AB37" r:id="rId364"/>
    <hyperlink ref="AB39" r:id="rId365"/>
    <hyperlink ref="AB41" r:id="rId366"/>
    <hyperlink ref="AB42" r:id="rId367"/>
    <hyperlink ref="AB495" r:id="rId368" display="https://www.jivi.com.ar/ficha.php?id=1509"/>
    <hyperlink ref="AB472" r:id="rId369"/>
    <hyperlink ref="AB469" r:id="rId370"/>
    <hyperlink ref="AB286" r:id="rId371" display="https://www.jivi.com.ar/ficha.php?id=1515"/>
    <hyperlink ref="AB70" r:id="rId372"/>
    <hyperlink ref="AB72" r:id="rId373"/>
    <hyperlink ref="AB381" r:id="rId374" display="https://www.jivi.com.ar/ficha.php?id=1523"/>
    <hyperlink ref="AB625" r:id="rId375"/>
    <hyperlink ref="AB285" r:id="rId376" display="https://www.jivi.com.ar/ficha.php?id=1524"/>
    <hyperlink ref="AB288" r:id="rId377" display="https://www.jivi.com.ar/ficha.php?id=1526"/>
    <hyperlink ref="AB290" r:id="rId378" display="https://www.jivi.com.ar/ficha.php?id=1527"/>
    <hyperlink ref="AB232" r:id="rId379" display="https://www.jivi.com.ar/ficha.php?id=1532"/>
    <hyperlink ref="AB242" r:id="rId380" display="https://www.jivi.com.ar/ficha.php?id=1534"/>
    <hyperlink ref="AB616" r:id="rId381" display="https://www.jivi.com.ar/ficha.php?id=1535"/>
    <hyperlink ref="AB617" r:id="rId382" display="https://www.jivi.com.ar/ficha.php?id=1536"/>
    <hyperlink ref="AB223" r:id="rId383" display="https://www.jivi.com.ar/ficha.php?id=1539"/>
    <hyperlink ref="AB127" r:id="rId384" display="https://www.jivi.com.ar/ficha.php?id=1540"/>
    <hyperlink ref="AB509" r:id="rId385" display="https://www.jivi.com.ar/ficha.php?id=1541"/>
    <hyperlink ref="AB510" r:id="rId386" display="https://www.jivi.com.ar/ficha.php?id=1542"/>
    <hyperlink ref="AB246" r:id="rId387" display="https://www.jivi.com.ar/ficha.php?id=1363"/>
    <hyperlink ref="AB229" r:id="rId388" display="https://www.jivi.com.ar/ficha.php?id=1545"/>
    <hyperlink ref="AB360" r:id="rId389"/>
    <hyperlink ref="AB359" r:id="rId390"/>
    <hyperlink ref="AB340" r:id="rId391" display="https://www.jivi.com.ar/ficha.php?id=981"/>
    <hyperlink ref="AB382" r:id="rId392" display="https://www.jivi.com.ar/ficha.php?id=1548"/>
    <hyperlink ref="AB383" r:id="rId393" display="https://www.jivi.com.ar/ficha.php?id=1549"/>
    <hyperlink ref="AB441" r:id="rId394"/>
    <hyperlink ref="AB414" r:id="rId395" display="https://www.jivi.com.ar/ficha.php?id=1552"/>
    <hyperlink ref="AB355" r:id="rId396" display="https://www.jivi.com.ar/ficha.php?id=1311"/>
    <hyperlink ref="AB142" r:id="rId397" display="https://www.jivi.com.ar/ficha.php?id=1553"/>
    <hyperlink ref="AB138" r:id="rId398" display="https://www.jivi.com.ar/ficha.php?id=1554"/>
    <hyperlink ref="AB224" r:id="rId399" display="https://www.jivi.com.ar/ficha.php?id=1397"/>
    <hyperlink ref="AB540" r:id="rId400" display="https://www.jivi.com.ar/ficha.php?id=1555"/>
    <hyperlink ref="AB60" r:id="rId401" display="https://www.jivi.com.ar/ficha.php?id=1557"/>
    <hyperlink ref="AB630" r:id="rId402"/>
    <hyperlink ref="AB222" r:id="rId403" display="https://www.jivi.com.ar/ficha.php?id=518"/>
    <hyperlink ref="AB189" r:id="rId404" display="https://www.jivi.com.ar/ficha.php?id=1561"/>
    <hyperlink ref="AB11" r:id="rId405" display="https://www.jivi.com.ar/ficha.php?id=26"/>
    <hyperlink ref="AB226" r:id="rId406" display="https://www.jivi.com.ar/ficha.php?id=1066"/>
    <hyperlink ref="AB227" r:id="rId407" display="https://www.jivi.com.ar/ficha.php?id=1562"/>
    <hyperlink ref="AB422" r:id="rId408" display="https://www.jivi.com.ar/ficha.php?id=1563"/>
    <hyperlink ref="AB161" r:id="rId409" display="https://www.jivi.com.ar/ficha.php?id=1414"/>
    <hyperlink ref="AF16:AH16" location="'Artículos Publicitarios'!A578" display="IR A PAGINA 8"/>
    <hyperlink ref="AB18" r:id="rId410" display="https://www.jivi.com.ar/ficha.php?id=790"/>
    <hyperlink ref="AB295" r:id="rId411" display="https://www.jivi.com.ar/ficha.php?id=1407"/>
    <hyperlink ref="AB294" r:id="rId412" display="https://www.jivi.com.ar/ficha.php?id=1409"/>
    <hyperlink ref="AB296" r:id="rId413" display="https://www.jivi.com.ar/ficha.php?id=1408"/>
    <hyperlink ref="AB282" r:id="rId414" display="https://www.jivi.com.ar/ficha.php?id=1564"/>
    <hyperlink ref="AB362" r:id="rId415" display="https://www.jivi.com.ar/ficha.php?id=1565"/>
    <hyperlink ref="AB30" r:id="rId416" display="https://www.jivi.com.ar/ficha.php?id=1434"/>
    <hyperlink ref="AF30:AI30" location="'Artículos Publicitarios'!A280" display="IR A LLAVEROS ALTA FRECUENCIA"/>
    <hyperlink ref="AF30:AJ30" location="'Artículos Publicitarios'!A295" display="IR A TABLAS DE MADERA"/>
    <hyperlink ref="AB388" r:id="rId417" display="https://www.jivi.com.ar/ficha.php?id=1567"/>
    <hyperlink ref="AB46" r:id="rId418"/>
    <hyperlink ref="AB47" r:id="rId419"/>
    <hyperlink ref="AB48" r:id="rId420"/>
    <hyperlink ref="AB124" r:id="rId421" display="https://www.jivi.com.ar/ficha.php?id=1571"/>
    <hyperlink ref="AB203" r:id="rId422"/>
    <hyperlink ref="AB213" r:id="rId423" display="https://www.jivi.com.ar/ficha.php?id=218"/>
    <hyperlink ref="AB384" r:id="rId424" display="https://www.jivi.com.ar/ficha.php?id=1572"/>
    <hyperlink ref="AB283" r:id="rId425" display="https://www.jivi.com.ar/ficha.php?id=1573"/>
    <hyperlink ref="AB519" r:id="rId426" display="https://www.jivi.com.ar/ficha.php?id=1294"/>
    <hyperlink ref="AF31:AJ31" location="'Artículos Publicitarios'!A530" display="IR A MOCHILAS"/>
    <hyperlink ref="AB523" r:id="rId427" display="https://www.jivi.com.ar/ficha.php?id=1271"/>
    <hyperlink ref="AB522" r:id="rId428" display="https://www.jivi.com.ar/ficha.php?id=1296"/>
    <hyperlink ref="AB524" r:id="rId429" display="https://www.jivi.com.ar/ficha.php?id=1139"/>
    <hyperlink ref="AB520" r:id="rId430" display="https://www.jivi.com.ar/ficha.php?id=1249"/>
    <hyperlink ref="AB550" r:id="rId431" display="https://www.jivi.com.ar/ficha.php?id=1574"/>
    <hyperlink ref="AB521" r:id="rId432" display="https://www.jivi.com.ar/ficha.php?id=1576"/>
    <hyperlink ref="AB526" r:id="rId433" display="https://www.jivi.com.ar/ficha.php?id=1577"/>
    <hyperlink ref="AB528" r:id="rId434" display="https://www.jivi.com.ar/ficha.php?id=1580"/>
    <hyperlink ref="AB529" r:id="rId435" display="https://www.jivi.com.ar/ficha.php?id=1581"/>
    <hyperlink ref="AB533" r:id="rId436" display="https://www.jivi.com.ar/ficha.php?id=1583"/>
    <hyperlink ref="AB534" r:id="rId437" display="https://www.jivi.com.ar/ficha.php?id=1584"/>
    <hyperlink ref="AB536" r:id="rId438" display="https://www.jivi.com.ar/ficha.php?id=1586"/>
    <hyperlink ref="AB538" r:id="rId439" display="https://www.jivi.com.ar/ficha.php?id=1587"/>
    <hyperlink ref="AF32:AJ32" location="'Artículos Publicitarios'!A251" display="IR A CUADERNOS"/>
    <hyperlink ref="AB249" r:id="rId440" display="https://www.jivi.com.ar/ficha.php?id=1221"/>
    <hyperlink ref="AB256" r:id="rId441" display="https://www.jivi.com.ar/ficha.php?id=1588"/>
    <hyperlink ref="AB258" r:id="rId442" display="https://www.jivi.com.ar/ficha.php?id=1411"/>
    <hyperlink ref="AB490" r:id="rId443"/>
    <hyperlink ref="AB491" r:id="rId444" display="https://www.jivi.com.ar/ficha.php?id=1590"/>
    <hyperlink ref="AB492" r:id="rId445"/>
    <hyperlink ref="AB493" r:id="rId446" display="https://www.jivi.com.ar/ficha.php?id=1592"/>
    <hyperlink ref="AB541" r:id="rId447" display="https://www.jivi.com.ar/ficha.php?id=1593"/>
    <hyperlink ref="AB281" r:id="rId448" display="https://www.jivi.com.ar/ficha.php?id=1594"/>
    <hyperlink ref="AB280" r:id="rId449" display="https://www.jivi.com.ar/ficha.php?id=1595"/>
    <hyperlink ref="AB409" r:id="rId450" display="https://www.jivi.com.ar/ficha.php?id=1596"/>
    <hyperlink ref="AB542" r:id="rId451" display="https://www.jivi.com.ar/ficha.php?id=1598"/>
    <hyperlink ref="AB535" r:id="rId452" display="https://www.jivi.com.ar/ficha.php?id=1599"/>
    <hyperlink ref="AB543" r:id="rId453" display="https://www.jivi.com.ar/ficha.php?id=1602"/>
    <hyperlink ref="AB544" r:id="rId454" display="https://www.jivi.com.ar/ficha.php?id=1603"/>
    <hyperlink ref="AB63" r:id="rId455"/>
    <hyperlink ref="AB545" r:id="rId456" display="https://www.jivi.com.ar/ficha.php?id=1604"/>
    <hyperlink ref="AB546" r:id="rId457" display="https://www.jivi.com.ar/ficha.php?id=1606"/>
    <hyperlink ref="AB300" r:id="rId458" display="https://www.jivi.com.ar/ficha.php?id=1424"/>
    <hyperlink ref="AB175" r:id="rId459"/>
    <hyperlink ref="AB241" r:id="rId460" display="https://www.jivi.com.ar/ficha.php?id=1520"/>
    <hyperlink ref="AB235" r:id="rId461" display="https://www.jivi.com.ar/ficha.php?id=1459"/>
    <hyperlink ref="AB234" r:id="rId462" display="https://www.jivi.com.ar/ficha.php?id=1608"/>
    <hyperlink ref="AB233" r:id="rId463" display="https://www.jivi.com.ar/ficha.php?id=1609"/>
    <hyperlink ref="AB250" r:id="rId464" display="https://www.jivi.com.ar/ficha.php?id=1274"/>
    <hyperlink ref="AB412" r:id="rId465" display="https://www.jivi.com.ar/ficha.php?id=1610"/>
    <hyperlink ref="AB537" r:id="rId466" display="https://www.jivi.com.ar/ficha.php?id=1396"/>
    <hyperlink ref="AB532" r:id="rId467" display="https://www.jivi.com.ar/ficha.php?id=1611"/>
    <hyperlink ref="AB531" r:id="rId468" display="https://www.jivi.com.ar/ficha.php?id=1612"/>
    <hyperlink ref="AB530" r:id="rId469" display="https://www.jivi.com.ar/ficha.php?id=1613"/>
    <hyperlink ref="AB198" r:id="rId470" display="https://www.jivi.com.ar/ficha.php?id=1614"/>
    <hyperlink ref="AB197" r:id="rId471" display="https://www.jivi.com.ar/ficha.php?id=1452"/>
    <hyperlink ref="AB215" r:id="rId472" display="https://www.jivi.com.ar/ficha.php?id=608"/>
    <hyperlink ref="AB366" r:id="rId473" display="https://www.jivi.com.ar/ficha.php?id=1615"/>
    <hyperlink ref="AB552" r:id="rId474" display="https://www.jivi.com.ar/ficha.php?id=1616"/>
    <hyperlink ref="AB553" r:id="rId475" display="https://www.jivi.com.ar/ficha.php?id=1617"/>
    <hyperlink ref="AB554" r:id="rId476" display="https://www.jivi.com.ar/ficha.php?id=1618"/>
    <hyperlink ref="AB488" r:id="rId477"/>
    <hyperlink ref="AB489" r:id="rId478" display="https://www.jivi.com.ar/ficha.php?id=1620"/>
    <hyperlink ref="AB307" r:id="rId479" display="https://www.jivi.com.ar/ficha.php?id=1355"/>
    <hyperlink ref="AB19" r:id="rId480" display="https://www.jivi.com.ar/ficha.php?id=998"/>
    <hyperlink ref="AB504" r:id="rId481" display="https://www.jivi.com.ar/ficha.php?id=1204"/>
    <hyperlink ref="AB505" r:id="rId482"/>
    <hyperlink ref="AB147" r:id="rId483" display="https://www.jivi.com.ar/ficha.php?id=139"/>
    <hyperlink ref="AB338" r:id="rId484"/>
    <hyperlink ref="AB471" r:id="rId485"/>
    <hyperlink ref="AB596" r:id="rId486"/>
    <hyperlink ref="AB599" r:id="rId487"/>
    <hyperlink ref="AB633" r:id="rId488"/>
    <hyperlink ref="AB634" r:id="rId489"/>
    <hyperlink ref="AB635" r:id="rId490"/>
    <hyperlink ref="AB364" r:id="rId491" display="https://www.jivi.com.ar/ficha.php?id=1641"/>
    <hyperlink ref="AB446" r:id="rId492"/>
    <hyperlink ref="AB445" r:id="rId493"/>
    <hyperlink ref="AB447" r:id="rId494"/>
    <hyperlink ref="AB448" r:id="rId495"/>
    <hyperlink ref="AB449" r:id="rId496"/>
    <hyperlink ref="AB450" r:id="rId497"/>
    <hyperlink ref="AB622" r:id="rId498"/>
    <hyperlink ref="AB443" r:id="rId499"/>
    <hyperlink ref="AB444" r:id="rId500"/>
    <hyperlink ref="AB442" r:id="rId501"/>
    <hyperlink ref="AB166" r:id="rId502" display="https://www.jivi.com.ar/ficha.php?id=1660"/>
    <hyperlink ref="AB145" r:id="rId503" display="https://www.jivi.com.ar/ficha.php?id=1663"/>
    <hyperlink ref="AB101" r:id="rId504" display="https://www.jivi.com.ar/ficha.php?id=440"/>
    <hyperlink ref="AB623" r:id="rId505"/>
    <hyperlink ref="AB628" r:id="rId506"/>
    <hyperlink ref="AB632" r:id="rId507"/>
    <hyperlink ref="AB494" r:id="rId508" display="https://www.jivi.com.ar/ficha.php?id=1684"/>
    <hyperlink ref="AB367" r:id="rId509" display="https://www.jivi.com.ar/ficha.php?id=1272"/>
    <hyperlink ref="AB365" r:id="rId510" display="https://www.jivi.com.ar/ficha.php?id=1687"/>
    <hyperlink ref="AB363" r:id="rId511" display="https://www.jivi.com.ar/ficha.php?id=1672"/>
    <hyperlink ref="AB539" r:id="rId512" display="https://www.jivi.com.ar/ficha.php?id=1690"/>
    <hyperlink ref="AB487" r:id="rId513" display="https://www.jivi.com.ar/ficha.php?id=1691"/>
    <hyperlink ref="AB413" r:id="rId514" display="https://www.jivi.com.ar/ficha.php?id=1692"/>
    <hyperlink ref="AB499" r:id="rId515" display="https://www.jivi.com.ar/ficha.php?id=1438"/>
    <hyperlink ref="AF480:AH480" location="'Artículos Publicitarios'!A3" display="IR A PAGINA 1"/>
    <hyperlink ref="AF517:AH517" location="'Artículos Publicitarios'!A3" display="IR A PAGINA 1"/>
    <hyperlink ref="AB410" r:id="rId516" display="https://www.jivi.com.ar/ficha.php?id=1695"/>
    <hyperlink ref="AB31" r:id="rId517" display="https://www.jivi.com.ar/ficha.php?id=36"/>
    <hyperlink ref="AB485" r:id="rId518"/>
    <hyperlink ref="AB486" r:id="rId519" display="https://www.jivi.com.ar/ficha.php?id=1698"/>
    <hyperlink ref="AB411" r:id="rId520" display="https://www.jivi.com.ar/ficha.php?id=1699"/>
    <hyperlink ref="AB279" r:id="rId521" display="https://www.jivi.com.ar/ficha.php?id=1700"/>
    <hyperlink ref="AB473" r:id="rId522"/>
    <hyperlink ref="AB380" r:id="rId523" display="https://www.jivi.com.ar/ficha.php?id=1462"/>
    <hyperlink ref="AB231" r:id="rId524" display="https://www.jivi.com.ar/ficha.php?id=1531"/>
    <hyperlink ref="AB230" r:id="rId525" display="https://www.jivi.com.ar/ficha.php?id=1528"/>
    <hyperlink ref="AB416" r:id="rId526"/>
    <hyperlink ref="AB346" r:id="rId527" display="https://www.jivi.com.ar/ficha.php?id=977"/>
    <hyperlink ref="AB405" r:id="rId528" display="https://www.jivi.com.ar/ficha.php?id=1457"/>
    <hyperlink ref="AB404" r:id="rId529" display="https://www.jivi.com.ar/ficha.php?id=1456"/>
    <hyperlink ref="AB347" r:id="rId530" display="https://www.jivi.com.ar/ficha.php?id=1707"/>
    <hyperlink ref="AB348" r:id="rId531" display="https://www.jivi.com.ar/ficha.php?id=1708"/>
    <hyperlink ref="AB392" r:id="rId532" display="https://www.jivi.com.ar/ficha.php?id=1720"/>
    <hyperlink ref="AB407" r:id="rId533"/>
    <hyperlink ref="AB484" r:id="rId534" display="https://www.jivi.com.ar/ficha.php?id=1722"/>
    <hyperlink ref="AB15" r:id="rId535" display="https://www.jivi.com.ar/ficha.php?id=1723"/>
    <hyperlink ref="AB186" r:id="rId536"/>
    <hyperlink ref="AB182" r:id="rId537"/>
    <hyperlink ref="AB184" r:id="rId538"/>
    <hyperlink ref="AB183" r:id="rId539"/>
    <hyperlink ref="AB185" r:id="rId540"/>
    <hyperlink ref="AB181" r:id="rId541"/>
    <hyperlink ref="AB600" r:id="rId542"/>
    <hyperlink ref="AB601" r:id="rId543"/>
    <hyperlink ref="AB597" r:id="rId544"/>
    <hyperlink ref="AB602" r:id="rId545"/>
    <hyperlink ref="AB251" r:id="rId546" display="https://www.jivi.com.ar/ficha.php?id=1077"/>
    <hyperlink ref="AB613" r:id="rId547"/>
    <hyperlink ref="AB614" r:id="rId548"/>
    <hyperlink ref="AB615" r:id="rId549"/>
    <hyperlink ref="AB612" r:id="rId550"/>
    <hyperlink ref="AB551" r:id="rId551" display="https://www.jivi.com.ar/ficha.php?id=1575"/>
    <hyperlink ref="AB547" r:id="rId552" display="https://www.jivi.com.ar/ficha.php?id=1743"/>
    <hyperlink ref="AB548" r:id="rId553" display="https://www.jivi.com.ar/ficha.php?id=1744"/>
    <hyperlink ref="AB549" r:id="rId554" display="https://www.jivi.com.ar/ficha.php?id=1745"/>
    <hyperlink ref="AB525" r:id="rId555" display="https://www.jivi.com.ar/ficha.php?id=1746"/>
    <hyperlink ref="AB284" r:id="rId556" display="https://www.jivi.com.ar/ficha.php?id=1559"/>
    <hyperlink ref="AB591" r:id="rId557"/>
    <hyperlink ref="AB482" r:id="rId558"/>
    <hyperlink ref="AB483" r:id="rId559" display="https://www.jivi.com.ar/ficha.php?id=1749"/>
    <hyperlink ref="AB527" r:id="rId560" display="https://www.jivi.com.ar/ficha.php?id=1579"/>
  </hyperlinks>
  <pageMargins left="0.27559055118110237" right="0.11811023622047245" top="0.19685039370078741" bottom="0.15748031496062992" header="0.11811023622047245" footer="0.15748031496062992"/>
  <pageSetup paperSize="5" orientation="portrait" copies="5" r:id="rId561"/>
  <headerFooter alignWithMargins="0"/>
  <cellWatches>
    <cellWatch r="X8"/>
  </cellWatches>
  <ignoredErrors>
    <ignoredError sqref="AB626:AB627 AB623:AB625 AB622 AB612:AB615 AB591" numberStoredAsText="1"/>
    <ignoredError sqref="X584 B28:E28 G29 C27:E27 A164 C164:E164 V597 A190:E190 A106:E107 H396:Q396 C29:E29 H57:I57 G58:I59 H603:L605 B403:E403 G187 G252 G254:G255 G424 B162:E162 B143:E143 B146:E146 C144:E144 C223:E223 G316:W316 R23:V25 J23:O25 J19:V19 V30 I27:K27 S32 U32 S40:S41 S37 U37 U40:U41 S43 U43 G56:I56 G143 G356:G361 H431 H432:M432 H433:M433 H434:M434 H435:M435 H436:M436 O426 H426:H428 J431:M431 S426 U426 Q426 S49 U49 G427:G430 I123:K123 M123 O123 Q123 S123 U123 F474:T474 G223 G417:G418 W470 H17:H18 G162:G165 G437:G441 G340:G342 Q345 R345:W345 P345 G243:G245 G277:M277 F205:W205 G197:I197 I179:M179 G190 G180:K180 G225 V92:W94 F82:I89 F91:I91 F90:I90 Q108 I28:V29 J21:T22 I30:T30 I14 I60:I62 I64:I66 U108 S108 H127:I127 J81:J91 G298 G546 G199:I199 F213:W214 B248:E248 I312 W313 H321:K322 G335:J337 W513:W514 H371:J371 I176:M176 I177:M177 I178:M178 N176:V179 G247:G248 H278:M278 H323:J334 G280 H21:H22 G96:G100 H339:J343 G81:I81 G372:J375 F452:V458 G102:G104 W498 W60 J56:V60 G106:G107 N110:V113 J126:V127 I31 H138:V143 G369:J370 G368 K323:K343 G415 F464:V468 L321:V326 K354:V354 H353:U353 G285:G296 G302:G306 G282:I283 H311:I311 H279:V280 G273:M273 G274:M274 G275:M275 G276:M276 N273:V277 J149:V149 G155:V155 H97:W98 N96:W96 H95:W95 H96:M96 H99:K99 H100:W107 J61:M63 J11:V11 L31:V31 M99:W99 W180 L180:V186 H162:V163 H187:V190 G207:V212 G219:G221 G216:W216 P217:W217 I215:W215 G218:W218 X204:X206 P206:W206 G206:N206 H201:M201 G202:M203 F201:G201 F204:V204 G200:V200 N201:V203 J197:V199 G257:G265 G272:V272 G351:V352 W349:W350 H344:W344 H345:N345 G376:K379 G401:V402 G410:G411 G403:W403 F564:V564 W519 G553:G554 H556 G500 H429:V430 W437 H437:V449 H473:V473 K380:V380 H491:V495 G344:G345 K346 G231:G235 H417:V420 J416:V416 H416 J13:V14 P12:X12 H252:V257 H219:V223 G241:V242 K369:K375 L369:V379 W405 G409:V409 G407:V407 B408:E408 B407:E407 H404:V406 F472:V472 G470:V471 G349:K350 L346:V350 H309:H310 G555:V555 G125:W125 N61:W64 J65:V68 G69:V69 H161:Q161 H225:V235 H224:K224 T224:V224 H281:I281 L281:V283 H288:K288 P288:V288 H297:I297 L328:V343 L327:O327 G484:G495 G381:V391 H392:W392 H355:V361 G565:V565 G562:V563 H15:V15 H289:V295 G308:V308 H298:V307 H423:V425 G421:M422 P421:V422 H498:V500 G498 H508:V514 H507:U507 H528:V529 L530:V530 H531:V536 G539:V539 J537:V538 H552:V554 F569:V573 H566:W568 G602 H243:V250 H251:W251 J309:V313 F625:T635 F618:V624 G612:W612 G550:V550 H551:W551 H137:R137 T137:V137 H259:V265 H258:S258 F613:V615 H599:V602 H616:V617 H540:W547 H165:V175 H164:S164 G459:V462 H145:V145 R146:V146 H296:W296 H363:V367 J362:V362 G501:G512 H501:V506 H549:W549 H519:V524 H525:W525 G393:V395 K314:V314 H410:V415 H482:W490 H284:W284 H285:V287 G217:M217 H591:W591 H526:V526 H527:W527" formula="1"/>
    <ignoredError sqref="G354 G548 W548" evalError="1"/>
    <ignoredError sqref="H354:J354 H548:V548" evalError="1" formula="1"/>
  </ignoredErrors>
  <drawing r:id="rId562"/>
  <legacyDrawing r:id="rId5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2024-05-16T18:16:09Z</cp:lastPrinted>
  <dcterms:created xsi:type="dcterms:W3CDTF">2003-01-03T20:20:32Z</dcterms:created>
  <dcterms:modified xsi:type="dcterms:W3CDTF">2024-05-16T18:30:26Z</dcterms:modified>
</cp:coreProperties>
</file>